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480" yWindow="120" windowWidth="11355" windowHeight="8700" firstSheet="2" activeTab="2"/>
  </bookViews>
  <sheets>
    <sheet name="Overordnet" sheetId="1" state="hidden" r:id="rId1"/>
    <sheet name="2016 2015 " sheetId="10" state="hidden" r:id="rId2"/>
    <sheet name="Præsentationsark DN 2016" sheetId="9" r:id="rId3"/>
    <sheet name="2013 2012 incl. varme udlejn.ej" sheetId="14" state="hidden" r:id="rId4"/>
    <sheet name="Kommentarer 31.03.16" sheetId="11" state="hidden" r:id="rId5"/>
    <sheet name="Ark2" sheetId="1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gas07" localSheetId="3">'2013 2012 incl. varme udlejn.ej'!$AP$35</definedName>
    <definedName name="_gas07" localSheetId="1">'2016 2015 '!$AH$35</definedName>
    <definedName name="_gas07">#REF!</definedName>
    <definedName name="_gas08">#REF!</definedName>
    <definedName name="BAU_Solg_kraftv_faktor">#REF!</definedName>
    <definedName name="BAU_Solg_kraftv_foreg_år">#REF!</definedName>
    <definedName name="benzin07" localSheetId="3">'2013 2012 incl. varme udlejn.ej'!$AP$47</definedName>
    <definedName name="benzin07" localSheetId="1">'2016 2015 '!$AH$46</definedName>
    <definedName name="benzin07">#REF!</definedName>
    <definedName name="Benzin08">#REF!</definedName>
    <definedName name="benzinfaktor" localSheetId="3">'2013 2012 incl. varme udlejn.ej'!$B$47</definedName>
    <definedName name="benzinfaktor" localSheetId="1">'2016 2015 '!$B$46</definedName>
    <definedName name="Benzinfaktor">#REF!</definedName>
    <definedName name="diesel07" localSheetId="3">'2013 2012 incl. varme udlejn.ej'!$AP$48</definedName>
    <definedName name="diesel07" localSheetId="1">'2016 2015 '!$AH$47</definedName>
    <definedName name="diesel07">#REF!</definedName>
    <definedName name="dieselfaktor" localSheetId="3">'2013 2012 incl. varme udlejn.ej'!$B$48</definedName>
    <definedName name="dieselfaktor" localSheetId="1">'2016 2015 '!$B$47</definedName>
    <definedName name="Dieselfaktor">#REF!</definedName>
    <definedName name="El_07">#REF!</definedName>
    <definedName name="el_2011">#REF!</definedName>
    <definedName name="el_2012">#REF!</definedName>
    <definedName name="el_foreg.år" localSheetId="3">'2013 2012 incl. varme udlejn.ej'!$B$45</definedName>
    <definedName name="el_foreg.år" localSheetId="1">'2016 2015 '!$B$44</definedName>
    <definedName name="El_opgør.år" localSheetId="3">'2013 2012 incl. varme udlejn.ej'!$B$46</definedName>
    <definedName name="el_opgør.år">'2016 2015 '!$B$45</definedName>
    <definedName name="elfaktor_foreg_år" localSheetId="3">'2013 2012 incl. varme udlejn.ej'!$B$45</definedName>
    <definedName name="elfaktor_foreg_år" localSheetId="1">'2016 2015 '!#REF!</definedName>
    <definedName name="elfaktor_foreg_år">#REF!</definedName>
    <definedName name="elfaktor11" localSheetId="3">'2013 2012 incl. varme udlejn.ej'!$B$46</definedName>
    <definedName name="elfaktor11" localSheetId="1">'2016 2015 '!$B$44</definedName>
    <definedName name="elfaktor11">#REF!</definedName>
    <definedName name="fjernv07" localSheetId="3">'2013 2012 incl. varme udlejn.ej'!$AP$36</definedName>
    <definedName name="fjernv07" localSheetId="1">'2016 2015 '!$AH$36</definedName>
    <definedName name="fjernv07">#REF!</definedName>
    <definedName name="Fjernvarme08">#REF!</definedName>
    <definedName name="fjernvarmefaktor" localSheetId="3">'2013 2012 incl. varme udlejn.ej'!$B$36</definedName>
    <definedName name="fjernvarmefaktor" localSheetId="1">'2016 2015 '!$B$36</definedName>
    <definedName name="fjernvarmefaktor">#REF!</definedName>
    <definedName name="Fjernvarmefaktor_nye_kedler" localSheetId="3">'2013 2012 incl. varme udlejn.ej'!$B$37</definedName>
    <definedName name="Fjernvarmefaktor_nye_kedler" localSheetId="1">'2016 2015 '!$B$37</definedName>
    <definedName name="Fjernvarmefaktor_nye_kedler">#REF!</definedName>
    <definedName name="Fjv_ny_faktor" localSheetId="3">'2013 2012 incl. varme udlejn.ej'!#REF!</definedName>
    <definedName name="Fjv_ny_faktor" localSheetId="1">'2016 2015 '!#REF!</definedName>
    <definedName name="Fjv_ny_faktor">#REF!</definedName>
    <definedName name="Fjv_nye_kedler08">#REF!</definedName>
    <definedName name="fjvny07" localSheetId="3">'2013 2012 incl. varme udlejn.ej'!$AP$37</definedName>
    <definedName name="fjvny07" localSheetId="1">'2016 2015 '!$AH$37</definedName>
    <definedName name="fjvny07">#REF!</definedName>
    <definedName name="gasfaktor" localSheetId="3">'2013 2012 incl. varme udlejn.ej'!$B$35</definedName>
    <definedName name="gasfaktor" localSheetId="1">'2016 2015 '!$B$35</definedName>
    <definedName name="gasfaktor">#REF!</definedName>
    <definedName name="Kraftv._Beboelse" localSheetId="3">'2013 2012 incl. varme udlejn.ej'!$B$44</definedName>
    <definedName name="Kraftv._Beboelse" localSheetId="1">'2016 2015 '!$B$43</definedName>
    <definedName name="Kraftv._Beboelse">#REF!</definedName>
    <definedName name="Kraftv._foreg.år_Virum_Skole" localSheetId="3">'2013 2012 incl. varme udlejn.ej'!$B$42</definedName>
    <definedName name="Kraftv._foreg.år_Virum_Skole" localSheetId="1">'2016 2015 '!$B$41</definedName>
    <definedName name="Kraftv._foreg.år_Virum_Skole_Solg.">'2016 2015 '!$B$41</definedName>
    <definedName name="Kraftv._Solg._Bauneh._2010" localSheetId="3">#REF!</definedName>
    <definedName name="Kraftv._Solg._Bauneh._2010">#REF!</definedName>
    <definedName name="Kraftv._Solg._Bauneh._2011">#REF!</definedName>
    <definedName name="Kraftv._Virum_Skole_2010" localSheetId="3">'2013 2012 incl. varme udlejn.ej'!#REF!</definedName>
    <definedName name="Kraftv._Virum_Skole_2010" localSheetId="1">'2016 2015 '!#REF!</definedName>
    <definedName name="Kraftv._Virum_Skole_2010">#REF!</definedName>
    <definedName name="Kraftv._Virum_Skole_2011">#REF!</definedName>
    <definedName name="kraftv_2011_bau_solg">#REF!</definedName>
    <definedName name="kraftv_2011_stadion">#REF!</definedName>
    <definedName name="kraftv_2011_virum_sk">#REF!</definedName>
    <definedName name="kraftv_2012_bau_solg">#REF!</definedName>
    <definedName name="kraftv_2012_virum_sk">#REF!</definedName>
    <definedName name="kraftv_foreg.år_bau">'2016 2015 '!$B$40</definedName>
    <definedName name="kraftv_foreg.år_bau_solg" localSheetId="3">'2013 2012 incl. varme udlejn.ej'!$B$40</definedName>
    <definedName name="kraftv_foreg.år_bau_solg" localSheetId="1">'2016 2015 '!$B$40</definedName>
    <definedName name="kraftv_foreg.år_stadion" localSheetId="3">'2013 2012 incl. varme udlejn.ej'!$B$38</definedName>
    <definedName name="kraftv_foreg.år_stadion">'2016 2015 '!$B$38</definedName>
    <definedName name="kraftv_foreg.år_virum_sk" localSheetId="3">'2013 2012 incl. varme udlejn.ej'!$B$42</definedName>
    <definedName name="kraftv_foreg.år_virum_sk" localSheetId="1">'2016 2015 '!$B$41</definedName>
    <definedName name="kraftv_opgør.år_bau_solg" localSheetId="3">'2013 2012 incl. varme udlejn.ej'!$B$41</definedName>
    <definedName name="kraftv_opgør.år_bau_solg" localSheetId="1">'2016 2015 '!#REF!</definedName>
    <definedName name="kraftv_opgør.år_stadion" localSheetId="3">'2013 2012 incl. varme udlejn.ej'!$B$39</definedName>
    <definedName name="kraftv_opgør.år_stadion" localSheetId="1">'2016 2015 '!$B$39</definedName>
    <definedName name="kraftv_opgør.år_stadion">'2016 2015 '!$B$39</definedName>
    <definedName name="kraftv_opgør.år_virum_sk" localSheetId="3">'2013 2012 incl. varme udlejn.ej'!$B$43</definedName>
    <definedName name="kraftv_opgør.år_virum_sk" localSheetId="1">'2016 2015 '!$B$42</definedName>
    <definedName name="kraftv_opgør.år_virum_sk_Solg.">'2016 2015 '!$B$42</definedName>
    <definedName name="kraftv_året_før_stadion" localSheetId="3">'2013 2012 incl. varme udlejn.ej'!$B$38</definedName>
    <definedName name="kraftv07" localSheetId="3">'2013 2012 incl. varme udlejn.ej'!$AP$41</definedName>
    <definedName name="kraftv07" localSheetId="1">'2016 2015 '!#REF!</definedName>
    <definedName name="kraftv07">#REF!</definedName>
    <definedName name="Kraftvarme__Stadion_2010" localSheetId="3">'2013 2012 incl. varme udlejn.ej'!#REF!</definedName>
    <definedName name="Kraftvarme__Stadion_2010" localSheetId="1">'2016 2015 '!#REF!</definedName>
    <definedName name="Kraftvarme__Stadion_2010">#REF!</definedName>
    <definedName name="Kraftvarme__Stadion_2011" localSheetId="3">'2013 2012 incl. varme udlejn.ej'!$B$38</definedName>
    <definedName name="Kraftvarme__Stadion_2011" localSheetId="1">'2016 2015 '!$B$38</definedName>
    <definedName name="Kraftvarme__Stadion_2011">#REF!</definedName>
    <definedName name="Kraftvarme08">#REF!</definedName>
    <definedName name="kraftvarmefaktor" localSheetId="3">'2013 2012 incl. varme udlejn.ej'!$B$40</definedName>
    <definedName name="kraftvarmefaktor" localSheetId="1">'2016 2015 '!$B$40</definedName>
    <definedName name="kraftvarmefaktor">#REF!</definedName>
    <definedName name="Kørsel_i_privatbiler" localSheetId="3">'2013 2012 incl. varme udlejn.ej'!$B$49</definedName>
    <definedName name="Kørsel_i_privatbiler" localSheetId="1">'2016 2015 '!$B$50</definedName>
    <definedName name="Kørsel_i_privatbiler">#REF!</definedName>
    <definedName name="olie07" localSheetId="3">'2013 2012 incl. varme udlejn.ej'!#REF!</definedName>
    <definedName name="olie07" localSheetId="1">'2016 2015 '!#REF!</definedName>
    <definedName name="olie07">#REF!</definedName>
    <definedName name="Olie08">#REF!</definedName>
    <definedName name="Oliefaktor" localSheetId="3">'2013 2012 incl. varme udlejn.ej'!#REF!</definedName>
    <definedName name="Oliefaktor" localSheetId="1">'2016 2015 '!#REF!</definedName>
    <definedName name="Oliefaktor">#REF!</definedName>
    <definedName name="stadion_kraftv_faktor" localSheetId="3">'2013 2012 incl. varme udlejn.ej'!$B$39</definedName>
    <definedName name="stadion_kraftv_faktor" localSheetId="1">'2016 2015 '!$B$39</definedName>
    <definedName name="stadion_kraftv_faktor">#REF!</definedName>
    <definedName name="stadion_kraftv_foreg_år" localSheetId="3">'2013 2012 incl. varme udlejn.ej'!$B$38</definedName>
    <definedName name="stadion_kraftv_foreg_år" localSheetId="1">'2016 2015 '!$B$38</definedName>
    <definedName name="stadion_kraftv_foreg_år">#REF!</definedName>
    <definedName name="_xlnm.Print_Titles" localSheetId="3">'2013 2012 incl. varme udlejn.ej'!$AG:$AG</definedName>
    <definedName name="_xlnm.Print_Titles" localSheetId="1">'2016 2015 '!$Y:$Y</definedName>
    <definedName name="virum_sk_kraftv_faktor" localSheetId="3">'2013 2012 incl. varme udlejn.ej'!$B$43</definedName>
    <definedName name="virum_sk_kraftv_faktor" localSheetId="1">'2016 2015 '!$B$42</definedName>
    <definedName name="virum_sk_kraftv_faktor">#REF!</definedName>
    <definedName name="virum_sk_kraftv_foreg_år" localSheetId="3">'2013 2012 incl. varme udlejn.ej'!$B$42</definedName>
    <definedName name="virum_sk_kraftv_foreg_år" localSheetId="1">'2016 2015 '!$B$41</definedName>
    <definedName name="virum_sk_kraftv_foreg_år">#REF!</definedName>
  </definedNames>
  <calcPr calcId="125725"/>
</workbook>
</file>

<file path=xl/calcChain.xml><?xml version="1.0" encoding="utf-8"?>
<calcChain xmlns="http://schemas.openxmlformats.org/spreadsheetml/2006/main">
  <c r="I27" i="10"/>
  <c r="U9" l="1"/>
  <c r="Q12" l="1"/>
  <c r="D12"/>
  <c r="E5"/>
  <c r="X21" l="1"/>
  <c r="K21"/>
  <c r="E26" l="1"/>
  <c r="C26"/>
  <c r="E31" l="1"/>
  <c r="C31"/>
  <c r="P25"/>
  <c r="C25" l="1"/>
  <c r="X15" l="1"/>
  <c r="X13"/>
  <c r="X11"/>
  <c r="X10"/>
  <c r="X9"/>
  <c r="X8"/>
  <c r="X7"/>
  <c r="X6"/>
  <c r="X5"/>
  <c r="K15"/>
  <c r="K13"/>
  <c r="K11"/>
  <c r="K10"/>
  <c r="K9"/>
  <c r="K8"/>
  <c r="K7"/>
  <c r="K6"/>
  <c r="K5"/>
  <c r="R12" l="1"/>
  <c r="E12"/>
  <c r="R11"/>
  <c r="V8"/>
  <c r="I7"/>
  <c r="R7"/>
  <c r="R5"/>
  <c r="U6"/>
  <c r="F6"/>
  <c r="Q6"/>
  <c r="X20"/>
  <c r="P22"/>
  <c r="X22"/>
  <c r="C22" l="1"/>
  <c r="K22"/>
  <c r="K20"/>
  <c r="K19"/>
  <c r="B45" l="1"/>
  <c r="B44"/>
  <c r="B42"/>
  <c r="B39" l="1"/>
  <c r="W13" l="1"/>
  <c r="W12"/>
  <c r="W11"/>
  <c r="W10"/>
  <c r="W9"/>
  <c r="W8"/>
  <c r="W7"/>
  <c r="W6"/>
  <c r="W5"/>
  <c r="I13"/>
  <c r="V13"/>
  <c r="H12"/>
  <c r="U12"/>
  <c r="U17" s="1"/>
  <c r="E11"/>
  <c r="R6"/>
  <c r="E6" l="1"/>
  <c r="F10" l="1"/>
  <c r="H9"/>
  <c r="I8"/>
  <c r="E7"/>
  <c r="V7" l="1"/>
  <c r="F7"/>
  <c r="J7"/>
  <c r="D6"/>
  <c r="H6"/>
  <c r="J13"/>
  <c r="J8"/>
  <c r="J12"/>
  <c r="J11"/>
  <c r="J10"/>
  <c r="J9"/>
  <c r="J6"/>
  <c r="J5"/>
  <c r="H18" l="1"/>
  <c r="H17"/>
  <c r="C6"/>
  <c r="C5"/>
  <c r="R31"/>
  <c r="P31"/>
  <c r="V27"/>
  <c r="W27" s="1"/>
  <c r="Y27" s="1"/>
  <c r="Z27" s="1"/>
  <c r="R26"/>
  <c r="P26"/>
  <c r="W25"/>
  <c r="Y25" s="1"/>
  <c r="Z24"/>
  <c r="Z23"/>
  <c r="T14"/>
  <c r="T16" s="1"/>
  <c r="S14"/>
  <c r="S16" s="1"/>
  <c r="P11"/>
  <c r="P10"/>
  <c r="U18"/>
  <c r="Q14"/>
  <c r="Q16" s="1"/>
  <c r="D14"/>
  <c r="D16" s="1"/>
  <c r="J26"/>
  <c r="N26" s="1"/>
  <c r="O26" s="1"/>
  <c r="E14"/>
  <c r="E16" s="1"/>
  <c r="F14"/>
  <c r="F16" s="1"/>
  <c r="G14"/>
  <c r="G16" s="1"/>
  <c r="I14"/>
  <c r="I16" s="1"/>
  <c r="C7"/>
  <c r="B48"/>
  <c r="C57"/>
  <c r="C56"/>
  <c r="J31"/>
  <c r="N31" s="1"/>
  <c r="O31" s="1"/>
  <c r="J27"/>
  <c r="L27" s="1"/>
  <c r="M27" s="1"/>
  <c r="J25"/>
  <c r="L25" s="1"/>
  <c r="M24"/>
  <c r="M23"/>
  <c r="B40" i="14"/>
  <c r="B35"/>
  <c r="O31"/>
  <c r="M31"/>
  <c r="D31"/>
  <c r="B31"/>
  <c r="AD29"/>
  <c r="Z28"/>
  <c r="X28"/>
  <c r="E28"/>
  <c r="K28" s="1"/>
  <c r="L28" s="1"/>
  <c r="AD27"/>
  <c r="Q27"/>
  <c r="Q29" s="1"/>
  <c r="F27"/>
  <c r="G27" s="1"/>
  <c r="O26"/>
  <c r="O29" s="1"/>
  <c r="M26"/>
  <c r="D26"/>
  <c r="B26"/>
  <c r="G26" s="1"/>
  <c r="I26" s="1"/>
  <c r="J26" s="1"/>
  <c r="AB25"/>
  <c r="AC25" s="1"/>
  <c r="AD25" s="1"/>
  <c r="M25"/>
  <c r="B25"/>
  <c r="G25" s="1"/>
  <c r="Z24"/>
  <c r="X24"/>
  <c r="X26" s="1"/>
  <c r="J24"/>
  <c r="AC23"/>
  <c r="J23"/>
  <c r="AF22"/>
  <c r="S22"/>
  <c r="M22"/>
  <c r="H22"/>
  <c r="B22"/>
  <c r="AF21"/>
  <c r="S21"/>
  <c r="T21" s="1"/>
  <c r="U21" s="1"/>
  <c r="F21"/>
  <c r="I21" s="1"/>
  <c r="J21" s="1"/>
  <c r="X20"/>
  <c r="AE20" s="1"/>
  <c r="AF20" s="1"/>
  <c r="S20"/>
  <c r="T20" s="1"/>
  <c r="U20" s="1"/>
  <c r="F20"/>
  <c r="K20" s="1"/>
  <c r="L20" s="1"/>
  <c r="AD19"/>
  <c r="AE19" s="1"/>
  <c r="AF19" s="1"/>
  <c r="S19"/>
  <c r="T19" s="1"/>
  <c r="U19" s="1"/>
  <c r="F19"/>
  <c r="I19" s="1"/>
  <c r="J19" s="1"/>
  <c r="AD18"/>
  <c r="AE18" s="1"/>
  <c r="AF18" s="1"/>
  <c r="AD17"/>
  <c r="AE17" s="1"/>
  <c r="AF17" s="1"/>
  <c r="S15"/>
  <c r="R15"/>
  <c r="P15"/>
  <c r="H15"/>
  <c r="G15"/>
  <c r="E15"/>
  <c r="AD14"/>
  <c r="AC14"/>
  <c r="AA14"/>
  <c r="S13"/>
  <c r="R13"/>
  <c r="Q13"/>
  <c r="H13"/>
  <c r="G13"/>
  <c r="F13"/>
  <c r="AD12"/>
  <c r="AC12"/>
  <c r="AB12"/>
  <c r="Z12"/>
  <c r="S12"/>
  <c r="R12"/>
  <c r="Q12"/>
  <c r="P12"/>
  <c r="O12"/>
  <c r="N12"/>
  <c r="H12"/>
  <c r="G12"/>
  <c r="F12"/>
  <c r="E12"/>
  <c r="D12"/>
  <c r="C12"/>
  <c r="AD11"/>
  <c r="AC11"/>
  <c r="AB11"/>
  <c r="AA11"/>
  <c r="Z11"/>
  <c r="Y11"/>
  <c r="S11"/>
  <c r="R11"/>
  <c r="O11"/>
  <c r="H11"/>
  <c r="G11"/>
  <c r="D11"/>
  <c r="AD10"/>
  <c r="AC10"/>
  <c r="Z10"/>
  <c r="S10"/>
  <c r="R10"/>
  <c r="M10" s="1"/>
  <c r="H10"/>
  <c r="G10"/>
  <c r="B10" s="1"/>
  <c r="AD9"/>
  <c r="AC9"/>
  <c r="AA9"/>
  <c r="S9"/>
  <c r="R9"/>
  <c r="P9"/>
  <c r="H9"/>
  <c r="G9"/>
  <c r="E9"/>
  <c r="AD8"/>
  <c r="AC8"/>
  <c r="AB8"/>
  <c r="S8"/>
  <c r="R8"/>
  <c r="Q8"/>
  <c r="H8"/>
  <c r="G8"/>
  <c r="F8"/>
  <c r="AD7"/>
  <c r="AC7"/>
  <c r="AB7"/>
  <c r="Z7"/>
  <c r="S7"/>
  <c r="R7"/>
  <c r="Q7"/>
  <c r="O7"/>
  <c r="H7"/>
  <c r="G7"/>
  <c r="F7"/>
  <c r="AD6"/>
  <c r="AC6"/>
  <c r="AA6"/>
  <c r="Y6"/>
  <c r="S6"/>
  <c r="R6"/>
  <c r="P6"/>
  <c r="O6"/>
  <c r="N6"/>
  <c r="H6"/>
  <c r="G6"/>
  <c r="E6"/>
  <c r="D6"/>
  <c r="C6"/>
  <c r="AD5"/>
  <c r="AC5"/>
  <c r="Z5"/>
  <c r="S5"/>
  <c r="R5"/>
  <c r="O5"/>
  <c r="H5"/>
  <c r="G5"/>
  <c r="D5"/>
  <c r="B35" i="10"/>
  <c r="E11" i="1"/>
  <c r="I11"/>
  <c r="L16" s="1"/>
  <c r="I12"/>
  <c r="I13"/>
  <c r="I14"/>
  <c r="M14"/>
  <c r="N14" s="1"/>
  <c r="I15"/>
  <c r="I16"/>
  <c r="I18"/>
  <c r="L18" s="1"/>
  <c r="I19"/>
  <c r="I32" s="1"/>
  <c r="I46" s="1"/>
  <c r="I20"/>
  <c r="I33" s="1"/>
  <c r="I47" s="1"/>
  <c r="I21"/>
  <c r="E23"/>
  <c r="I23" s="1"/>
  <c r="I24"/>
  <c r="I25" s="1"/>
  <c r="I34"/>
  <c r="I48" s="1"/>
  <c r="H50"/>
  <c r="K21" i="14"/>
  <c r="L21" s="1"/>
  <c r="C9" i="10"/>
  <c r="N9" s="1"/>
  <c r="C8"/>
  <c r="N8" s="1"/>
  <c r="C13"/>
  <c r="R27" i="14"/>
  <c r="T27" s="1"/>
  <c r="U27" s="1"/>
  <c r="C12" i="10"/>
  <c r="C11"/>
  <c r="I28" i="14"/>
  <c r="J28" s="1"/>
  <c r="H14" i="10"/>
  <c r="H16" s="1"/>
  <c r="I20" i="14" l="1"/>
  <c r="J20" s="1"/>
  <c r="B8"/>
  <c r="M11"/>
  <c r="M13"/>
  <c r="R26"/>
  <c r="T26" s="1"/>
  <c r="U26" s="1"/>
  <c r="S18" i="10"/>
  <c r="S17"/>
  <c r="T17"/>
  <c r="T18"/>
  <c r="K19" i="14"/>
  <c r="L19" s="1"/>
  <c r="E18"/>
  <c r="K8"/>
  <c r="L8" s="1"/>
  <c r="T11"/>
  <c r="U11" s="1"/>
  <c r="N27" i="10"/>
  <c r="O27" s="1"/>
  <c r="L26"/>
  <c r="M26" s="1"/>
  <c r="L11"/>
  <c r="M11" s="1"/>
  <c r="N11"/>
  <c r="O11" s="1"/>
  <c r="E14" i="14"/>
  <c r="E16" s="1"/>
  <c r="B9"/>
  <c r="K9" s="1"/>
  <c r="L9" s="1"/>
  <c r="I10"/>
  <c r="J10" s="1"/>
  <c r="AC28"/>
  <c r="AD28" s="1"/>
  <c r="H14"/>
  <c r="H16" s="1"/>
  <c r="O14"/>
  <c r="O16" s="1"/>
  <c r="O17" s="1"/>
  <c r="M8"/>
  <c r="T8" s="1"/>
  <c r="U8" s="1"/>
  <c r="X9"/>
  <c r="AE9" s="1"/>
  <c r="AF9" s="1"/>
  <c r="T10"/>
  <c r="U10" s="1"/>
  <c r="K22"/>
  <c r="L22" s="1"/>
  <c r="L9" i="10"/>
  <c r="M9" s="1"/>
  <c r="O9"/>
  <c r="N13"/>
  <c r="O13" s="1"/>
  <c r="L8"/>
  <c r="M8" s="1"/>
  <c r="K10" i="14"/>
  <c r="L10" s="1"/>
  <c r="B5"/>
  <c r="K5" s="1"/>
  <c r="L5" s="1"/>
  <c r="X6"/>
  <c r="AE6" s="1"/>
  <c r="AF6" s="1"/>
  <c r="Q14"/>
  <c r="Q16" s="1"/>
  <c r="Q17" s="1"/>
  <c r="AB13"/>
  <c r="AB15" s="1"/>
  <c r="AB16" s="1"/>
  <c r="X8"/>
  <c r="AE8" s="1"/>
  <c r="AF8" s="1"/>
  <c r="X10"/>
  <c r="AE10" s="1"/>
  <c r="AF10" s="1"/>
  <c r="M15"/>
  <c r="P14"/>
  <c r="P16" s="1"/>
  <c r="M12"/>
  <c r="T12" s="1"/>
  <c r="U12" s="1"/>
  <c r="B15"/>
  <c r="I15" s="1"/>
  <c r="J15" s="1"/>
  <c r="C14"/>
  <c r="C16" s="1"/>
  <c r="C17" s="1"/>
  <c r="M6"/>
  <c r="T6" s="1"/>
  <c r="U6" s="1"/>
  <c r="B11"/>
  <c r="X14"/>
  <c r="AE14" s="1"/>
  <c r="AF14" s="1"/>
  <c r="W31" i="10"/>
  <c r="Y31" s="1"/>
  <c r="Z31" s="1"/>
  <c r="M7" i="14"/>
  <c r="T7" s="1"/>
  <c r="U7" s="1"/>
  <c r="G14"/>
  <c r="G16" s="1"/>
  <c r="AD13"/>
  <c r="AD15" s="1"/>
  <c r="AD16" s="1"/>
  <c r="P17"/>
  <c r="R31"/>
  <c r="T31" s="1"/>
  <c r="U31" s="1"/>
  <c r="L25" i="1"/>
  <c r="D14" i="14"/>
  <c r="D16" s="1"/>
  <c r="D18" s="1"/>
  <c r="N14"/>
  <c r="N16" s="1"/>
  <c r="N17" s="1"/>
  <c r="B7"/>
  <c r="X11"/>
  <c r="AE11" s="1"/>
  <c r="AF11" s="1"/>
  <c r="F14"/>
  <c r="F16" s="1"/>
  <c r="X12"/>
  <c r="AE12" s="1"/>
  <c r="AF12" s="1"/>
  <c r="G31"/>
  <c r="I31" s="1"/>
  <c r="J31" s="1"/>
  <c r="W26" i="10"/>
  <c r="Y26" s="1"/>
  <c r="Z26" s="1"/>
  <c r="E17" i="14"/>
  <c r="I8"/>
  <c r="J8" s="1"/>
  <c r="M9"/>
  <c r="T9" s="1"/>
  <c r="U9" s="1"/>
  <c r="B12"/>
  <c r="B13"/>
  <c r="I13" s="1"/>
  <c r="J13" s="1"/>
  <c r="P32" i="10"/>
  <c r="R32"/>
  <c r="R14"/>
  <c r="R16" s="1"/>
  <c r="R17" s="1"/>
  <c r="V14"/>
  <c r="V16" s="1"/>
  <c r="V18" s="1"/>
  <c r="M5" i="14"/>
  <c r="R14"/>
  <c r="R16" s="1"/>
  <c r="B6"/>
  <c r="X7"/>
  <c r="AE7" s="1"/>
  <c r="AF7" s="1"/>
  <c r="I9"/>
  <c r="J9" s="1"/>
  <c r="K11"/>
  <c r="L11" s="1"/>
  <c r="I11"/>
  <c r="J11" s="1"/>
  <c r="T13"/>
  <c r="U13" s="1"/>
  <c r="G29"/>
  <c r="I25"/>
  <c r="J25" s="1"/>
  <c r="N7" i="10"/>
  <c r="O7" s="1"/>
  <c r="L7"/>
  <c r="M7" s="1"/>
  <c r="Z25"/>
  <c r="AC13" i="14"/>
  <c r="AC15" s="1"/>
  <c r="K25"/>
  <c r="L25" s="1"/>
  <c r="K26"/>
  <c r="S14"/>
  <c r="S16" s="1"/>
  <c r="S17" s="1"/>
  <c r="R25"/>
  <c r="T25" s="1"/>
  <c r="U25" s="1"/>
  <c r="M29"/>
  <c r="C10" i="10"/>
  <c r="N10" s="1"/>
  <c r="J14"/>
  <c r="J16" s="1"/>
  <c r="Z13" i="14"/>
  <c r="Z15" s="1"/>
  <c r="Z16" s="1"/>
  <c r="X5"/>
  <c r="K27"/>
  <c r="L27" s="1"/>
  <c r="I27"/>
  <c r="J27" s="1"/>
  <c r="I5"/>
  <c r="I35" i="1"/>
  <c r="I49" s="1"/>
  <c r="AA16" i="14"/>
  <c r="AA13"/>
  <c r="AA15" s="1"/>
  <c r="AC24"/>
  <c r="AD24" s="1"/>
  <c r="Z26"/>
  <c r="AE26" s="1"/>
  <c r="AF26" s="1"/>
  <c r="K16" i="1"/>
  <c r="K18" s="1"/>
  <c r="I31"/>
  <c r="Y13" i="14"/>
  <c r="Y15" s="1"/>
  <c r="Y16" s="1"/>
  <c r="T22"/>
  <c r="U22" s="1"/>
  <c r="W14" i="10"/>
  <c r="W16" s="1"/>
  <c r="P13"/>
  <c r="O8"/>
  <c r="T15" i="14"/>
  <c r="U15" s="1"/>
  <c r="I22"/>
  <c r="J22" s="1"/>
  <c r="P8" i="10"/>
  <c r="P9"/>
  <c r="Y9" s="1"/>
  <c r="P12"/>
  <c r="L31"/>
  <c r="M31" s="1"/>
  <c r="N25"/>
  <c r="F17"/>
  <c r="F18"/>
  <c r="G18"/>
  <c r="G17"/>
  <c r="D17"/>
  <c r="D18"/>
  <c r="I18"/>
  <c r="I17"/>
  <c r="E18"/>
  <c r="E17"/>
  <c r="Q17"/>
  <c r="Q18"/>
  <c r="P5"/>
  <c r="L13"/>
  <c r="M13" s="1"/>
  <c r="P6"/>
  <c r="P7"/>
  <c r="U14"/>
  <c r="U16" s="1"/>
  <c r="M25"/>
  <c r="L26" i="14"/>
  <c r="AD23"/>
  <c r="K15" l="1"/>
  <c r="L15" s="1"/>
  <c r="K31"/>
  <c r="L31" s="1"/>
  <c r="D17"/>
  <c r="K13"/>
  <c r="L13" s="1"/>
  <c r="C18"/>
  <c r="B14"/>
  <c r="B16" s="1"/>
  <c r="K16" s="1"/>
  <c r="L16" s="1"/>
  <c r="W34" i="10"/>
  <c r="I29" i="14"/>
  <c r="J29" s="1"/>
  <c r="O25" i="10"/>
  <c r="R29" i="14"/>
  <c r="T29" s="1"/>
  <c r="U29" s="1"/>
  <c r="R18" i="10"/>
  <c r="K12" i="14"/>
  <c r="L12" s="1"/>
  <c r="I12"/>
  <c r="J12" s="1"/>
  <c r="K7"/>
  <c r="L7" s="1"/>
  <c r="I7"/>
  <c r="J7" s="1"/>
  <c r="F18"/>
  <c r="F17"/>
  <c r="V17" i="10"/>
  <c r="X13" i="14"/>
  <c r="X15" s="1"/>
  <c r="AE5"/>
  <c r="H18"/>
  <c r="H17"/>
  <c r="L10" i="10"/>
  <c r="M10" s="1"/>
  <c r="O10"/>
  <c r="K29" i="14"/>
  <c r="L29" s="1"/>
  <c r="I6"/>
  <c r="J6" s="1"/>
  <c r="K6"/>
  <c r="J5"/>
  <c r="AC26"/>
  <c r="I37" i="1"/>
  <c r="I50" s="1"/>
  <c r="I45"/>
  <c r="M14" i="14"/>
  <c r="M16" s="1"/>
  <c r="M17" s="1"/>
  <c r="R17" s="1"/>
  <c r="T17" s="1"/>
  <c r="U17" s="1"/>
  <c r="T5"/>
  <c r="B18"/>
  <c r="I16"/>
  <c r="J16" s="1"/>
  <c r="P14" i="10"/>
  <c r="P16" s="1"/>
  <c r="G18" i="14" l="1"/>
  <c r="K18" s="1"/>
  <c r="K30" s="1"/>
  <c r="L30" s="1"/>
  <c r="T16"/>
  <c r="U16" s="1"/>
  <c r="B17"/>
  <c r="G17" s="1"/>
  <c r="I17" s="1"/>
  <c r="J17" s="1"/>
  <c r="J37"/>
  <c r="L18"/>
  <c r="L6"/>
  <c r="K14"/>
  <c r="L14" s="1"/>
  <c r="X16"/>
  <c r="AC16" s="1"/>
  <c r="AE16" s="1"/>
  <c r="AE15"/>
  <c r="AF15" s="1"/>
  <c r="U5"/>
  <c r="T14"/>
  <c r="U14" s="1"/>
  <c r="AD26"/>
  <c r="AC30"/>
  <c r="AD30" s="1"/>
  <c r="I14"/>
  <c r="AE13"/>
  <c r="AF13" s="1"/>
  <c r="AF5"/>
  <c r="P17" i="10"/>
  <c r="W17" s="1"/>
  <c r="P18"/>
  <c r="W18" s="1"/>
  <c r="I30" i="14" l="1"/>
  <c r="J30" s="1"/>
  <c r="J14"/>
  <c r="I34"/>
  <c r="I35" s="1"/>
  <c r="I40"/>
  <c r="AE27"/>
  <c r="AF27" s="1"/>
  <c r="AF16"/>
  <c r="N6" i="10" l="1"/>
  <c r="O6" s="1"/>
  <c r="L6"/>
  <c r="M6" s="1"/>
  <c r="L5"/>
  <c r="N5"/>
  <c r="C14"/>
  <c r="C16" s="1"/>
  <c r="C17" l="1"/>
  <c r="J17" s="1"/>
  <c r="C18"/>
  <c r="J18" s="1"/>
  <c r="O5"/>
  <c r="M5"/>
  <c r="U28" l="1"/>
  <c r="Y28" s="1"/>
  <c r="Y5" l="1"/>
  <c r="Y8"/>
  <c r="Z8" s="1"/>
  <c r="Y7"/>
  <c r="Z7" s="1"/>
  <c r="Y6"/>
  <c r="Z6" s="1"/>
  <c r="Z28"/>
  <c r="Y29"/>
  <c r="Z29" s="1"/>
  <c r="Z9"/>
  <c r="Y11"/>
  <c r="Z11" s="1"/>
  <c r="Y10"/>
  <c r="Z10" s="1"/>
  <c r="N21" l="1"/>
  <c r="O21" s="1"/>
  <c r="L21"/>
  <c r="M21" s="1"/>
  <c r="L22"/>
  <c r="M22" s="1"/>
  <c r="N22"/>
  <c r="O22" s="1"/>
  <c r="Y15"/>
  <c r="Z15" s="1"/>
  <c r="Y13"/>
  <c r="Z13" s="1"/>
  <c r="Y22"/>
  <c r="Z22" s="1"/>
  <c r="Y20"/>
  <c r="Z20" s="1"/>
  <c r="Z5"/>
  <c r="Y21"/>
  <c r="Z21" s="1"/>
  <c r="L15"/>
  <c r="M15" s="1"/>
  <c r="N15"/>
  <c r="L19"/>
  <c r="M19" s="1"/>
  <c r="N19"/>
  <c r="O19" s="1"/>
  <c r="L20"/>
  <c r="M20" s="1"/>
  <c r="N20"/>
  <c r="O20" s="1"/>
  <c r="O15" l="1"/>
  <c r="X19" l="1"/>
  <c r="Y19" s="1"/>
  <c r="Z19" l="1"/>
  <c r="H28" l="1"/>
  <c r="L28" l="1"/>
  <c r="N28"/>
  <c r="O28" l="1"/>
  <c r="N29"/>
  <c r="O29" s="1"/>
  <c r="M28"/>
  <c r="L29"/>
  <c r="M29" s="1"/>
  <c r="K12" l="1"/>
  <c r="K14" l="1"/>
  <c r="K16" s="1"/>
  <c r="N12"/>
  <c r="L12"/>
  <c r="X12"/>
  <c r="M12" l="1"/>
  <c r="L14"/>
  <c r="M14" s="1"/>
  <c r="O12"/>
  <c r="N14"/>
  <c r="Y12"/>
  <c r="X14"/>
  <c r="X16" s="1"/>
  <c r="L16"/>
  <c r="M16" s="1"/>
  <c r="K17"/>
  <c r="L17" s="1"/>
  <c r="N16"/>
  <c r="O16" s="1"/>
  <c r="K18"/>
  <c r="O14" l="1"/>
  <c r="N17"/>
  <c r="N30" s="1"/>
  <c r="O30" s="1"/>
  <c r="N18"/>
  <c r="O18" s="1"/>
  <c r="L18"/>
  <c r="Y16"/>
  <c r="Z16" s="1"/>
  <c r="X18"/>
  <c r="Y18" s="1"/>
  <c r="X17"/>
  <c r="Y17" s="1"/>
  <c r="J20"/>
  <c r="M17"/>
  <c r="M30" s="1"/>
  <c r="L30"/>
  <c r="Z12"/>
  <c r="Y14"/>
  <c r="Z14" s="1"/>
  <c r="Z17" l="1"/>
  <c r="Z30" s="1"/>
  <c r="Y30"/>
</calcChain>
</file>

<file path=xl/comments1.xml><?xml version="1.0" encoding="utf-8"?>
<comments xmlns="http://schemas.openxmlformats.org/spreadsheetml/2006/main">
  <authors>
    <author>uje</author>
    <author>LTK</author>
    <author>Ulla Jensen</author>
  </authors>
  <commentList>
    <comment ref="E5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19.03.13. T12</t>
        </r>
      </text>
    </comment>
    <comment ref="R5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19.03.13. T12</t>
        </r>
      </text>
    </comment>
    <comment ref="D6" authorId="1">
      <text>
        <r>
          <rPr>
            <b/>
            <sz val="10"/>
            <color indexed="81"/>
            <rFont val="Tahoma"/>
            <family val="2"/>
          </rPr>
          <t>LTK:</t>
        </r>
        <r>
          <rPr>
            <sz val="10"/>
            <color indexed="81"/>
            <rFont val="Tahoma"/>
            <family val="2"/>
          </rPr>
          <t xml:space="preserve">
16.03.10.
Trong.skolen</t>
        </r>
      </text>
    </comment>
    <comment ref="E6" authorId="2">
      <text>
        <r>
          <rPr>
            <b/>
            <sz val="9"/>
            <color indexed="81"/>
            <rFont val="Tahoma"/>
            <charset val="1"/>
          </rPr>
          <t>Ulla Jensen:</t>
        </r>
        <r>
          <rPr>
            <sz val="9"/>
            <color indexed="81"/>
            <rFont val="Tahoma"/>
            <charset val="1"/>
          </rPr>
          <t xml:space="preserve">
23.03.17. Askevænget 10B, ny tilbygning, varme fra skolen</t>
        </r>
      </text>
    </comment>
    <comment ref="F6" authorId="2">
      <text>
        <r>
          <rPr>
            <b/>
            <sz val="8"/>
            <color indexed="81"/>
            <rFont val="Tahoma"/>
            <family val="2"/>
          </rPr>
          <t>Ulla Jensen:</t>
        </r>
        <r>
          <rPr>
            <sz val="8"/>
            <color indexed="81"/>
            <rFont val="Tahoma"/>
            <family val="2"/>
          </rPr>
          <t xml:space="preserve">
03.04.17. ENG ny og gl.</t>
        </r>
      </text>
    </comment>
    <comment ref="G6" authorId="2">
      <text>
        <r>
          <rPr>
            <b/>
            <sz val="8"/>
            <color indexed="81"/>
            <rFont val="Tahoma"/>
            <family val="2"/>
          </rPr>
          <t>Ulla Jensen:</t>
        </r>
        <r>
          <rPr>
            <sz val="8"/>
            <color indexed="81"/>
            <rFont val="Tahoma"/>
            <family val="2"/>
          </rPr>
          <t xml:space="preserve">
17.03.17. ENG, gl. bygn.</t>
        </r>
      </text>
    </comment>
    <comment ref="H6" authorId="1">
      <text>
        <r>
          <rPr>
            <b/>
            <sz val="10"/>
            <color indexed="81"/>
            <rFont val="Tahoma"/>
            <family val="2"/>
          </rPr>
          <t>LTK:</t>
        </r>
        <r>
          <rPr>
            <sz val="10"/>
            <color indexed="81"/>
            <rFont val="Tahoma"/>
            <family val="2"/>
          </rPr>
          <t xml:space="preserve">
18.03.10
Virum Skole</t>
        </r>
      </text>
    </comment>
    <comment ref="Q6" authorId="1">
      <text>
        <r>
          <rPr>
            <b/>
            <sz val="10"/>
            <color indexed="81"/>
            <rFont val="Tahoma"/>
            <family val="2"/>
          </rPr>
          <t>LTK:</t>
        </r>
        <r>
          <rPr>
            <sz val="10"/>
            <color indexed="81"/>
            <rFont val="Tahoma"/>
            <family val="2"/>
          </rPr>
          <t xml:space="preserve">
16.03.10.
Trong.skolen</t>
        </r>
      </text>
    </comment>
    <comment ref="R6" authorId="2">
      <text>
        <r>
          <rPr>
            <b/>
            <sz val="9"/>
            <color indexed="81"/>
            <rFont val="Tahoma"/>
            <charset val="1"/>
          </rPr>
          <t>Ulla Jensen:</t>
        </r>
        <r>
          <rPr>
            <sz val="9"/>
            <color indexed="81"/>
            <rFont val="Tahoma"/>
            <charset val="1"/>
          </rPr>
          <t xml:space="preserve">
23.03.17. Askevænget 10B, ny tilbygning, varme fra skolen</t>
        </r>
      </text>
    </comment>
    <comment ref="S6" authorId="2">
      <text>
        <r>
          <rPr>
            <b/>
            <sz val="8"/>
            <color indexed="81"/>
            <rFont val="Tahoma"/>
            <family val="2"/>
          </rPr>
          <t>Ulla Jensen:</t>
        </r>
        <r>
          <rPr>
            <sz val="8"/>
            <color indexed="81"/>
            <rFont val="Tahoma"/>
            <family val="2"/>
          </rPr>
          <t xml:space="preserve">
03.04.17. ENG, "ny" bygning</t>
        </r>
      </text>
    </comment>
    <comment ref="T6" authorId="2">
      <text>
        <r>
          <rPr>
            <b/>
            <sz val="8"/>
            <color indexed="81"/>
            <rFont val="Tahoma"/>
            <family val="2"/>
          </rPr>
          <t>Ulla Jensen:</t>
        </r>
        <r>
          <rPr>
            <sz val="8"/>
            <color indexed="81"/>
            <rFont val="Tahoma"/>
            <family val="2"/>
          </rPr>
          <t xml:space="preserve">
17.03.17. ENG, gl. bygn. Rettet ifht. Sidste år</t>
        </r>
      </text>
    </comment>
    <comment ref="U6" authorId="1">
      <text>
        <r>
          <rPr>
            <b/>
            <sz val="10"/>
            <color indexed="81"/>
            <rFont val="Tahoma"/>
            <family val="2"/>
          </rPr>
          <t>LTK:</t>
        </r>
        <r>
          <rPr>
            <sz val="10"/>
            <color indexed="81"/>
            <rFont val="Tahoma"/>
            <family val="2"/>
          </rPr>
          <t xml:space="preserve">
18.03.10
Virum Skole</t>
        </r>
      </text>
    </comment>
    <comment ref="E7" authorId="1">
      <text>
        <r>
          <rPr>
            <b/>
            <sz val="10"/>
            <color indexed="81"/>
            <rFont val="Tahoma"/>
            <family val="2"/>
          </rPr>
          <t>LTK:</t>
        </r>
        <r>
          <rPr>
            <sz val="10"/>
            <color indexed="81"/>
            <rFont val="Tahoma"/>
            <family val="2"/>
          </rPr>
          <t xml:space="preserve">
20.03.17. Rævehøjen </t>
        </r>
      </text>
    </comment>
    <comment ref="F7" authorId="2">
      <text>
        <r>
          <rPr>
            <b/>
            <sz val="9"/>
            <color indexed="81"/>
            <rFont val="Tahoma"/>
            <charset val="1"/>
          </rPr>
          <t>Ulla Jensen:</t>
        </r>
        <r>
          <rPr>
            <sz val="9"/>
            <color indexed="81"/>
            <rFont val="Tahoma"/>
            <charset val="1"/>
          </rPr>
          <t xml:space="preserve">
17.03.17. Chr.X. Alle 172 og 99, Emil P.vej 15 og 21, Gl. Bagsv.v. 8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03.04.17. Garantien og Trinbrættet
</t>
        </r>
      </text>
    </comment>
    <comment ref="R7" authorId="1">
      <text>
        <r>
          <rPr>
            <b/>
            <sz val="10"/>
            <color indexed="81"/>
            <rFont val="Tahoma"/>
            <family val="2"/>
          </rPr>
          <t>LTK:</t>
        </r>
        <r>
          <rPr>
            <sz val="10"/>
            <color indexed="81"/>
            <rFont val="Tahoma"/>
            <family val="2"/>
          </rPr>
          <t xml:space="preserve">
20.03.17. Rævehøjen </t>
        </r>
      </text>
    </comment>
    <comment ref="V7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03.04.17. Garantien og Trinbrættet
</t>
        </r>
      </text>
    </comment>
    <comment ref="I8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21.03.13. Kolle</t>
        </r>
      </text>
    </comment>
    <comment ref="V8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21.03.13. Kolle</t>
        </r>
      </text>
    </comment>
    <comment ref="H9" authorId="1">
      <text>
        <r>
          <rPr>
            <sz val="10"/>
            <color indexed="81"/>
            <rFont val="Tahoma"/>
            <family val="2"/>
          </rPr>
          <t>20.03.17. Solgården</t>
        </r>
      </text>
    </comment>
    <comment ref="U9" authorId="1">
      <text>
        <r>
          <rPr>
            <sz val="10"/>
            <color indexed="81"/>
            <rFont val="Tahoma"/>
            <family val="2"/>
          </rPr>
          <t xml:space="preserve">03.04.17. Solg.+LTK´s del af EON (kun januar)
</t>
        </r>
      </text>
    </comment>
    <comment ref="F10" authorId="2">
      <text>
        <r>
          <rPr>
            <b/>
            <sz val="9"/>
            <color indexed="81"/>
            <rFont val="Tahoma"/>
            <family val="2"/>
          </rPr>
          <t>Ulla Jensen:</t>
        </r>
        <r>
          <rPr>
            <sz val="9"/>
            <color indexed="81"/>
            <rFont val="Tahoma"/>
            <family val="2"/>
          </rPr>
          <t xml:space="preserve">
20.03.17. Chr. X Alle 95B og hele 97. Fjernvarme fra primo 2016.</t>
        </r>
      </text>
    </comment>
    <comment ref="E11" authorId="1">
      <text>
        <r>
          <rPr>
            <b/>
            <sz val="10"/>
            <color indexed="81"/>
            <rFont val="Tahoma"/>
            <family val="2"/>
          </rPr>
          <t>LTK:</t>
        </r>
        <r>
          <rPr>
            <sz val="10"/>
            <color indexed="81"/>
            <rFont val="Tahoma"/>
            <family val="2"/>
          </rPr>
          <t xml:space="preserve">
21.03.16. Kulturhuset. Pga. defekt måler til radiatorvarme regnes i stedet med bimåler 3. sal, selv om denne kun tager en del
02.05.12 Kulturhuset.
</t>
        </r>
      </text>
    </comment>
    <comment ref="R11" authorId="1">
      <text>
        <r>
          <rPr>
            <b/>
            <sz val="10"/>
            <color indexed="81"/>
            <rFont val="Tahoma"/>
            <family val="2"/>
          </rPr>
          <t>LTK:</t>
        </r>
        <r>
          <rPr>
            <sz val="10"/>
            <color indexed="81"/>
            <rFont val="Tahoma"/>
            <family val="2"/>
          </rPr>
          <t xml:space="preserve">
21.03.16. Kulturhuset. Pga. defekt måler til radiatorvarme regnes i stedet med bimåler 3. sal, selv om denne kun tager en del
02.05.12 Kulturhuset.
</t>
        </r>
      </text>
    </comment>
    <comment ref="D12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19.03.13. TRON svøm</t>
        </r>
      </text>
    </comment>
    <comment ref="E12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19.03.13. FUGL sv.hal
</t>
        </r>
      </text>
    </comment>
    <comment ref="F12" authorId="2">
      <text>
        <r>
          <rPr>
            <b/>
            <sz val="9"/>
            <color indexed="81"/>
            <rFont val="Tahoma"/>
            <charset val="1"/>
          </rPr>
          <t>Ulla Jensen:</t>
        </r>
        <r>
          <rPr>
            <sz val="9"/>
            <color indexed="81"/>
            <rFont val="Tahoma"/>
            <charset val="1"/>
          </rPr>
          <t xml:space="preserve">
01.06.17. ENG-hallen.</t>
        </r>
      </text>
    </comment>
    <comment ref="H12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25.02.14 Stadion + den nye bane. Barakkens gasforbrug er ikke med.
</t>
        </r>
      </text>
    </comment>
    <comment ref="J12" authorId="2">
      <text>
        <r>
          <rPr>
            <b/>
            <sz val="8"/>
            <color indexed="81"/>
            <rFont val="Tahoma"/>
            <family val="2"/>
          </rPr>
          <t>Ulla Jensen:</t>
        </r>
        <r>
          <rPr>
            <sz val="8"/>
            <color indexed="81"/>
            <rFont val="Tahoma"/>
            <family val="2"/>
          </rPr>
          <t xml:space="preserve">
28.02.14. Varme  t. boldbaner incl.</t>
        </r>
      </text>
    </comment>
    <comment ref="K12" authorId="1">
      <text>
        <r>
          <rPr>
            <b/>
            <sz val="10"/>
            <color indexed="81"/>
            <rFont val="Tahoma"/>
            <family val="2"/>
          </rPr>
          <t>LTK:</t>
        </r>
        <r>
          <rPr>
            <sz val="10"/>
            <color indexed="81"/>
            <rFont val="Tahoma"/>
            <family val="2"/>
          </rPr>
          <t xml:space="preserve">
24.02.11
Lys t. boldbaner incl.</t>
        </r>
      </text>
    </comment>
    <comment ref="Q12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19.03.13. TRON svøm</t>
        </r>
      </text>
    </comment>
    <comment ref="R12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19.03.13. FUGL sv.hal
</t>
        </r>
      </text>
    </comment>
    <comment ref="U12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25.02.14 Stadion + den nye bane. Barakkens gasforbrug er ikke med.
</t>
        </r>
      </text>
    </comment>
    <comment ref="W12" authorId="2">
      <text>
        <r>
          <rPr>
            <b/>
            <sz val="8"/>
            <color indexed="81"/>
            <rFont val="Tahoma"/>
            <family val="2"/>
          </rPr>
          <t>Ulla Jensen:</t>
        </r>
        <r>
          <rPr>
            <sz val="8"/>
            <color indexed="81"/>
            <rFont val="Tahoma"/>
            <family val="2"/>
          </rPr>
          <t xml:space="preserve">
28.02.14. Varme  t. boldbaner incl.</t>
        </r>
      </text>
    </comment>
    <comment ref="X12" authorId="1">
      <text>
        <r>
          <rPr>
            <b/>
            <sz val="10"/>
            <color indexed="81"/>
            <rFont val="Tahoma"/>
            <family val="2"/>
          </rPr>
          <t>LTK:</t>
        </r>
        <r>
          <rPr>
            <sz val="10"/>
            <color indexed="81"/>
            <rFont val="Tahoma"/>
            <family val="2"/>
          </rPr>
          <t xml:space="preserve">
24.02.11
Lys t. boldbaner incl.</t>
        </r>
      </text>
    </comment>
    <comment ref="I13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21.03.13. MC-klub+Nø.g. 14+Sorg.f. K+Damerokl.</t>
        </r>
      </text>
    </comment>
    <comment ref="J13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25.02.14 TEK+øvr.omr+dagpl.
</t>
        </r>
      </text>
    </comment>
    <comment ref="K13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25.02.14 TEK+øvr.omr+dagpl.</t>
        </r>
      </text>
    </comment>
    <comment ref="V13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21.03.13. MC-klub+Nø.g. 14+Sorg.f. K+Damerokl.</t>
        </r>
      </text>
    </comment>
    <comment ref="W13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25.02.14 TEK+øvr.omr+dagpl.
</t>
        </r>
      </text>
    </comment>
    <comment ref="X13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25.02.14 TEK+øvr.omr+dagpl.</t>
        </r>
      </text>
    </comment>
    <comment ref="AR13" authorId="1">
      <text>
        <r>
          <rPr>
            <b/>
            <sz val="10"/>
            <color indexed="81"/>
            <rFont val="Tahoma"/>
            <family val="2"/>
          </rPr>
          <t>LTK:</t>
        </r>
        <r>
          <rPr>
            <sz val="10"/>
            <color indexed="81"/>
            <rFont val="Tahoma"/>
            <family val="2"/>
          </rPr>
          <t xml:space="preserve">
18.03.10
Incl. lys til boldbane</t>
        </r>
      </text>
    </comment>
    <comment ref="H15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21.03.13. Melagervej</t>
        </r>
      </text>
    </comment>
    <comment ref="U15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21.03.13. Melagervej</t>
        </r>
      </text>
    </comment>
    <comment ref="P25" authorId="2">
      <text>
        <r>
          <rPr>
            <b/>
            <sz val="9"/>
            <color indexed="81"/>
            <rFont val="Tahoma"/>
            <charset val="1"/>
          </rPr>
          <t>Ulla Jensen:</t>
        </r>
        <r>
          <rPr>
            <sz val="9"/>
            <color indexed="81"/>
            <rFont val="Tahoma"/>
            <charset val="1"/>
          </rPr>
          <t xml:space="preserve">
26.06.17. Revideret ifht. Sidste år. Forklaring: Se "drivmidler 2016)</t>
        </r>
      </text>
    </comment>
    <comment ref="B38" authorId="2">
      <text>
        <r>
          <rPr>
            <b/>
            <sz val="8"/>
            <color indexed="81"/>
            <rFont val="Tahoma"/>
            <family val="2"/>
          </rPr>
          <t>Ulla Jensen:</t>
        </r>
        <r>
          <rPr>
            <sz val="8"/>
            <color indexed="81"/>
            <rFont val="Tahoma"/>
            <family val="2"/>
          </rPr>
          <t xml:space="preserve">
07.05.15.. Fra Bent Nøhr, EON. Tlf. 30386118</t>
        </r>
      </text>
    </comment>
    <comment ref="B39" authorId="2">
      <text>
        <r>
          <rPr>
            <b/>
            <sz val="8"/>
            <color indexed="81"/>
            <rFont val="Tahoma"/>
            <family val="2"/>
          </rPr>
          <t>Ulla Jensen:</t>
        </r>
        <r>
          <rPr>
            <sz val="8"/>
            <color indexed="81"/>
            <rFont val="Tahoma"/>
            <family val="2"/>
          </rPr>
          <t xml:space="preserve">
07.05.15.. Fra Bent Nøhr, EON. Tlf. 30386118</t>
        </r>
      </text>
    </comment>
    <comment ref="B40" authorId="2">
      <text>
        <r>
          <rPr>
            <b/>
            <sz val="8"/>
            <color indexed="81"/>
            <rFont val="Tahoma"/>
            <family val="2"/>
          </rPr>
          <t>Ulla Jensen:</t>
        </r>
        <r>
          <rPr>
            <sz val="8"/>
            <color indexed="81"/>
            <rFont val="Tahoma"/>
            <family val="2"/>
          </rPr>
          <t xml:space="preserve">
07.05.15.. Fra Bent Nøhr, EON. Tlf. 30386118</t>
        </r>
      </text>
    </comment>
    <comment ref="B42" authorId="2">
      <text>
        <r>
          <rPr>
            <b/>
            <sz val="8"/>
            <color indexed="81"/>
            <rFont val="Tahoma"/>
            <family val="2"/>
          </rPr>
          <t>Ulla Jensen:</t>
        </r>
        <r>
          <rPr>
            <sz val="8"/>
            <color indexed="81"/>
            <rFont val="Tahoma"/>
            <family val="2"/>
          </rPr>
          <t xml:space="preserve">
07.05.15.. Fra Bent Nøhr, EON. Tlf. 30386118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21.05.2012. Skønnet (UJE)</t>
        </r>
      </text>
    </comment>
  </commentList>
</comments>
</file>

<file path=xl/comments2.xml><?xml version="1.0" encoding="utf-8"?>
<comments xmlns="http://schemas.openxmlformats.org/spreadsheetml/2006/main">
  <authors>
    <author>uje</author>
  </authors>
  <commentList>
    <comment ref="C12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06.05.13. Opvarmn. udlejn.ejd. trukket ud</t>
        </r>
      </text>
    </comment>
    <comment ref="D12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06.05.13. Opvarmn. udlejn.ejd. trukket ud</t>
        </r>
      </text>
    </comment>
    <comment ref="F12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06.05.13. Opvarmn. udlejn.ejd. trukket ud</t>
        </r>
      </text>
    </comment>
  </commentList>
</comments>
</file>

<file path=xl/comments3.xml><?xml version="1.0" encoding="utf-8"?>
<comments xmlns="http://schemas.openxmlformats.org/spreadsheetml/2006/main">
  <authors>
    <author>uje</author>
    <author>LTK</author>
    <author>Ulla Jensen</author>
  </authors>
  <commentList>
    <comment ref="D5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19.03.13. T12</t>
        </r>
      </text>
    </comment>
    <comment ref="O5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19.03.13. T12</t>
        </r>
      </text>
    </comment>
    <comment ref="Z5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19.03.13. T12</t>
        </r>
      </text>
    </comment>
    <comment ref="C6" authorId="1">
      <text>
        <r>
          <rPr>
            <b/>
            <sz val="10"/>
            <color indexed="81"/>
            <rFont val="Tahoma"/>
            <family val="2"/>
          </rPr>
          <t>LTK:</t>
        </r>
        <r>
          <rPr>
            <sz val="10"/>
            <color indexed="81"/>
            <rFont val="Tahoma"/>
            <family val="2"/>
          </rPr>
          <t xml:space="preserve">
16.03.10.
Trong.skolen</t>
        </r>
      </text>
    </comment>
    <comment ref="D6" authorId="1">
      <text>
        <r>
          <rPr>
            <b/>
            <sz val="10"/>
            <color indexed="81"/>
            <rFont val="Tahoma"/>
            <family val="2"/>
          </rPr>
          <t>LTK:</t>
        </r>
        <r>
          <rPr>
            <sz val="10"/>
            <color indexed="81"/>
            <rFont val="Tahoma"/>
            <family val="2"/>
          </rPr>
          <t xml:space="preserve">
18.03.10.
Ungd.skolen. 
25.02.14. Flyttet fra "Andre kommunale bygninger"</t>
        </r>
      </text>
    </comment>
    <comment ref="E6" authorId="1">
      <text>
        <r>
          <rPr>
            <b/>
            <sz val="10"/>
            <color indexed="81"/>
            <rFont val="Tahoma"/>
            <family val="2"/>
          </rPr>
          <t>LTK:</t>
        </r>
        <r>
          <rPr>
            <sz val="10"/>
            <color indexed="81"/>
            <rFont val="Tahoma"/>
            <family val="2"/>
          </rPr>
          <t xml:space="preserve">
18.03.10
Virum Skole</t>
        </r>
      </text>
    </comment>
    <comment ref="N6" authorId="1">
      <text>
        <r>
          <rPr>
            <b/>
            <sz val="10"/>
            <color indexed="81"/>
            <rFont val="Tahoma"/>
            <family val="2"/>
          </rPr>
          <t>LTK:</t>
        </r>
        <r>
          <rPr>
            <sz val="10"/>
            <color indexed="81"/>
            <rFont val="Tahoma"/>
            <family val="2"/>
          </rPr>
          <t xml:space="preserve">
16.03.10.
Trong.skolen</t>
        </r>
      </text>
    </comment>
    <comment ref="O6" authorId="1">
      <text>
        <r>
          <rPr>
            <b/>
            <sz val="10"/>
            <color indexed="81"/>
            <rFont val="Tahoma"/>
            <family val="2"/>
          </rPr>
          <t>LTK:</t>
        </r>
        <r>
          <rPr>
            <sz val="10"/>
            <color indexed="81"/>
            <rFont val="Tahoma"/>
            <family val="2"/>
          </rPr>
          <t xml:space="preserve">
18.03.10.
Ungd.skolen.
25.02.14. Flyttet fra "Andre komm. Bygn."</t>
        </r>
      </text>
    </comment>
    <comment ref="P6" authorId="1">
      <text>
        <r>
          <rPr>
            <b/>
            <sz val="10"/>
            <color indexed="81"/>
            <rFont val="Tahoma"/>
            <family val="2"/>
          </rPr>
          <t>LTK:</t>
        </r>
        <r>
          <rPr>
            <sz val="10"/>
            <color indexed="81"/>
            <rFont val="Tahoma"/>
            <family val="2"/>
          </rPr>
          <t xml:space="preserve">
18.03.10
Virum Skole</t>
        </r>
      </text>
    </comment>
    <comment ref="Y6" authorId="1">
      <text>
        <r>
          <rPr>
            <b/>
            <sz val="10"/>
            <color indexed="81"/>
            <rFont val="Tahoma"/>
            <family val="2"/>
          </rPr>
          <t>LTK:</t>
        </r>
        <r>
          <rPr>
            <sz val="10"/>
            <color indexed="81"/>
            <rFont val="Tahoma"/>
            <family val="2"/>
          </rPr>
          <t xml:space="preserve">
16.03.10.
Trong.skolen</t>
        </r>
      </text>
    </comment>
    <comment ref="AA6" authorId="1">
      <text>
        <r>
          <rPr>
            <b/>
            <sz val="10"/>
            <color indexed="81"/>
            <rFont val="Tahoma"/>
            <family val="2"/>
          </rPr>
          <t>LTK:</t>
        </r>
        <r>
          <rPr>
            <sz val="10"/>
            <color indexed="81"/>
            <rFont val="Tahoma"/>
            <family val="2"/>
          </rPr>
          <t xml:space="preserve">
18.03.10
Virum Skole</t>
        </r>
      </text>
    </comment>
    <comment ref="D7" authorId="1">
      <text>
        <r>
          <rPr>
            <b/>
            <sz val="10"/>
            <color indexed="81"/>
            <rFont val="Tahoma"/>
            <family val="2"/>
          </rPr>
          <t>LTK:</t>
        </r>
        <r>
          <rPr>
            <sz val="10"/>
            <color indexed="81"/>
            <rFont val="Tahoma"/>
            <family val="2"/>
          </rPr>
          <t xml:space="preserve">
02.05.12. Ny varmemåler Rævehøjen er ok.</t>
        </r>
      </text>
    </comment>
    <comment ref="F7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21.03.13. Garantien
</t>
        </r>
      </text>
    </comment>
    <comment ref="O7" authorId="1">
      <text>
        <r>
          <rPr>
            <b/>
            <sz val="10"/>
            <color indexed="81"/>
            <rFont val="Tahoma"/>
            <family val="2"/>
          </rPr>
          <t>LTK:</t>
        </r>
        <r>
          <rPr>
            <sz val="10"/>
            <color indexed="81"/>
            <rFont val="Tahoma"/>
            <family val="2"/>
          </rPr>
          <t xml:space="preserve">
02.05.12. Ny varmemåler Rævehøjen er ok.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21.03.13. Garantien
</t>
        </r>
      </text>
    </comment>
    <comment ref="Z7" authorId="1">
      <text>
        <r>
          <rPr>
            <b/>
            <sz val="10"/>
            <color indexed="81"/>
            <rFont val="Tahoma"/>
            <family val="2"/>
          </rPr>
          <t>LTK:</t>
        </r>
        <r>
          <rPr>
            <sz val="10"/>
            <color indexed="81"/>
            <rFont val="Tahoma"/>
            <family val="2"/>
          </rPr>
          <t xml:space="preserve">
02.05.12. Ny varmemåler Rævehøjen er ok.</t>
        </r>
      </text>
    </comment>
    <comment ref="AB7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21.03.13. Garantien. Skovbo ej med.
</t>
        </r>
      </text>
    </comment>
    <comment ref="F8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21.03.13. Kolle</t>
        </r>
      </text>
    </comment>
    <comment ref="Q8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21.03.13. Kolle</t>
        </r>
      </text>
    </comment>
    <comment ref="AB8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21.03.13. Kolle</t>
        </r>
      </text>
    </comment>
    <comment ref="E9" authorId="1">
      <text>
        <r>
          <rPr>
            <sz val="10"/>
            <color indexed="81"/>
            <rFont val="Tahoma"/>
            <family val="2"/>
          </rPr>
          <t>19.03.13. Solg.+BAU+Fort. KAB ej med. Gasforbrug, ca. 30 %, er trukket ud.</t>
        </r>
      </text>
    </comment>
    <comment ref="P9" authorId="1">
      <text>
        <r>
          <rPr>
            <sz val="10"/>
            <color indexed="81"/>
            <rFont val="Tahoma"/>
            <family val="2"/>
          </rPr>
          <t>19.03.13. Solg.+BAU+Fort. KAB ej med. Gasforbrug, ca. 42,2 %, er trukket ud.</t>
        </r>
      </text>
    </comment>
    <comment ref="AA9" authorId="1">
      <text>
        <r>
          <rPr>
            <sz val="10"/>
            <color indexed="81"/>
            <rFont val="Tahoma"/>
            <family val="2"/>
          </rPr>
          <t>19.03.13. Solg.+BAU+Fort. KAB ej med. Gasforbrug, ca. 18
 %, er trukket ud.</t>
        </r>
      </text>
    </comment>
    <comment ref="AC9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29.04.13. Værdi for Solg. Er fra 2012!</t>
        </r>
      </text>
    </comment>
    <comment ref="AD9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29.04.13. Solg. Forbrug 2012 er brugt.</t>
        </r>
      </text>
    </comment>
    <comment ref="Z10" authorId="1">
      <text>
        <r>
          <rPr>
            <b/>
            <sz val="10"/>
            <color indexed="81"/>
            <rFont val="Tahoma"/>
            <family val="2"/>
          </rPr>
          <t>LTK:</t>
        </r>
        <r>
          <rPr>
            <sz val="10"/>
            <color indexed="81"/>
            <rFont val="Tahoma"/>
            <family val="2"/>
          </rPr>
          <t xml:space="preserve">
02.05.12 Kulturhuset</t>
        </r>
      </text>
    </comment>
    <comment ref="AC10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23.04.13. Nu incl. bibl.
</t>
        </r>
      </text>
    </comment>
    <comment ref="AD10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22.04.13. Nu incl. bibl.</t>
        </r>
      </text>
    </comment>
    <comment ref="D11" authorId="1">
      <text>
        <r>
          <rPr>
            <b/>
            <sz val="10"/>
            <color indexed="81"/>
            <rFont val="Tahoma"/>
            <family val="2"/>
          </rPr>
          <t>LTK:</t>
        </r>
        <r>
          <rPr>
            <sz val="10"/>
            <color indexed="81"/>
            <rFont val="Tahoma"/>
            <family val="2"/>
          </rPr>
          <t xml:space="preserve">
02.05.12 Kulturhuset.
04.03.14. Tillagt 10 MWh pga. defekt måler (se kommentar)
</t>
        </r>
      </text>
    </comment>
    <comment ref="G11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04.03.14. Tillagt 10 MWh pga. defekt måler kulturhus.
23.04.13. Nu incl. bibl.
</t>
        </r>
      </text>
    </comment>
    <comment ref="H11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22.04.13. Nu incl. bibl.</t>
        </r>
      </text>
    </comment>
    <comment ref="O11" authorId="1">
      <text>
        <r>
          <rPr>
            <b/>
            <sz val="10"/>
            <color indexed="81"/>
            <rFont val="Tahoma"/>
            <family val="2"/>
          </rPr>
          <t>LTK:</t>
        </r>
        <r>
          <rPr>
            <sz val="10"/>
            <color indexed="81"/>
            <rFont val="Tahoma"/>
            <family val="2"/>
          </rPr>
          <t xml:space="preserve">
02.05.12 Kulturhuset</t>
        </r>
      </text>
    </comment>
    <comment ref="R11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23.04.13. Nu incl. bibl.
</t>
        </r>
      </text>
    </comment>
    <comment ref="S11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22.04.13. Nu incl. bibl.</t>
        </r>
      </text>
    </comment>
    <comment ref="Y11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19.03.13. TRON svøm</t>
        </r>
      </text>
    </comment>
    <comment ref="Z11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19.03.13. FUGL sv.hal
</t>
        </r>
      </text>
    </comment>
    <comment ref="AA11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19.03.13 Stadion. Barakkens gasforbrug fratrækkes.
</t>
        </r>
      </text>
    </comment>
    <comment ref="AB11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19.03.13. Dameroklubben
</t>
        </r>
      </text>
    </comment>
    <comment ref="AD11" authorId="1">
      <text>
        <r>
          <rPr>
            <b/>
            <sz val="10"/>
            <color indexed="81"/>
            <rFont val="Tahoma"/>
            <family val="2"/>
          </rPr>
          <t>LTK:</t>
        </r>
        <r>
          <rPr>
            <sz val="10"/>
            <color indexed="81"/>
            <rFont val="Tahoma"/>
            <family val="2"/>
          </rPr>
          <t xml:space="preserve">
24.02.11
Lys t. boldbaner incl.</t>
        </r>
      </text>
    </comment>
    <comment ref="C12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19.03.13. TRON svøm</t>
        </r>
      </text>
    </comment>
    <comment ref="D12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19.03.13. FUGL sv.hal
</t>
        </r>
      </text>
    </comment>
    <comment ref="E12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25.02.14 Stadion. Barakkens gasforbrug er ikke med.
</t>
        </r>
      </text>
    </comment>
    <comment ref="F12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19.03.13. Dameroklubben
</t>
        </r>
      </text>
    </comment>
    <comment ref="G12" authorId="2">
      <text>
        <r>
          <rPr>
            <b/>
            <sz val="8"/>
            <color indexed="81"/>
            <rFont val="Tahoma"/>
            <family val="2"/>
          </rPr>
          <t>Ulla Jensen:</t>
        </r>
        <r>
          <rPr>
            <sz val="8"/>
            <color indexed="81"/>
            <rFont val="Tahoma"/>
            <family val="2"/>
          </rPr>
          <t xml:space="preserve">
28.02.14. Varme  t. boldbaner incl.</t>
        </r>
      </text>
    </comment>
    <comment ref="H12" authorId="1">
      <text>
        <r>
          <rPr>
            <b/>
            <sz val="10"/>
            <color indexed="81"/>
            <rFont val="Tahoma"/>
            <family val="2"/>
          </rPr>
          <t>LTK:</t>
        </r>
        <r>
          <rPr>
            <sz val="10"/>
            <color indexed="81"/>
            <rFont val="Tahoma"/>
            <family val="2"/>
          </rPr>
          <t xml:space="preserve">
24.02.11
Lys t. boldbaner incl.</t>
        </r>
      </text>
    </comment>
    <comment ref="N12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19.03.13. TRON svøm</t>
        </r>
      </text>
    </comment>
    <comment ref="O12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19.03.13. FUGL sv.hal
</t>
        </r>
      </text>
    </comment>
    <comment ref="P12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25.02.14 Stadion. Barakkens gasforbrug er ikke med. Værdi fra 12-opg. Bibeholdt, se kommentar.
</t>
        </r>
      </text>
    </comment>
    <comment ref="Q12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19.03.13. Dameroklubben
</t>
        </r>
      </text>
    </comment>
    <comment ref="S12" authorId="1">
      <text>
        <r>
          <rPr>
            <b/>
            <sz val="10"/>
            <color indexed="81"/>
            <rFont val="Tahoma"/>
            <family val="2"/>
          </rPr>
          <t>LTK:</t>
        </r>
        <r>
          <rPr>
            <sz val="10"/>
            <color indexed="81"/>
            <rFont val="Tahoma"/>
            <family val="2"/>
          </rPr>
          <t xml:space="preserve">
24.02.11
Lys t. boldbaner incl.</t>
        </r>
      </text>
    </comment>
    <comment ref="Z12" authorId="1">
      <text>
        <r>
          <rPr>
            <b/>
            <sz val="10"/>
            <color indexed="81"/>
            <rFont val="Tahoma"/>
            <family val="2"/>
          </rPr>
          <t>LTK:</t>
        </r>
        <r>
          <rPr>
            <sz val="10"/>
            <color indexed="81"/>
            <rFont val="Tahoma"/>
            <family val="2"/>
          </rPr>
          <t xml:space="preserve">
18.03.10.
Ungd.skolen</t>
        </r>
      </text>
    </comment>
    <comment ref="AB12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21.03.13. MC-klub+Nø.g. 14+Sorg.f. K</t>
        </r>
      </text>
    </comment>
    <comment ref="AC12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22.04.13 Inst.ejd+TEK+øvr.omr.+arb.m.foranst.</t>
        </r>
      </text>
    </comment>
    <comment ref="AD12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22.04.13 Inst.ejd+TEK+øvr.omr.+arb.m.foranst.</t>
        </r>
      </text>
    </comment>
    <comment ref="F13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21.03.13. MC-klub+Nø.g. 14+Sorg.f. K</t>
        </r>
      </text>
    </comment>
    <comment ref="G13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25.02.14 TEK+øvr.omr+dagpl.
</t>
        </r>
      </text>
    </comment>
    <comment ref="H13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25.02.14 TEK+øvr.omr+dagpl.</t>
        </r>
      </text>
    </comment>
    <comment ref="Q13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21.03.13. MC-klub+Nø.g. 14+Sorg.f. K</t>
        </r>
      </text>
    </comment>
    <comment ref="R13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25.02.14 TEK+øvr.omr+dagpl.</t>
        </r>
      </text>
    </comment>
    <comment ref="S13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25.02.14 TEK+øvr.omr+dagpl.</t>
        </r>
      </text>
    </comment>
    <comment ref="AZ13" authorId="1">
      <text>
        <r>
          <rPr>
            <b/>
            <sz val="10"/>
            <color indexed="81"/>
            <rFont val="Tahoma"/>
            <family val="2"/>
          </rPr>
          <t>LTK:</t>
        </r>
        <r>
          <rPr>
            <sz val="10"/>
            <color indexed="81"/>
            <rFont val="Tahoma"/>
            <family val="2"/>
          </rPr>
          <t xml:space="preserve">
18.03.10
Incl. lys til boldbane</t>
        </r>
      </text>
    </comment>
    <comment ref="AA14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21.03.13. Melagervej</t>
        </r>
      </text>
    </comment>
    <comment ref="E15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21.03.13. Melagervej</t>
        </r>
      </text>
    </comment>
    <comment ref="P15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21.03.13. Melagervej</t>
        </r>
      </text>
    </comment>
    <comment ref="B38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22.04.2013. Fra Mogens Larsen, EON. Tlf. 30386159 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22.04.2013. Fra Mogens Larsen, EON. Tlf. 30386159 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22.04.2013. Fra Mogens Larsen, EON. Tlf. 30386159 </t>
        </r>
      </text>
    </comment>
    <comment ref="B44" authorId="0">
      <text>
        <r>
          <rPr>
            <b/>
            <sz val="8"/>
            <color indexed="81"/>
            <rFont val="Tahoma"/>
            <family val="2"/>
          </rPr>
          <t>uje:</t>
        </r>
        <r>
          <rPr>
            <sz val="8"/>
            <color indexed="81"/>
            <rFont val="Tahoma"/>
            <family val="2"/>
          </rPr>
          <t xml:space="preserve">
21.05.2012. Skønnet (UJE)</t>
        </r>
      </text>
    </comment>
  </commentList>
</comments>
</file>

<file path=xl/sharedStrings.xml><?xml version="1.0" encoding="utf-8"?>
<sst xmlns="http://schemas.openxmlformats.org/spreadsheetml/2006/main" count="448" uniqueCount="163">
  <si>
    <t xml:space="preserve">Gas </t>
  </si>
  <si>
    <t>Fjernvarme</t>
  </si>
  <si>
    <t>Kraftvarme</t>
  </si>
  <si>
    <t>Benzin</t>
  </si>
  <si>
    <t>Opvarmning:</t>
  </si>
  <si>
    <t>El:</t>
  </si>
  <si>
    <t>Befordring:</t>
  </si>
  <si>
    <t>Diesel</t>
  </si>
  <si>
    <t>Brændsel</t>
  </si>
  <si>
    <t>CO2 belastning</t>
  </si>
  <si>
    <t>CO2-faktor</t>
  </si>
  <si>
    <t>Beregning af CO2-belastning</t>
  </si>
  <si>
    <t>I alt</t>
  </si>
  <si>
    <t>Olie</t>
  </si>
  <si>
    <t xml:space="preserve">El  </t>
  </si>
  <si>
    <t>Belysning</t>
  </si>
  <si>
    <t>Vejbelysning</t>
  </si>
  <si>
    <t>Vandforsyningen</t>
  </si>
  <si>
    <t>Mængde</t>
  </si>
  <si>
    <t>liter</t>
  </si>
  <si>
    <t xml:space="preserve"> </t>
  </si>
  <si>
    <r>
      <t>kg CO</t>
    </r>
    <r>
      <rPr>
        <sz val="8"/>
        <rFont val="Arial"/>
        <family val="2"/>
      </rPr>
      <t>2</t>
    </r>
  </si>
  <si>
    <t>Mwh</t>
  </si>
  <si>
    <r>
      <t>m</t>
    </r>
    <r>
      <rPr>
        <sz val="8"/>
        <rFont val="Arial"/>
        <family val="2"/>
      </rPr>
      <t>3</t>
    </r>
  </si>
  <si>
    <r>
      <t>kgCO</t>
    </r>
    <r>
      <rPr>
        <sz val="8"/>
        <rFont val="Arial"/>
        <family val="2"/>
      </rPr>
      <t>2</t>
    </r>
    <r>
      <rPr>
        <sz val="10"/>
        <rFont val="Arial"/>
      </rPr>
      <t>/MWh</t>
    </r>
  </si>
  <si>
    <r>
      <t>kg CO</t>
    </r>
    <r>
      <rPr>
        <sz val="8"/>
        <rFont val="Arial"/>
        <family val="2"/>
      </rPr>
      <t>3</t>
    </r>
    <r>
      <rPr>
        <sz val="10"/>
        <rFont val="Arial"/>
      </rPr>
      <t/>
    </r>
  </si>
  <si>
    <t>Fjernvarme - nye kedler</t>
  </si>
  <si>
    <r>
      <t>kgCO</t>
    </r>
    <r>
      <rPr>
        <sz val="8"/>
        <rFont val="Arial"/>
        <family val="2"/>
      </rPr>
      <t>2</t>
    </r>
    <r>
      <rPr>
        <sz val="10"/>
        <rFont val="Arial"/>
      </rPr>
      <t>/liter</t>
    </r>
  </si>
  <si>
    <r>
      <t>kgCO</t>
    </r>
    <r>
      <rPr>
        <sz val="8"/>
        <rFont val="Arial"/>
        <family val="2"/>
      </rPr>
      <t>2</t>
    </r>
    <r>
      <rPr>
        <sz val="10"/>
        <rFont val="Arial"/>
      </rPr>
      <t>/m</t>
    </r>
    <r>
      <rPr>
        <sz val="8"/>
        <rFont val="Arial"/>
        <family val="2"/>
      </rPr>
      <t>3</t>
    </r>
  </si>
  <si>
    <t>Teknisk Forvaltning</t>
  </si>
  <si>
    <t>Bygningsafdelingen</t>
  </si>
  <si>
    <t>Den 04.04.2008/Heg</t>
  </si>
  <si>
    <t>Bygninger</t>
  </si>
  <si>
    <t>Befordring</t>
  </si>
  <si>
    <t>LTK totalt</t>
  </si>
  <si>
    <t>Rensningsanlægget*</t>
  </si>
  <si>
    <t>* Beregnet som 52 % af forbruget til renseanlæg + hele forbruget til ledningsafdelingen (pumperne)</t>
  </si>
  <si>
    <t>Samlet CO2-belastning i 2008</t>
  </si>
  <si>
    <t>Rensningsanlægget</t>
  </si>
  <si>
    <t>Tons CO2</t>
  </si>
  <si>
    <t>Kilde</t>
  </si>
  <si>
    <t>CO2-udslip i alt</t>
  </si>
  <si>
    <t>Brændstof</t>
  </si>
  <si>
    <t xml:space="preserve">Samlet CO2-udslip </t>
  </si>
  <si>
    <t>Energiforbrug i kommunale bygninger i alt</t>
  </si>
  <si>
    <t>Administrationsbygninger</t>
  </si>
  <si>
    <t>Skoler</t>
  </si>
  <si>
    <t>Daginstitutioner</t>
  </si>
  <si>
    <t>Fritids- og ungdomsklubber</t>
  </si>
  <si>
    <t>Ældrepleje</t>
  </si>
  <si>
    <t>Kulturinstitutioner</t>
  </si>
  <si>
    <t>Andre kommunale bygninger</t>
  </si>
  <si>
    <t>Gas</t>
  </si>
  <si>
    <t>Fj.varme</t>
  </si>
  <si>
    <t>Fjv. nye</t>
  </si>
  <si>
    <t>Kraftv.</t>
  </si>
  <si>
    <t>El</t>
  </si>
  <si>
    <t>Opvarmningsforbrug</t>
  </si>
  <si>
    <t>MWh</t>
  </si>
  <si>
    <t>Idrætsanlæg i alt</t>
  </si>
  <si>
    <t>Sum</t>
  </si>
  <si>
    <t>kg CO2/MWh</t>
  </si>
  <si>
    <t>Sum varme</t>
  </si>
  <si>
    <t>Alle LTK´s bygninger</t>
  </si>
  <si>
    <t>Benzin [liter]</t>
  </si>
  <si>
    <t>Diesel [liter]</t>
  </si>
  <si>
    <t>Fællesforbrug ved kommunalt boligbyggeri *</t>
  </si>
  <si>
    <t>* Beregnes som summen af beboelsesejendomme og erhvervsejendomme</t>
  </si>
  <si>
    <t>Vandværk</t>
  </si>
  <si>
    <t>Ændr. Ton/år</t>
  </si>
  <si>
    <t>** Beregnet som 52 % af forbruget til renseanlæg + hele forbruget til ledningsafdelingen (pumperne)</t>
  </si>
  <si>
    <t>Rensningsanlæg **</t>
  </si>
  <si>
    <t>CO2 kg</t>
  </si>
  <si>
    <t>CO2 Ton</t>
  </si>
  <si>
    <t>CO2-emissionsfaktorer for el er fundet på ENERGINET.dk</t>
  </si>
  <si>
    <t>Genbrugsstationen</t>
  </si>
  <si>
    <t>Ændring [%]</t>
  </si>
  <si>
    <r>
      <t xml:space="preserve">Ændring [%] </t>
    </r>
    <r>
      <rPr>
        <sz val="12"/>
        <rFont val="Arial"/>
        <family val="2"/>
      </rPr>
      <t>*</t>
    </r>
  </si>
  <si>
    <t>Lyngby-Taarbæk Kommune</t>
  </si>
  <si>
    <t>Total CO2-udledning [Ton/år]</t>
  </si>
  <si>
    <r>
      <t xml:space="preserve">Udledning </t>
    </r>
    <r>
      <rPr>
        <sz val="12"/>
        <rFont val="Arial"/>
        <family val="2"/>
      </rPr>
      <t>*</t>
    </r>
    <r>
      <rPr>
        <b/>
        <sz val="12"/>
        <rFont val="Arial"/>
        <family val="2"/>
      </rPr>
      <t xml:space="preserve"> [Ton/år]</t>
    </r>
  </si>
  <si>
    <t>Kraftv. Beboelse</t>
  </si>
  <si>
    <t>Benyttede emissionsfaktorer:</t>
  </si>
  <si>
    <t xml:space="preserve"> g CO2/l</t>
  </si>
  <si>
    <t>CO2-emissionsfaktorer for kraftvarme er opgivet af leverandøren, E.ON</t>
  </si>
  <si>
    <t>Kraftvarme, Stadion 2012</t>
  </si>
  <si>
    <t>Kraftv. Solg. Bauneh. 2012</t>
  </si>
  <si>
    <t>Kraftv. Virum Skole 2012</t>
  </si>
  <si>
    <t>El 2012 (incl. tab transm. Distrib.</t>
  </si>
  <si>
    <t>Emiss.faktorer 2012</t>
  </si>
  <si>
    <t>CO2 kg 2011-faktor)</t>
  </si>
  <si>
    <t>Hjemmeplejens biler</t>
  </si>
  <si>
    <t>Kørsel i egen bil</t>
  </si>
  <si>
    <t>[Km]</t>
  </si>
  <si>
    <t>Kørsel i privatbiler</t>
  </si>
  <si>
    <r>
      <t>kgCO</t>
    </r>
    <r>
      <rPr>
        <sz val="8"/>
        <rFont val="Arial"/>
        <family val="2"/>
      </rPr>
      <t>2</t>
    </r>
    <r>
      <rPr>
        <sz val="10"/>
        <rFont val="Arial"/>
      </rPr>
      <t>/km</t>
    </r>
  </si>
  <si>
    <t>Transport i alt LTK</t>
  </si>
  <si>
    <t>Transport LTK</t>
  </si>
  <si>
    <t>Transport i alt LTF ***</t>
  </si>
  <si>
    <t>*** Vandværk, rensningsanlæg (52%), kloak, genbrugsstationen</t>
  </si>
  <si>
    <t>LTK</t>
  </si>
  <si>
    <t>Sum:</t>
  </si>
  <si>
    <t>Udleveret fra Vejv.tankanlæg</t>
  </si>
  <si>
    <t xml:space="preserve"> - Vandværk</t>
  </si>
  <si>
    <t>Tekniske anlæg (LTF) ** i alt</t>
  </si>
  <si>
    <t xml:space="preserve"> - Rensningsanlæg ***</t>
  </si>
  <si>
    <t>** LTF = Lyngby-Taarbæk Forsyning A/S</t>
  </si>
  <si>
    <t xml:space="preserve"> - Genbrugsstationen</t>
  </si>
  <si>
    <t xml:space="preserve">Transport LTF i alt </t>
  </si>
  <si>
    <t>LTK i alt</t>
  </si>
  <si>
    <t>Fællesforbrug ved komm. boligbyggeri</t>
  </si>
  <si>
    <t>Energiforbrug komm. bygn. ialt</t>
  </si>
  <si>
    <t>I alt LTK + LTF</t>
  </si>
  <si>
    <t>LTF i alt</t>
  </si>
  <si>
    <t>Forbrug 2013</t>
  </si>
  <si>
    <t>Specialinstitutioner</t>
  </si>
  <si>
    <t>Kørsel i elbiler</t>
  </si>
  <si>
    <t>El 2013 (incl. tab transm. Distrib.</t>
  </si>
  <si>
    <t>[kWh]</t>
  </si>
  <si>
    <t>Emiss.faktorer 2013</t>
  </si>
  <si>
    <t>CO2 kg (2012-faktor)</t>
  </si>
  <si>
    <t>CO2 kg (2013-faktor)</t>
  </si>
  <si>
    <t>CO2-faktorer 2013 og 2012</t>
  </si>
  <si>
    <t>Kraftvarme, Stadion 2013</t>
  </si>
  <si>
    <t>Kraftv. Solg. Bauneh. 2013</t>
  </si>
  <si>
    <t>Kraftv. Virum Skole 2013</t>
  </si>
  <si>
    <t>Forbrug 2012, beregnet feb-mar 2014</t>
  </si>
  <si>
    <t>Forbrug 2011, beregnet feb-mar 2014</t>
  </si>
  <si>
    <t>Sum drivmiddel</t>
  </si>
  <si>
    <t>Energiforbrug i kommunale
 bygninger i alt</t>
  </si>
  <si>
    <t>Forbrug 2015</t>
  </si>
  <si>
    <t>El 2015 (incl. tab transm. Distrib.</t>
  </si>
  <si>
    <t>Fjernvarme Vestforbrænding</t>
  </si>
  <si>
    <t>Fjernv.
Vestfor.</t>
  </si>
  <si>
    <t>Fyringsolie (DN vejledn. 2012)</t>
  </si>
  <si>
    <t>Kraftvarme, Stadion 2015</t>
  </si>
  <si>
    <t>Emiss.faktorer 2015</t>
  </si>
  <si>
    <t>CO2 kg (2015-faktor)</t>
  </si>
  <si>
    <r>
      <t xml:space="preserve">31.03.16. D.d. har vi regnet os frem til, at Virum Skoles strømforbrug som registreret i Omega af DONG (fra 01.06.14 VE-data) er den mængde, der </t>
    </r>
    <r>
      <rPr>
        <b/>
        <sz val="10"/>
        <rFont val="Arial"/>
        <family val="2"/>
      </rPr>
      <t xml:space="preserve">bidrager </t>
    </r>
    <r>
      <rPr>
        <sz val="10"/>
        <rFont val="Arial"/>
      </rPr>
      <t xml:space="preserve">til CO2-udledningen. </t>
    </r>
  </si>
  <si>
    <r>
      <t xml:space="preserve">Skolens samlede strømforbrug er summen af det således registrerede, </t>
    </r>
    <r>
      <rPr>
        <b/>
        <sz val="10"/>
        <rFont val="Arial"/>
        <family val="2"/>
      </rPr>
      <t xml:space="preserve">plus </t>
    </r>
    <r>
      <rPr>
        <sz val="10"/>
        <rFont val="Arial"/>
      </rPr>
      <t xml:space="preserve">den af solcellerne producerede strøm (i 2015 var det 77.710 kWh, i 2014 var det 82.207 kWh) </t>
    </r>
    <r>
      <rPr>
        <b/>
        <sz val="10"/>
        <rFont val="Arial"/>
        <family val="2"/>
      </rPr>
      <t>minus</t>
    </r>
    <r>
      <rPr>
        <sz val="10"/>
        <rFont val="Arial"/>
      </rPr>
      <t xml:space="preserve"> </t>
    </r>
  </si>
  <si>
    <r>
      <t xml:space="preserve">den registrerede strøm </t>
    </r>
    <r>
      <rPr>
        <b/>
        <sz val="10"/>
        <rFont val="Arial"/>
        <family val="2"/>
      </rPr>
      <t>til</t>
    </r>
    <r>
      <rPr>
        <sz val="10"/>
        <rFont val="Arial"/>
        <family val="2"/>
      </rPr>
      <t xml:space="preserve"> net (VE-data). Denne sidste repræsenterer et fald i CO2-udledningen, som fratrækkes i CO2-udledningsopgørelsen. </t>
    </r>
  </si>
  <si>
    <t>Da strøm fra solceller ikke udleder CO2, sparer dette bidrag til DONG´s netværk CO2.</t>
  </si>
  <si>
    <r>
      <t xml:space="preserve">ton CO2/år </t>
    </r>
    <r>
      <rPr>
        <b/>
        <sz val="12"/>
        <rFont val="Arial"/>
        <family val="2"/>
      </rPr>
      <t>*</t>
    </r>
  </si>
  <si>
    <t>ton CO2 *</t>
  </si>
  <si>
    <r>
      <t xml:space="preserve">LTK har indgået en klimapartnerskabsaftale med DONG, der går ud på, at vi hvert år køber </t>
    </r>
    <r>
      <rPr>
        <b/>
        <sz val="10"/>
        <rFont val="Arial"/>
        <family val="2"/>
      </rPr>
      <t xml:space="preserve">2.550 MWh </t>
    </r>
    <r>
      <rPr>
        <sz val="10"/>
        <rFont val="Arial"/>
        <family val="2"/>
      </rPr>
      <t>vind-</t>
    </r>
  </si>
  <si>
    <t xml:space="preserve">møllestrøm, hvorved vi sparer CO2-udslip: </t>
  </si>
  <si>
    <t>Fjernvarme, Vestforbrænding</t>
  </si>
  <si>
    <t xml:space="preserve"> Kg CO2/MWh</t>
  </si>
  <si>
    <t>Forbrug 2016</t>
  </si>
  <si>
    <t>Kraftvarme, Stadion 2016</t>
  </si>
  <si>
    <t>Kraftv. Bauneh. 2015</t>
  </si>
  <si>
    <t>Kraftv. Virum Skole Solg. 2015</t>
  </si>
  <si>
    <t>Kraftv. Virum Skole Solg. 2016</t>
  </si>
  <si>
    <t>Emiss.faktorer 2016</t>
  </si>
  <si>
    <t>El 2016 (incl. tab transm. Distrib.</t>
  </si>
  <si>
    <t>CO2 kg (2016-faktor)</t>
  </si>
  <si>
    <r>
      <t xml:space="preserve">2016 </t>
    </r>
    <r>
      <rPr>
        <sz val="12"/>
        <rFont val="Arial"/>
        <family val="2"/>
      </rPr>
      <t>*</t>
    </r>
  </si>
  <si>
    <t>* CO2-emissionsfaktorer for 2015</t>
  </si>
  <si>
    <t>*** Beregnet som 50,18 % af forbruget til renseanlæg + hele forbruget til ledningsafdelingen (pumperne)</t>
  </si>
  <si>
    <t>CO2-faktorer 2016 og 2015</t>
  </si>
  <si>
    <t>Således er der sparet CO2-udslip 2015:</t>
  </si>
  <si>
    <t>2016:</t>
  </si>
  <si>
    <r>
      <t xml:space="preserve">Der er opsat solcelleanlæg på Virum Skoles tag, overskudsproduktion 2015: </t>
    </r>
    <r>
      <rPr>
        <b/>
        <sz val="10"/>
        <rFont val="Arial"/>
        <family val="2"/>
      </rPr>
      <t xml:space="preserve">12.330 kWh, </t>
    </r>
    <r>
      <rPr>
        <sz val="9"/>
        <rFont val="Arial"/>
        <family val="2"/>
      </rPr>
      <t xml:space="preserve">2016: </t>
    </r>
    <r>
      <rPr>
        <b/>
        <sz val="9"/>
        <rFont val="Arial"/>
        <family val="2"/>
      </rPr>
      <t>4.741 kWh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</si>
</sst>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0.0%"/>
    <numFmt numFmtId="165" formatCode="0.000"/>
    <numFmt numFmtId="166" formatCode="#,##0.0"/>
    <numFmt numFmtId="167" formatCode="0.0"/>
  </numFmts>
  <fonts count="42">
    <font>
      <sz val="10"/>
      <name val="Arial"/>
    </font>
    <font>
      <sz val="10"/>
      <name val="Arial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34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3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Trebuchet MS"/>
      <family val="2"/>
    </font>
    <font>
      <b/>
      <sz val="10"/>
      <name val="TheSans-Plain"/>
    </font>
    <font>
      <b/>
      <sz val="9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1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0"/>
      </patternFill>
    </fill>
    <fill>
      <patternFill patternType="solid">
        <fgColor indexed="34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double">
        <color indexed="3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6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4" fillId="15" borderId="2" applyNumberFormat="0" applyAlignment="0" applyProtection="0"/>
    <xf numFmtId="0" fontId="14" fillId="15" borderId="2" applyNumberFormat="0" applyAlignment="0" applyProtection="0"/>
    <xf numFmtId="0" fontId="14" fillId="15" borderId="2" applyNumberFormat="0" applyAlignment="0" applyProtection="0"/>
    <xf numFmtId="0" fontId="18" fillId="16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43" fontId="1" fillId="0" borderId="0" applyFont="0" applyFill="0" applyBorder="0" applyAlignment="0" applyProtection="0"/>
    <xf numFmtId="0" fontId="18" fillId="16" borderId="3" applyNumberFormat="0" applyAlignment="0" applyProtection="0"/>
    <xf numFmtId="0" fontId="18" fillId="16" borderId="3" applyNumberFormat="0" applyAlignment="0" applyProtection="0"/>
    <xf numFmtId="0" fontId="24" fillId="0" borderId="7" applyNumberFormat="0" applyFill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0" borderId="0"/>
    <xf numFmtId="0" fontId="37" fillId="0" borderId="0"/>
    <xf numFmtId="0" fontId="33" fillId="0" borderId="0"/>
    <xf numFmtId="0" fontId="11" fillId="0" borderId="0"/>
    <xf numFmtId="0" fontId="1" fillId="14" borderId="1" applyNumberFormat="0" applyFont="0" applyAlignment="0" applyProtection="0"/>
    <xf numFmtId="0" fontId="20" fillId="15" borderId="8" applyNumberFormat="0" applyAlignment="0" applyProtection="0"/>
    <xf numFmtId="0" fontId="20" fillId="15" borderId="8" applyNumberFormat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3" fontId="0" fillId="0" borderId="0" xfId="0" applyNumberFormat="1"/>
    <xf numFmtId="3" fontId="0" fillId="0" borderId="12" xfId="0" applyNumberFormat="1" applyBorder="1"/>
    <xf numFmtId="3" fontId="0" fillId="0" borderId="10" xfId="0" applyNumberFormat="1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3" fontId="0" fillId="0" borderId="0" xfId="0" applyNumberFormat="1" applyBorder="1"/>
    <xf numFmtId="3" fontId="0" fillId="0" borderId="11" xfId="0" applyNumberFormat="1" applyBorder="1"/>
    <xf numFmtId="0" fontId="0" fillId="0" borderId="16" xfId="0" applyBorder="1"/>
    <xf numFmtId="3" fontId="0" fillId="0" borderId="16" xfId="0" applyNumberFormat="1" applyBorder="1"/>
    <xf numFmtId="3" fontId="0" fillId="0" borderId="13" xfId="0" applyNumberFormat="1" applyBorder="1"/>
    <xf numFmtId="0" fontId="0" fillId="0" borderId="17" xfId="0" applyBorder="1"/>
    <xf numFmtId="3" fontId="0" fillId="0" borderId="17" xfId="0" applyNumberFormat="1" applyBorder="1"/>
    <xf numFmtId="0" fontId="0" fillId="0" borderId="18" xfId="0" applyBorder="1"/>
    <xf numFmtId="0" fontId="0" fillId="0" borderId="19" xfId="0" applyBorder="1"/>
    <xf numFmtId="0" fontId="4" fillId="0" borderId="0" xfId="0" applyFont="1"/>
    <xf numFmtId="0" fontId="0" fillId="0" borderId="20" xfId="0" applyBorder="1"/>
    <xf numFmtId="0" fontId="0" fillId="0" borderId="21" xfId="0" applyBorder="1"/>
    <xf numFmtId="0" fontId="0" fillId="0" borderId="10" xfId="0" applyFill="1" applyBorder="1"/>
    <xf numFmtId="0" fontId="0" fillId="0" borderId="22" xfId="0" applyBorder="1"/>
    <xf numFmtId="0" fontId="0" fillId="0" borderId="23" xfId="0" applyBorder="1"/>
    <xf numFmtId="0" fontId="5" fillId="0" borderId="0" xfId="0" applyFont="1"/>
    <xf numFmtId="0" fontId="2" fillId="0" borderId="0" xfId="0" applyFont="1" applyBorder="1" applyAlignment="1"/>
    <xf numFmtId="0" fontId="5" fillId="0" borderId="0" xfId="0" applyFont="1" applyBorder="1"/>
    <xf numFmtId="3" fontId="0" fillId="0" borderId="15" xfId="0" applyNumberFormat="1" applyBorder="1"/>
    <xf numFmtId="3" fontId="0" fillId="0" borderId="22" xfId="0" applyNumberFormat="1" applyBorder="1"/>
    <xf numFmtId="3" fontId="0" fillId="0" borderId="14" xfId="0" applyNumberFormat="1" applyBorder="1"/>
    <xf numFmtId="0" fontId="5" fillId="0" borderId="23" xfId="0" applyFont="1" applyBorder="1"/>
    <xf numFmtId="0" fontId="5" fillId="0" borderId="17" xfId="0" applyFont="1" applyBorder="1"/>
    <xf numFmtId="3" fontId="5" fillId="0" borderId="17" xfId="0" applyNumberFormat="1" applyFont="1" applyBorder="1"/>
    <xf numFmtId="3" fontId="5" fillId="0" borderId="19" xfId="0" applyNumberFormat="1" applyFont="1" applyBorder="1"/>
    <xf numFmtId="0" fontId="5" fillId="0" borderId="13" xfId="0" applyFont="1" applyBorder="1"/>
    <xf numFmtId="3" fontId="5" fillId="0" borderId="13" xfId="0" applyNumberFormat="1" applyFont="1" applyBorder="1"/>
    <xf numFmtId="0" fontId="5" fillId="0" borderId="14" xfId="0" applyFont="1" applyBorder="1"/>
    <xf numFmtId="0" fontId="5" fillId="0" borderId="19" xfId="0" applyFont="1" applyBorder="1"/>
    <xf numFmtId="0" fontId="5" fillId="0" borderId="22" xfId="0" applyFont="1" applyBorder="1"/>
    <xf numFmtId="0" fontId="5" fillId="0" borderId="11" xfId="0" applyFont="1" applyBorder="1"/>
    <xf numFmtId="3" fontId="5" fillId="0" borderId="11" xfId="0" applyNumberFormat="1" applyFont="1" applyBorder="1"/>
    <xf numFmtId="0" fontId="5" fillId="0" borderId="11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20" xfId="0" applyFont="1" applyBorder="1"/>
    <xf numFmtId="2" fontId="0" fillId="0" borderId="12" xfId="0" applyNumberFormat="1" applyBorder="1"/>
    <xf numFmtId="2" fontId="0" fillId="0" borderId="14" xfId="0" applyNumberFormat="1" applyBorder="1"/>
    <xf numFmtId="2" fontId="0" fillId="0" borderId="0" xfId="0" applyNumberFormat="1"/>
    <xf numFmtId="2" fontId="5" fillId="0" borderId="0" xfId="0" applyNumberFormat="1" applyFont="1"/>
    <xf numFmtId="3" fontId="5" fillId="0" borderId="0" xfId="0" applyNumberFormat="1" applyFont="1"/>
    <xf numFmtId="0" fontId="7" fillId="0" borderId="0" xfId="0" applyFont="1"/>
    <xf numFmtId="3" fontId="7" fillId="0" borderId="0" xfId="0" applyNumberFormat="1" applyFont="1"/>
    <xf numFmtId="3" fontId="7" fillId="0" borderId="24" xfId="0" applyNumberFormat="1" applyFont="1" applyBorder="1" applyAlignment="1">
      <alignment horizontal="center"/>
    </xf>
    <xf numFmtId="3" fontId="7" fillId="0" borderId="24" xfId="0" applyNumberFormat="1" applyFont="1" applyBorder="1"/>
    <xf numFmtId="3" fontId="5" fillId="0" borderId="24" xfId="0" applyNumberFormat="1" applyFont="1" applyBorder="1"/>
    <xf numFmtId="3" fontId="0" fillId="0" borderId="24" xfId="0" applyNumberFormat="1" applyBorder="1"/>
    <xf numFmtId="3" fontId="5" fillId="0" borderId="25" xfId="0" applyNumberFormat="1" applyFont="1" applyBorder="1"/>
    <xf numFmtId="3" fontId="5" fillId="0" borderId="26" xfId="0" applyNumberFormat="1" applyFont="1" applyBorder="1"/>
    <xf numFmtId="0" fontId="0" fillId="0" borderId="27" xfId="0" applyBorder="1"/>
    <xf numFmtId="3" fontId="0" fillId="0" borderId="28" xfId="0" applyNumberFormat="1" applyBorder="1"/>
    <xf numFmtId="3" fontId="5" fillId="0" borderId="28" xfId="0" applyNumberFormat="1" applyFont="1" applyBorder="1"/>
    <xf numFmtId="3" fontId="0" fillId="0" borderId="25" xfId="0" applyNumberFormat="1" applyBorder="1"/>
    <xf numFmtId="0" fontId="5" fillId="0" borderId="29" xfId="0" applyFont="1" applyBorder="1"/>
    <xf numFmtId="3" fontId="5" fillId="0" borderId="30" xfId="0" applyNumberFormat="1" applyFont="1" applyBorder="1"/>
    <xf numFmtId="3" fontId="5" fillId="0" borderId="31" xfId="0" applyNumberFormat="1" applyFont="1" applyBorder="1"/>
    <xf numFmtId="3" fontId="5" fillId="0" borderId="32" xfId="0" applyNumberFormat="1" applyFont="1" applyBorder="1"/>
    <xf numFmtId="3" fontId="5" fillId="0" borderId="0" xfId="0" applyNumberFormat="1" applyFont="1" applyBorder="1"/>
    <xf numFmtId="3" fontId="0" fillId="0" borderId="33" xfId="0" applyNumberFormat="1" applyBorder="1"/>
    <xf numFmtId="3" fontId="5" fillId="0" borderId="33" xfId="0" applyNumberFormat="1" applyFont="1" applyBorder="1"/>
    <xf numFmtId="0" fontId="5" fillId="0" borderId="27" xfId="0" applyFont="1" applyBorder="1"/>
    <xf numFmtId="0" fontId="0" fillId="0" borderId="0" xfId="0" applyFill="1" applyBorder="1"/>
    <xf numFmtId="0" fontId="3" fillId="0" borderId="0" xfId="0" applyFont="1"/>
    <xf numFmtId="0" fontId="7" fillId="0" borderId="0" xfId="0" applyNumberFormat="1" applyFont="1" applyAlignment="1">
      <alignment horizontal="center"/>
    </xf>
    <xf numFmtId="3" fontId="0" fillId="0" borderId="34" xfId="0" applyNumberFormat="1" applyBorder="1"/>
    <xf numFmtId="3" fontId="7" fillId="0" borderId="12" xfId="0" applyNumberFormat="1" applyFont="1" applyBorder="1"/>
    <xf numFmtId="3" fontId="5" fillId="0" borderId="12" xfId="0" applyNumberFormat="1" applyFont="1" applyBorder="1"/>
    <xf numFmtId="3" fontId="0" fillId="0" borderId="35" xfId="0" applyNumberFormat="1" applyBorder="1"/>
    <xf numFmtId="3" fontId="0" fillId="0" borderId="36" xfId="0" applyNumberFormat="1" applyBorder="1"/>
    <xf numFmtId="3" fontId="8" fillId="17" borderId="37" xfId="0" applyNumberFormat="1" applyFont="1" applyFill="1" applyBorder="1" applyAlignment="1">
      <alignment horizontal="center" vertical="center"/>
    </xf>
    <xf numFmtId="3" fontId="5" fillId="0" borderId="34" xfId="0" applyNumberFormat="1" applyFont="1" applyBorder="1"/>
    <xf numFmtId="3" fontId="0" fillId="0" borderId="26" xfId="0" applyNumberFormat="1" applyBorder="1"/>
    <xf numFmtId="3" fontId="0" fillId="0" borderId="38" xfId="0" applyNumberFormat="1" applyBorder="1"/>
    <xf numFmtId="3" fontId="0" fillId="0" borderId="32" xfId="0" applyNumberFormat="1" applyBorder="1"/>
    <xf numFmtId="3" fontId="0" fillId="0" borderId="21" xfId="0" applyNumberFormat="1" applyBorder="1"/>
    <xf numFmtId="2" fontId="0" fillId="0" borderId="0" xfId="0" applyNumberFormat="1" applyBorder="1"/>
    <xf numFmtId="2" fontId="5" fillId="0" borderId="0" xfId="0" applyNumberFormat="1" applyFont="1" applyBorder="1"/>
    <xf numFmtId="0" fontId="5" fillId="0" borderId="24" xfId="0" applyFont="1" applyBorder="1" applyAlignment="1">
      <alignment horizontal="center"/>
    </xf>
    <xf numFmtId="0" fontId="3" fillId="0" borderId="0" xfId="0" applyFont="1" applyBorder="1"/>
    <xf numFmtId="3" fontId="3" fillId="0" borderId="0" xfId="0" applyNumberFormat="1" applyFont="1" applyBorder="1"/>
    <xf numFmtId="2" fontId="3" fillId="0" borderId="0" xfId="0" applyNumberFormat="1" applyFont="1" applyBorder="1"/>
    <xf numFmtId="3" fontId="7" fillId="0" borderId="25" xfId="0" applyNumberFormat="1" applyFont="1" applyBorder="1"/>
    <xf numFmtId="0" fontId="7" fillId="0" borderId="24" xfId="0" applyFont="1" applyBorder="1"/>
    <xf numFmtId="3" fontId="5" fillId="0" borderId="29" xfId="0" applyNumberFormat="1" applyFont="1" applyBorder="1"/>
    <xf numFmtId="4" fontId="0" fillId="0" borderId="0" xfId="0" applyNumberFormat="1" applyBorder="1"/>
    <xf numFmtId="0" fontId="0" fillId="0" borderId="24" xfId="0" applyBorder="1"/>
    <xf numFmtId="0" fontId="0" fillId="0" borderId="24" xfId="0" applyFill="1" applyBorder="1"/>
    <xf numFmtId="4" fontId="0" fillId="0" borderId="24" xfId="0" applyNumberFormat="1" applyBorder="1"/>
    <xf numFmtId="10" fontId="5" fillId="0" borderId="0" xfId="0" applyNumberFormat="1" applyFont="1" applyBorder="1"/>
    <xf numFmtId="3" fontId="4" fillId="18" borderId="39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10" fontId="0" fillId="0" borderId="0" xfId="0" applyNumberFormat="1"/>
    <xf numFmtId="0" fontId="6" fillId="0" borderId="0" xfId="0" applyFont="1"/>
    <xf numFmtId="0" fontId="6" fillId="0" borderId="1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0" fillId="0" borderId="0" xfId="0" applyFont="1" applyBorder="1"/>
    <xf numFmtId="0" fontId="30" fillId="0" borderId="0" xfId="0" applyFont="1"/>
    <xf numFmtId="2" fontId="30" fillId="0" borderId="0" xfId="0" applyNumberFormat="1" applyFont="1" applyBorder="1"/>
    <xf numFmtId="3" fontId="30" fillId="19" borderId="24" xfId="0" applyNumberFormat="1" applyFont="1" applyFill="1" applyBorder="1"/>
    <xf numFmtId="3" fontId="30" fillId="19" borderId="28" xfId="0" applyNumberFormat="1" applyFont="1" applyFill="1" applyBorder="1"/>
    <xf numFmtId="0" fontId="5" fillId="20" borderId="40" xfId="0" applyFont="1" applyFill="1" applyBorder="1"/>
    <xf numFmtId="3" fontId="5" fillId="20" borderId="40" xfId="0" applyNumberFormat="1" applyFont="1" applyFill="1" applyBorder="1"/>
    <xf numFmtId="1" fontId="0" fillId="0" borderId="24" xfId="0" applyNumberFormat="1" applyBorder="1"/>
    <xf numFmtId="2" fontId="0" fillId="0" borderId="24" xfId="0" applyNumberFormat="1" applyBorder="1"/>
    <xf numFmtId="3" fontId="0" fillId="0" borderId="24" xfId="0" applyNumberFormat="1" applyFill="1" applyBorder="1" applyAlignment="1">
      <alignment horizontal="right" vertical="center"/>
    </xf>
    <xf numFmtId="3" fontId="11" fillId="0" borderId="41" xfId="104" applyNumberFormat="1" applyFont="1" applyFill="1" applyBorder="1" applyAlignment="1">
      <alignment horizontal="right"/>
    </xf>
    <xf numFmtId="1" fontId="0" fillId="0" borderId="0" xfId="0" applyNumberFormat="1" applyBorder="1"/>
    <xf numFmtId="1" fontId="0" fillId="0" borderId="32" xfId="0" applyNumberFormat="1" applyFill="1" applyBorder="1"/>
    <xf numFmtId="3" fontId="5" fillId="0" borderId="21" xfId="0" applyNumberFormat="1" applyFont="1" applyBorder="1"/>
    <xf numFmtId="0" fontId="30" fillId="0" borderId="27" xfId="0" applyFont="1" applyBorder="1"/>
    <xf numFmtId="0" fontId="0" fillId="0" borderId="32" xfId="0" applyFill="1" applyBorder="1"/>
    <xf numFmtId="165" fontId="0" fillId="0" borderId="32" xfId="0" applyNumberFormat="1" applyFill="1" applyBorder="1"/>
    <xf numFmtId="3" fontId="30" fillId="0" borderId="0" xfId="0" applyNumberFormat="1" applyFont="1" applyBorder="1"/>
    <xf numFmtId="0" fontId="5" fillId="0" borderId="38" xfId="0" applyFont="1" applyBorder="1"/>
    <xf numFmtId="3" fontId="5" fillId="0" borderId="38" xfId="0" applyNumberFormat="1" applyFont="1" applyBorder="1"/>
    <xf numFmtId="0" fontId="5" fillId="0" borderId="0" xfId="0" applyFont="1" applyFill="1" applyBorder="1"/>
    <xf numFmtId="3" fontId="7" fillId="0" borderId="0" xfId="0" applyNumberFormat="1" applyFont="1" applyBorder="1"/>
    <xf numFmtId="165" fontId="0" fillId="0" borderId="0" xfId="0" applyNumberFormat="1"/>
    <xf numFmtId="165" fontId="0" fillId="0" borderId="24" xfId="0" applyNumberFormat="1" applyFill="1" applyBorder="1"/>
    <xf numFmtId="3" fontId="30" fillId="20" borderId="24" xfId="0" applyNumberFormat="1" applyFont="1" applyFill="1" applyBorder="1"/>
    <xf numFmtId="3" fontId="5" fillId="20" borderId="24" xfId="0" applyNumberFormat="1" applyFont="1" applyFill="1" applyBorder="1"/>
    <xf numFmtId="0" fontId="0" fillId="0" borderId="0" xfId="0" applyFill="1"/>
    <xf numFmtId="3" fontId="5" fillId="20" borderId="32" xfId="0" applyNumberFormat="1" applyFont="1" applyFill="1" applyBorder="1"/>
    <xf numFmtId="0" fontId="5" fillId="20" borderId="32" xfId="0" applyFont="1" applyFill="1" applyBorder="1"/>
    <xf numFmtId="3" fontId="5" fillId="20" borderId="25" xfId="0" applyNumberFormat="1" applyFont="1" applyFill="1" applyBorder="1"/>
    <xf numFmtId="0" fontId="5" fillId="20" borderId="41" xfId="0" applyFont="1" applyFill="1" applyBorder="1"/>
    <xf numFmtId="0" fontId="5" fillId="20" borderId="42" xfId="0" applyFont="1" applyFill="1" applyBorder="1"/>
    <xf numFmtId="0" fontId="0" fillId="0" borderId="32" xfId="0" applyBorder="1"/>
    <xf numFmtId="0" fontId="7" fillId="20" borderId="43" xfId="0" applyFont="1" applyFill="1" applyBorder="1" applyAlignment="1"/>
    <xf numFmtId="3" fontId="7" fillId="20" borderId="30" xfId="0" applyNumberFormat="1" applyFont="1" applyFill="1" applyBorder="1" applyAlignment="1"/>
    <xf numFmtId="164" fontId="7" fillId="20" borderId="44" xfId="0" applyNumberFormat="1" applyFont="1" applyFill="1" applyBorder="1" applyAlignment="1"/>
    <xf numFmtId="3" fontId="30" fillId="0" borderId="24" xfId="0" applyNumberFormat="1" applyFont="1" applyBorder="1"/>
    <xf numFmtId="3" fontId="30" fillId="0" borderId="34" xfId="0" applyNumberFormat="1" applyFont="1" applyBorder="1"/>
    <xf numFmtId="0" fontId="7" fillId="0" borderId="0" xfId="0" applyFont="1" applyBorder="1"/>
    <xf numFmtId="3" fontId="0" fillId="0" borderId="0" xfId="0" applyNumberFormat="1" applyFill="1" applyBorder="1" applyAlignment="1">
      <alignment horizontal="right" vertical="center"/>
    </xf>
    <xf numFmtId="3" fontId="4" fillId="21" borderId="39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30" fillId="0" borderId="0" xfId="0" applyFont="1" applyFill="1" applyBorder="1"/>
    <xf numFmtId="3" fontId="30" fillId="0" borderId="11" xfId="0" applyNumberFormat="1" applyFont="1" applyBorder="1"/>
    <xf numFmtId="3" fontId="30" fillId="0" borderId="28" xfId="0" applyNumberFormat="1" applyFont="1" applyBorder="1"/>
    <xf numFmtId="3" fontId="5" fillId="0" borderId="3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0" fillId="0" borderId="24" xfId="0" applyFont="1" applyBorder="1"/>
    <xf numFmtId="0" fontId="7" fillId="0" borderId="0" xfId="0" applyFont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1" fontId="5" fillId="0" borderId="0" xfId="0" applyNumberFormat="1" applyFont="1"/>
    <xf numFmtId="10" fontId="0" fillId="0" borderId="0" xfId="0" applyNumberFormat="1" applyBorder="1"/>
    <xf numFmtId="0" fontId="0" fillId="21" borderId="0" xfId="0" applyFill="1" applyBorder="1"/>
    <xf numFmtId="2" fontId="30" fillId="21" borderId="0" xfId="0" applyNumberFormat="1" applyFont="1" applyFill="1" applyBorder="1"/>
    <xf numFmtId="0" fontId="30" fillId="21" borderId="0" xfId="0" applyFont="1" applyFill="1" applyBorder="1"/>
    <xf numFmtId="2" fontId="5" fillId="21" borderId="0" xfId="0" applyNumberFormat="1" applyFont="1" applyFill="1" applyBorder="1"/>
    <xf numFmtId="3" fontId="0" fillId="22" borderId="24" xfId="0" applyNumberFormat="1" applyFill="1" applyBorder="1"/>
    <xf numFmtId="164" fontId="7" fillId="22" borderId="44" xfId="0" applyNumberFormat="1" applyFont="1" applyFill="1" applyBorder="1" applyAlignment="1"/>
    <xf numFmtId="3" fontId="30" fillId="22" borderId="45" xfId="0" applyNumberFormat="1" applyFont="1" applyFill="1" applyBorder="1"/>
    <xf numFmtId="0" fontId="0" fillId="22" borderId="24" xfId="0" applyFill="1" applyBorder="1"/>
    <xf numFmtId="3" fontId="32" fillId="22" borderId="24" xfId="0" applyNumberFormat="1" applyFont="1" applyFill="1" applyBorder="1" applyAlignment="1"/>
    <xf numFmtId="164" fontId="32" fillId="22" borderId="24" xfId="0" applyNumberFormat="1" applyFont="1" applyFill="1" applyBorder="1" applyAlignment="1"/>
    <xf numFmtId="0" fontId="30" fillId="22" borderId="24" xfId="0" applyFont="1" applyFill="1" applyBorder="1"/>
    <xf numFmtId="0" fontId="0" fillId="22" borderId="28" xfId="0" applyFill="1" applyBorder="1"/>
    <xf numFmtId="3" fontId="0" fillId="22" borderId="28" xfId="0" applyNumberFormat="1" applyFill="1" applyBorder="1"/>
    <xf numFmtId="3" fontId="30" fillId="22" borderId="24" xfId="0" applyNumberFormat="1" applyFont="1" applyFill="1" applyBorder="1"/>
    <xf numFmtId="164" fontId="32" fillId="22" borderId="25" xfId="0" applyNumberFormat="1" applyFont="1" applyFill="1" applyBorder="1" applyAlignment="1"/>
    <xf numFmtId="0" fontId="30" fillId="22" borderId="34" xfId="0" applyFont="1" applyFill="1" applyBorder="1"/>
    <xf numFmtId="3" fontId="30" fillId="22" borderId="34" xfId="0" applyNumberFormat="1" applyFont="1" applyFill="1" applyBorder="1"/>
    <xf numFmtId="164" fontId="32" fillId="22" borderId="34" xfId="0" applyNumberFormat="1" applyFont="1" applyFill="1" applyBorder="1" applyAlignment="1"/>
    <xf numFmtId="0" fontId="5" fillId="22" borderId="33" xfId="0" applyFont="1" applyFill="1" applyBorder="1"/>
    <xf numFmtId="3" fontId="0" fillId="22" borderId="33" xfId="0" applyNumberFormat="1" applyFill="1" applyBorder="1"/>
    <xf numFmtId="0" fontId="5" fillId="22" borderId="25" xfId="0" applyFont="1" applyFill="1" applyBorder="1"/>
    <xf numFmtId="3" fontId="30" fillId="22" borderId="25" xfId="0" applyNumberFormat="1" applyFont="1" applyFill="1" applyBorder="1"/>
    <xf numFmtId="0" fontId="30" fillId="22" borderId="46" xfId="0" applyFont="1" applyFill="1" applyBorder="1"/>
    <xf numFmtId="0" fontId="30" fillId="22" borderId="41" xfId="0" applyFont="1" applyFill="1" applyBorder="1"/>
    <xf numFmtId="0" fontId="30" fillId="22" borderId="47" xfId="0" applyFont="1" applyFill="1" applyBorder="1"/>
    <xf numFmtId="3" fontId="7" fillId="20" borderId="33" xfId="0" applyNumberFormat="1" applyFont="1" applyFill="1" applyBorder="1" applyAlignment="1"/>
    <xf numFmtId="3" fontId="34" fillId="0" borderId="0" xfId="0" applyNumberFormat="1" applyFont="1" applyAlignment="1">
      <alignment horizontal="center" vertical="center"/>
    </xf>
    <xf numFmtId="0" fontId="30" fillId="0" borderId="0" xfId="101" applyFont="1"/>
    <xf numFmtId="0" fontId="5" fillId="21" borderId="0" xfId="101" applyFont="1" applyFill="1" applyBorder="1"/>
    <xf numFmtId="3" fontId="5" fillId="21" borderId="0" xfId="101" applyNumberFormat="1" applyFont="1" applyFill="1" applyBorder="1"/>
    <xf numFmtId="164" fontId="7" fillId="21" borderId="0" xfId="101" applyNumberFormat="1" applyFont="1" applyFill="1" applyBorder="1" applyAlignment="1"/>
    <xf numFmtId="2" fontId="5" fillId="21" borderId="0" xfId="101" applyNumberFormat="1" applyFont="1" applyFill="1" applyBorder="1"/>
    <xf numFmtId="0" fontId="5" fillId="21" borderId="0" xfId="101" applyFont="1" applyFill="1"/>
    <xf numFmtId="0" fontId="30" fillId="21" borderId="0" xfId="101" applyFont="1" applyFill="1" applyBorder="1"/>
    <xf numFmtId="3" fontId="30" fillId="21" borderId="0" xfId="101" applyNumberFormat="1" applyFont="1" applyFill="1" applyBorder="1"/>
    <xf numFmtId="164" fontId="32" fillId="21" borderId="0" xfId="101" applyNumberFormat="1" applyFont="1" applyFill="1" applyBorder="1" applyAlignment="1"/>
    <xf numFmtId="2" fontId="30" fillId="21" borderId="0" xfId="101" applyNumberFormat="1" applyFont="1" applyFill="1" applyBorder="1"/>
    <xf numFmtId="0" fontId="30" fillId="21" borderId="0" xfId="101" applyFont="1" applyFill="1"/>
    <xf numFmtId="3" fontId="30" fillId="0" borderId="0" xfId="101" applyNumberFormat="1" applyFont="1" applyBorder="1"/>
    <xf numFmtId="0" fontId="30" fillId="0" borderId="0" xfId="101" applyFont="1" applyBorder="1"/>
    <xf numFmtId="2" fontId="30" fillId="0" borderId="0" xfId="101" applyNumberFormat="1" applyFont="1" applyBorder="1"/>
    <xf numFmtId="0" fontId="7" fillId="0" borderId="0" xfId="0" applyFont="1" applyAlignment="1">
      <alignment horizontal="center" wrapText="1"/>
    </xf>
    <xf numFmtId="3" fontId="4" fillId="21" borderId="0" xfId="0" applyNumberFormat="1" applyFont="1" applyFill="1" applyBorder="1" applyAlignment="1">
      <alignment horizontal="right" vertical="center"/>
    </xf>
    <xf numFmtId="3" fontId="7" fillId="0" borderId="25" xfId="0" applyNumberFormat="1" applyFont="1" applyBorder="1" applyAlignment="1">
      <alignment horizontal="center" wrapText="1"/>
    </xf>
    <xf numFmtId="0" fontId="30" fillId="0" borderId="32" xfId="0" applyFont="1" applyFill="1" applyBorder="1"/>
    <xf numFmtId="1" fontId="5" fillId="0" borderId="0" xfId="101" applyNumberFormat="1" applyFont="1"/>
    <xf numFmtId="0" fontId="5" fillId="0" borderId="0" xfId="101" applyFont="1"/>
    <xf numFmtId="0" fontId="5" fillId="0" borderId="0" xfId="101" applyFont="1" applyBorder="1"/>
    <xf numFmtId="166" fontId="5" fillId="0" borderId="0" xfId="101" applyNumberFormat="1" applyFont="1" applyBorder="1"/>
    <xf numFmtId="49" fontId="30" fillId="0" borderId="0" xfId="101" applyNumberFormat="1" applyFont="1" applyAlignment="1">
      <alignment horizontal="right"/>
    </xf>
    <xf numFmtId="1" fontId="0" fillId="0" borderId="0" xfId="0" applyNumberFormat="1" applyFill="1" applyBorder="1"/>
    <xf numFmtId="1" fontId="0" fillId="0" borderId="0" xfId="0" applyNumberFormat="1"/>
    <xf numFmtId="3" fontId="5" fillId="21" borderId="24" xfId="0" applyNumberFormat="1" applyFont="1" applyFill="1" applyBorder="1"/>
    <xf numFmtId="3" fontId="0" fillId="21" borderId="0" xfId="0" applyNumberFormat="1" applyFill="1"/>
    <xf numFmtId="3" fontId="5" fillId="20" borderId="28" xfId="0" applyNumberFormat="1" applyFont="1" applyFill="1" applyBorder="1"/>
    <xf numFmtId="164" fontId="32" fillId="20" borderId="30" xfId="0" applyNumberFormat="1" applyFont="1" applyFill="1" applyBorder="1" applyAlignment="1"/>
    <xf numFmtId="164" fontId="32" fillId="22" borderId="30" xfId="0" applyNumberFormat="1" applyFont="1" applyFill="1" applyBorder="1" applyAlignment="1"/>
    <xf numFmtId="3" fontId="30" fillId="22" borderId="33" xfId="0" applyNumberFormat="1" applyFont="1" applyFill="1" applyBorder="1"/>
    <xf numFmtId="164" fontId="32" fillId="22" borderId="44" xfId="0" applyNumberFormat="1" applyFont="1" applyFill="1" applyBorder="1" applyAlignment="1"/>
    <xf numFmtId="0" fontId="30" fillId="0" borderId="11" xfId="0" applyFont="1" applyBorder="1"/>
    <xf numFmtId="0" fontId="6" fillId="0" borderId="4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167" fontId="5" fillId="0" borderId="0" xfId="101" applyNumberFormat="1" applyFont="1"/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6" fillId="0" borderId="20" xfId="0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</cellXfs>
  <cellStyles count="126">
    <cellStyle name="20 % - Markeringsfarve1" xfId="1" builtinId="30" customBuiltin="1"/>
    <cellStyle name="20 % - Markeringsfarve1 2" xfId="2"/>
    <cellStyle name="20 % - Markeringsfarve2" xfId="3" builtinId="34" customBuiltin="1"/>
    <cellStyle name="20 % - Markeringsfarve2 2" xfId="4"/>
    <cellStyle name="20 % - Markeringsfarve3" xfId="5" builtinId="38" customBuiltin="1"/>
    <cellStyle name="20 % - Markeringsfarve3 2" xfId="6"/>
    <cellStyle name="20 % - Markeringsfarve4" xfId="7" builtinId="42" customBuiltin="1"/>
    <cellStyle name="20 % - Markeringsfarve4 2" xfId="8"/>
    <cellStyle name="20 % - Markeringsfarve5" xfId="9" builtinId="46" customBuiltin="1"/>
    <cellStyle name="20 % - Markeringsfarve5 2" xfId="10"/>
    <cellStyle name="20 % - Markeringsfarve6" xfId="11" builtinId="50" customBuiltin="1"/>
    <cellStyle name="20 % - Markeringsfarve6 2" xfId="12"/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40 % - Markeringsfarve1" xfId="19" builtinId="31" customBuiltin="1"/>
    <cellStyle name="40 % - Markeringsfarve1 2" xfId="20"/>
    <cellStyle name="40 % - Markeringsfarve2" xfId="21" builtinId="35" customBuiltin="1"/>
    <cellStyle name="40 % - Markeringsfarve2 2" xfId="22"/>
    <cellStyle name="40 % - Markeringsfarve3" xfId="23" builtinId="39" customBuiltin="1"/>
    <cellStyle name="40 % - Markeringsfarve3 2" xfId="24"/>
    <cellStyle name="40 % - Markeringsfarve4" xfId="25" builtinId="43" customBuiltin="1"/>
    <cellStyle name="40 % - Markeringsfarve4 2" xfId="26"/>
    <cellStyle name="40 % - Markeringsfarve5" xfId="27" builtinId="47" customBuiltin="1"/>
    <cellStyle name="40 % - Markeringsfarve5 2" xfId="28"/>
    <cellStyle name="40 % - Markeringsfarve6" xfId="29" builtinId="51" customBuiltin="1"/>
    <cellStyle name="40 % - Markeringsfarve6 2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 % - Markeringsfarve1" xfId="37" builtinId="32" customBuiltin="1"/>
    <cellStyle name="60 % - Markeringsfarve1 2" xfId="38"/>
    <cellStyle name="60 % - Markeringsfarve2" xfId="39" builtinId="36" customBuiltin="1"/>
    <cellStyle name="60 % - Markeringsfarve2 2" xfId="40"/>
    <cellStyle name="60 % - Markeringsfarve3" xfId="41" builtinId="40" customBuiltin="1"/>
    <cellStyle name="60 % - Markeringsfarve3 2" xfId="42"/>
    <cellStyle name="60 % - Markeringsfarve4" xfId="43" builtinId="44" customBuiltin="1"/>
    <cellStyle name="60 % - Markeringsfarve4 2" xfId="44"/>
    <cellStyle name="60 % - Markeringsfarve5" xfId="45" builtinId="48" customBuiltin="1"/>
    <cellStyle name="60 % - Markeringsfarve5 2" xfId="46"/>
    <cellStyle name="60 % - Markeringsfarve6" xfId="47" builtinId="52" customBuiltin="1"/>
    <cellStyle name="60 % - Markeringsfarve6 2" xfId="48"/>
    <cellStyle name="60% - Accent1" xfId="49"/>
    <cellStyle name="60% - Accent2" xfId="50"/>
    <cellStyle name="60% - Accent3" xfId="51"/>
    <cellStyle name="60% - Accent4" xfId="52"/>
    <cellStyle name="60% - Accent5" xfId="53"/>
    <cellStyle name="60% - Accent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dvarselstekst" xfId="61" builtinId="11" customBuiltin="1"/>
    <cellStyle name="Advarselstekst 2" xfId="62"/>
    <cellStyle name="Bad" xfId="63"/>
    <cellStyle name="Bemærk!" xfId="64" builtinId="10" customBuiltin="1"/>
    <cellStyle name="Bemærk! 2" xfId="65"/>
    <cellStyle name="Beregning" xfId="66" builtinId="22" customBuiltin="1"/>
    <cellStyle name="Beregning 2" xfId="67"/>
    <cellStyle name="Calculation" xfId="68"/>
    <cellStyle name="Check Cell" xfId="69"/>
    <cellStyle name="Explanatory Text" xfId="70"/>
    <cellStyle name="Forklarende tekst" xfId="71" builtinId="53" customBuiltin="1"/>
    <cellStyle name="Forklarende tekst 2" xfId="72"/>
    <cellStyle name="God" xfId="73" builtinId="26" customBuiltin="1"/>
    <cellStyle name="God 2" xfId="74"/>
    <cellStyle name="Good" xfId="75"/>
    <cellStyle name="Heading 1" xfId="76"/>
    <cellStyle name="Heading 2" xfId="77"/>
    <cellStyle name="Heading 3" xfId="78"/>
    <cellStyle name="Heading 4" xfId="79"/>
    <cellStyle name="Hyperlink 2" xfId="80"/>
    <cellStyle name="Input" xfId="81" builtinId="20" customBuiltin="1"/>
    <cellStyle name="Input 2" xfId="82"/>
    <cellStyle name="Komma 2" xfId="83"/>
    <cellStyle name="Kontroller celle" xfId="84" builtinId="23" customBuiltin="1"/>
    <cellStyle name="Kontroller celle 2" xfId="85"/>
    <cellStyle name="Linked Cell" xfId="86"/>
    <cellStyle name="Markeringsfarve1" xfId="87" builtinId="29" customBuiltin="1"/>
    <cellStyle name="Markeringsfarve1 2" xfId="88"/>
    <cellStyle name="Markeringsfarve2" xfId="89" builtinId="33" customBuiltin="1"/>
    <cellStyle name="Markeringsfarve2 2" xfId="90"/>
    <cellStyle name="Markeringsfarve3" xfId="91" builtinId="37" customBuiltin="1"/>
    <cellStyle name="Markeringsfarve3 2" xfId="92"/>
    <cellStyle name="Markeringsfarve4" xfId="93" builtinId="41" customBuiltin="1"/>
    <cellStyle name="Markeringsfarve4 2" xfId="94"/>
    <cellStyle name="Markeringsfarve5" xfId="95" builtinId="45" customBuiltin="1"/>
    <cellStyle name="Markeringsfarve5 2" xfId="96"/>
    <cellStyle name="Markeringsfarve6" xfId="97" builtinId="49" customBuiltin="1"/>
    <cellStyle name="Markeringsfarve6 2" xfId="98"/>
    <cellStyle name="Neutral" xfId="99" builtinId="28" customBuiltin="1"/>
    <cellStyle name="Neutral 2" xfId="100"/>
    <cellStyle name="Normal" xfId="0" builtinId="0"/>
    <cellStyle name="Normal 2" xfId="101"/>
    <cellStyle name="Normal 2 2" xfId="102"/>
    <cellStyle name="Normal 3" xfId="103"/>
    <cellStyle name="Normal_2010 2011" xfId="104"/>
    <cellStyle name="Note" xfId="105"/>
    <cellStyle name="Output" xfId="106" builtinId="21" customBuiltin="1"/>
    <cellStyle name="Output 2" xfId="107"/>
    <cellStyle name="Overskrift 1" xfId="108" builtinId="16" customBuiltin="1"/>
    <cellStyle name="Overskrift 1 2" xfId="109"/>
    <cellStyle name="Overskrift 2" xfId="110" builtinId="17" customBuiltin="1"/>
    <cellStyle name="Overskrift 2 2" xfId="111"/>
    <cellStyle name="Overskrift 3" xfId="112" builtinId="18" customBuiltin="1"/>
    <cellStyle name="Overskrift 3 2" xfId="113"/>
    <cellStyle name="Overskrift 4" xfId="114" builtinId="19" customBuiltin="1"/>
    <cellStyle name="Overskrift 4 2" xfId="115"/>
    <cellStyle name="Sammenkædet celle" xfId="116" builtinId="24" customBuiltin="1"/>
    <cellStyle name="Sammenkædet celle 2" xfId="117"/>
    <cellStyle name="Titel" xfId="118" builtinId="15" customBuiltin="1"/>
    <cellStyle name="Titel 2" xfId="119"/>
    <cellStyle name="Title" xfId="120"/>
    <cellStyle name="Total" xfId="121" builtinId="25" customBuiltin="1"/>
    <cellStyle name="Total 2" xfId="122"/>
    <cellStyle name="Ugyldig" xfId="123" builtinId="27" customBuiltin="1"/>
    <cellStyle name="Ugyldig 2" xfId="124"/>
    <cellStyle name="Warning Text" xfId="12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6AA44"/>
      <rgbColor rgb="009886C0"/>
      <rgbColor rgb="000000FF"/>
      <rgbColor rgb="00FF4747"/>
      <rgbColor rgb="0008CE4A"/>
      <rgbColor rgb="00FFB3B3"/>
      <rgbColor rgb="000C8E1B"/>
      <rgbColor rgb="00643098"/>
      <rgbColor rgb="00000080"/>
      <rgbColor rgb="00DA0808"/>
      <rgbColor rgb="00800080"/>
      <rgbColor rgb="00008080"/>
      <rgbColor rgb="00DEDED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596C8"/>
      <rgbColor rgb="008C52C8"/>
      <rgbColor rgb="00CCCCFF"/>
      <rgbColor rgb="00FFB3B3"/>
      <rgbColor rgb="00CCCCFF"/>
      <rgbColor rgb="00CEEED3"/>
      <rgbColor rgb="00CC99FF"/>
      <rgbColor rgb="00CDE1F3"/>
      <rgbColor rgb="003366FF"/>
      <rgbColor rgb="0033CCCC"/>
      <rgbColor rgb="00F50F0F"/>
      <rgbColor rgb="003F8DFF"/>
      <rgbColor rgb="000072D0"/>
      <rgbColor rgb="00005AA4"/>
      <rgbColor rgb="00666699"/>
      <rgbColor rgb="00969696"/>
      <rgbColor rgb="00003366"/>
      <rgbColor rgb="008647C5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knik\tfbygn\Drift%20&amp;%20Energi%20&amp;%20Projekt\Energi\Gruppen\Gr&#248;nt%20regnskab\&#197;rsopg&#248;relser\2008\LTK_&#229;rsopgoerelse2008%209%20mar%20statis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ygge_og_anlaegsafdelingen\Energi\Gruppen\&#197;rsopg&#248;relser\2015%20&#229;rsopg&#248;relser\K&#248;rsel%20i%20privatbiler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o\AppData\Local\Microsoft\Windows\Temporary%20Internet%20Files\Content.Outlook\6A91FOL2\Beregning%20af%20CO2%20udledning%202016%20Lyngby%20stadion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o\AppData\Local\Microsoft\Windows\Temporary%20Internet%20Files\Content.Outlook\6A91FOL2\Beregning%20af%20CO2%20udledning%202016%20Virum%20skole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knik\tfbygn\Drift%20&amp;%20Energi%20&amp;%20Projekt\Energi\Gruppen\&#197;rsopg&#248;relser\2013%20&#229;rsopg&#248;relser\&#197;rsopg&#248;relse%202013%20el%20varme%20til%20CO2%2025.02.1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knik\tfbygn\Drift%20&amp;%20Energi%20&amp;%20Projekt\Energi\Gruppen\&#197;rsopg&#248;relser\2012%20&#229;rsopg&#248;relser\Forbrug%20fordelt%20p&#229;%20varmearter%2020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knik\tfbygn\Drift%20&amp;%20Energi%20&amp;%20Projekt\Energi\Gruppen\&#197;rsopg&#248;relser\2012%20&#229;rsopg&#248;relser\Endelig%20&#229;rsopg&#248;relse%20varme%2025.04.1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knik\tfbygn\Drift%20&amp;%20Energi%20&amp;%20Projekt\Energi\Gruppen\&#197;rsopg&#248;relser\2011%20&#229;rsopg&#248;relser\&#197;rsopg&#248;relse%202011%20korr.%20renseanl&#230;g%2025.06.1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knik\tfbygn\Drift%20&amp;%20Energi%20&amp;%20Projekt\Energi\Gruppen\&#197;rsopg&#248;relser\2012%20&#229;rsopg&#248;relser\Endelig%20&#229;rsopg&#248;relse%20varme%202012%2002.05.1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knik\tfbygn\Drift%20&amp;%20Energi%20&amp;%20Projekt\Energi\Gruppen\&#197;rsopg&#248;relser\2012%20&#229;rsopg&#248;relser\Vejbelysning%20vandforsyning%20renseanl&#230;g%20201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knik\tfbygn\Drift%20&amp;%20Energi%20&amp;%20Projekt\Energi\Gruppen\&#197;rsopg&#248;relser\2011%20&#229;rsopg&#248;relser\Elforbrug%202011%20LTF%20Vejbelysn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ygge_og_anlaegsafdelingen\Energi\Gruppen\&#197;rsopg&#248;relser\2016%20&#229;rsopg&#248;relser\&#197;rsrapport%202016%202015%20varme%2016.03.17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knik\tfbygn\Drift%20&amp;%20Energi%20&amp;%20Projekt\Energi\Gruppen\&#197;rsopg&#248;relser\2012%20&#229;rsopg&#248;relser\Genbrugsstationen%2002.05.1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knik\tfbygn\Drift%20&amp;%20Energi%20&amp;%20Projekt\Energi\Gruppen\&#197;rsopg&#248;relser\2011%20&#229;rsopg&#248;relser\Drivmidler%20201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knik\tfbygn\Drift%20&amp;%20Energi%20&amp;%20Projekt\Energi\Gruppen\&#197;rsopg&#248;relser\2013%20&#229;rsopg&#248;relser\Hjemmeplejen%20biler%20br&#230;ndstofforbrug%20201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knik\tfbygn\Drift%20&amp;%20Energi%20&amp;%20Projekt\Energi\Gruppen\&#197;rsopg&#248;relser\2012%20&#229;rsopg&#248;relser\Drivmidler%2020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knik\tfbygn\Drift%20&amp;%20Energi%20&amp;%20Projekt\Energi\Gruppen\&#197;rsopg&#248;relser\2012%20&#229;rsopg&#248;relser\K&#248;rsel%20i%20privatbiler%202011%2020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knik\tfbygn\Drift%20&amp;%20Energi%20&amp;%20Projekt\Energi\Gruppen\&#197;rsopg&#248;relser\2013%20&#229;rsopg&#248;relser\Drivmidler%202013%20LTF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knik\tfbygn\Drift%20&amp;%20Energi%20&amp;%20Projekt\Energi\Gruppen\&#197;rsopg&#248;relser\2013%20&#229;rsopg&#248;relser\K&#248;rsel%20i%20privatbiler%20201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knik\tfbygn\Drift%20&amp;%20Energi%20&amp;%20Projekt\Energi\Gruppen\&#197;rsopg&#248;relser\2012%20&#229;rsopg&#248;relser\Drivmidler%202012%20LTF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knik\tfbygn\Drift%20&amp;%20Energi%20&amp;%20Projekt\Energi\Gruppen\CO2\CO2%202011\CO2%20emissionsfaktorer%202010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ygge_og_anlaegsafdelingen\Energi\Gruppen\&#197;rsopg&#248;relser\2016%20&#229;rsopg&#248;relser\&#197;rsrapport%202016%202015%20pr.%2011.04.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ygge_og_anlaegsafdelingen\Energi\Gruppen\&#197;rsopg&#248;relser\2016%20&#229;rsopg&#248;relser\Vejbelysning%20og%20LTF%20forbrug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ygge_og_anlaegsafdelingen\Energi\Gruppen\&#197;rsopg&#248;relser\2015%20&#229;rsopg&#248;relser\&#197;rsopg&#248;relse%202015%202014%20pr.%2018.03.16%20til%20CO2beregn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ygge_og_anlaegsafdelingen\Energi\Gruppen\&#197;rsopg&#248;relser\2015%20&#229;rsopg&#248;relser\Vandforsyningen%20rensningsanl&#230;g%20vejbelysning%20genbrugsstationen%20elforbrug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o\AppData\Local\Microsoft\Windows\Temporary%20Internet%20Files\Content.Outlook\6A91FOL2\Drivmidler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ygge_og_anlaegsafdelingen\Energi\Gruppen\&#197;rsopg&#248;relser\2015%20&#229;rsopg&#248;relser\Drivmidler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o\AppData\Local\Microsoft\Windows\Temporary%20Internet%20Files\Content.Outlook\6A91FOL2\K&#248;rsel%20egen%20bil%20hele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"/>
      <sheetName val="Vand"/>
      <sheetName val="Varme"/>
      <sheetName val="Changelog"/>
      <sheetName val="Data"/>
      <sheetName val="Varme redig."/>
      <sheetName val="EL (værdier)+boldbane"/>
    </sheetNames>
    <sheetDataSet>
      <sheetData sheetId="0" refreshError="1">
        <row r="24">
          <cell r="C24">
            <v>306216</v>
          </cell>
        </row>
      </sheetData>
      <sheetData sheetId="1"/>
      <sheetData sheetId="2" refreshError="1">
        <row r="24">
          <cell r="D24">
            <v>306587</v>
          </cell>
        </row>
      </sheetData>
      <sheetData sheetId="3"/>
      <sheetData sheetId="4" refreshError="1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1">
          <cell r="C31">
            <v>254242.53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28">
          <cell r="B28">
            <v>0.22225262802968432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28">
          <cell r="B28">
            <v>0.22490502563112227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Årsopgørelse (EL)"/>
      <sheetName val="Årsopgørelse (Varme)"/>
      <sheetName val="Data"/>
      <sheetName val="Kommentarer"/>
      <sheetName val="Omregning"/>
      <sheetName val="ChangeLog"/>
    </sheetNames>
    <sheetDataSet>
      <sheetData sheetId="0" refreshError="1">
        <row r="8">
          <cell r="G8">
            <v>185018.7</v>
          </cell>
          <cell r="H8">
            <v>183273.75</v>
          </cell>
        </row>
        <row r="9">
          <cell r="G9">
            <v>8777.5</v>
          </cell>
          <cell r="H9">
            <v>7544.91</v>
          </cell>
        </row>
        <row r="14">
          <cell r="G14">
            <v>2009432.64</v>
          </cell>
          <cell r="H14">
            <v>2158610.8199999998</v>
          </cell>
        </row>
        <row r="17">
          <cell r="G17">
            <v>38604.420000000006</v>
          </cell>
          <cell r="H17">
            <v>43268.71</v>
          </cell>
        </row>
        <row r="18">
          <cell r="G18">
            <v>352145.46</v>
          </cell>
          <cell r="H18">
            <v>368991.91000000003</v>
          </cell>
        </row>
        <row r="23">
          <cell r="G23">
            <v>215198.37</v>
          </cell>
          <cell r="H23">
            <v>233866.95</v>
          </cell>
        </row>
        <row r="25">
          <cell r="G25">
            <v>2195373</v>
          </cell>
        </row>
        <row r="26">
          <cell r="G26">
            <v>8931.7900000000009</v>
          </cell>
          <cell r="H26">
            <v>7720.71</v>
          </cell>
        </row>
        <row r="27">
          <cell r="G27">
            <v>3595.96</v>
          </cell>
        </row>
        <row r="28">
          <cell r="G28">
            <v>725958</v>
          </cell>
        </row>
        <row r="29">
          <cell r="G29">
            <v>3276896.12</v>
          </cell>
        </row>
        <row r="30">
          <cell r="G30">
            <v>42917</v>
          </cell>
        </row>
      </sheetData>
      <sheetData sheetId="1" refreshError="1">
        <row r="8">
          <cell r="G8">
            <v>3480.28</v>
          </cell>
          <cell r="H8">
            <v>3403.09</v>
          </cell>
        </row>
        <row r="9">
          <cell r="G9">
            <v>187.98</v>
          </cell>
          <cell r="H9">
            <v>171.84</v>
          </cell>
        </row>
        <row r="11">
          <cell r="G11">
            <v>1182.1400000000001</v>
          </cell>
        </row>
        <row r="14">
          <cell r="G14">
            <v>4841.1500000000005</v>
          </cell>
          <cell r="H14">
            <v>4995.59</v>
          </cell>
        </row>
        <row r="17">
          <cell r="G17">
            <v>95.910000000000011</v>
          </cell>
          <cell r="H17">
            <v>102.11</v>
          </cell>
        </row>
        <row r="18">
          <cell r="G18">
            <v>1831.09</v>
          </cell>
          <cell r="H18">
            <v>1882.12</v>
          </cell>
        </row>
        <row r="23">
          <cell r="G23">
            <v>868.18999999999994</v>
          </cell>
          <cell r="H23">
            <v>870.91</v>
          </cell>
        </row>
        <row r="25">
          <cell r="G25">
            <v>100.08</v>
          </cell>
        </row>
        <row r="26">
          <cell r="G26">
            <v>18.798999999999999</v>
          </cell>
        </row>
      </sheetData>
      <sheetData sheetId="2" refreshError="1">
        <row r="33">
          <cell r="EJ33">
            <v>79.900273089755828</v>
          </cell>
          <cell r="GP33">
            <v>2447.5470879091172</v>
          </cell>
        </row>
        <row r="35">
          <cell r="X35">
            <v>839.35633049573585</v>
          </cell>
        </row>
        <row r="38">
          <cell r="GP38">
            <v>89.973524287182727</v>
          </cell>
        </row>
        <row r="40">
          <cell r="FM40">
            <v>1874.7734390493163</v>
          </cell>
          <cell r="GP40">
            <v>456.72009639213718</v>
          </cell>
        </row>
        <row r="44">
          <cell r="GP44">
            <v>528.20708115697107</v>
          </cell>
        </row>
        <row r="48">
          <cell r="FM48">
            <v>1507.8574450847855</v>
          </cell>
        </row>
        <row r="49">
          <cell r="HS49">
            <v>61.716434878879376</v>
          </cell>
        </row>
        <row r="50">
          <cell r="BA50">
            <v>43.15827417735251</v>
          </cell>
          <cell r="FM50">
            <v>30.494809806585909</v>
          </cell>
        </row>
        <row r="51">
          <cell r="BA51">
            <v>75.725646601851068</v>
          </cell>
        </row>
        <row r="52">
          <cell r="BA52">
            <v>74.355827908079135</v>
          </cell>
          <cell r="FM52">
            <v>1097.7221448394898</v>
          </cell>
        </row>
        <row r="53">
          <cell r="BA53">
            <v>72.546112820492311</v>
          </cell>
        </row>
        <row r="90">
          <cell r="J90">
            <v>906394.15</v>
          </cell>
          <cell r="X90">
            <v>1724.7</v>
          </cell>
          <cell r="DV90">
            <v>619379.71</v>
          </cell>
          <cell r="EY90">
            <v>1861742.07</v>
          </cell>
          <cell r="FM90">
            <v>10290.31</v>
          </cell>
          <cell r="HE90">
            <v>272168.71000000002</v>
          </cell>
          <cell r="HS90">
            <v>1026.22</v>
          </cell>
        </row>
        <row r="102">
          <cell r="EJ102">
            <v>122.67519005055986</v>
          </cell>
        </row>
        <row r="104">
          <cell r="X104">
            <v>875.13679882661529</v>
          </cell>
        </row>
        <row r="109">
          <cell r="FM109">
            <v>1776.1481427149372</v>
          </cell>
          <cell r="GP109">
            <v>461.28549058247904</v>
          </cell>
        </row>
        <row r="113">
          <cell r="GP113">
            <v>618.62306754479334</v>
          </cell>
        </row>
        <row r="117">
          <cell r="FM117">
            <v>1527.508804342109</v>
          </cell>
        </row>
        <row r="118">
          <cell r="HS118">
            <v>80.668840718857382</v>
          </cell>
        </row>
        <row r="119">
          <cell r="BA119">
            <v>39.189654173615615</v>
          </cell>
          <cell r="FM119">
            <v>30.146922862827985</v>
          </cell>
        </row>
        <row r="120">
          <cell r="BA120">
            <v>81.228924298857635</v>
          </cell>
        </row>
        <row r="121">
          <cell r="BA121">
            <v>80.995447487443272</v>
          </cell>
          <cell r="FM121">
            <v>1088.7912083102867</v>
          </cell>
        </row>
        <row r="122">
          <cell r="BA122">
            <v>71.802965371254317</v>
          </cell>
        </row>
        <row r="159">
          <cell r="J159">
            <v>911933.12</v>
          </cell>
          <cell r="X159">
            <v>1719.14</v>
          </cell>
          <cell r="DV159">
            <v>582142.12</v>
          </cell>
          <cell r="EJ159">
            <v>1232.49</v>
          </cell>
          <cell r="EY159">
            <v>1968144.37</v>
          </cell>
          <cell r="FM159">
            <v>10470.06</v>
          </cell>
          <cell r="HE159">
            <v>300077.28000000003</v>
          </cell>
          <cell r="HS159">
            <v>1044.54</v>
          </cell>
        </row>
        <row r="174">
          <cell r="CD174">
            <v>35.757745247818107</v>
          </cell>
          <cell r="DG174">
            <v>237.40632263887466</v>
          </cell>
        </row>
        <row r="179">
          <cell r="EJ179">
            <v>4.0634563338396763</v>
          </cell>
        </row>
        <row r="184">
          <cell r="DG184">
            <v>390.49028765559677</v>
          </cell>
        </row>
        <row r="193">
          <cell r="CD193">
            <v>11.794001048953872</v>
          </cell>
        </row>
        <row r="207">
          <cell r="X207">
            <v>39.926166930761624</v>
          </cell>
        </row>
        <row r="230">
          <cell r="J230">
            <v>807212.3</v>
          </cell>
          <cell r="X230">
            <v>3406.0400000000004</v>
          </cell>
          <cell r="CS230">
            <v>2083532.97</v>
          </cell>
          <cell r="DG230">
            <v>5001.8900000000003</v>
          </cell>
          <cell r="EY230">
            <v>406269.34</v>
          </cell>
          <cell r="FM230">
            <v>1374.83</v>
          </cell>
        </row>
        <row r="243">
          <cell r="CD243">
            <v>40.215711112856539</v>
          </cell>
          <cell r="DG243">
            <v>294.11162239210796</v>
          </cell>
        </row>
        <row r="248">
          <cell r="EJ248">
            <v>5.7954863352605948</v>
          </cell>
        </row>
        <row r="253">
          <cell r="DG253">
            <v>299.6417375171502</v>
          </cell>
        </row>
        <row r="262">
          <cell r="CD262">
            <v>17.107138584328769</v>
          </cell>
        </row>
        <row r="276">
          <cell r="X276">
            <v>38.956273215226325</v>
          </cell>
        </row>
        <row r="299">
          <cell r="J299">
            <v>790518.91</v>
          </cell>
          <cell r="X299">
            <v>3431.0400000000004</v>
          </cell>
          <cell r="CS299">
            <v>2130937.5299999998</v>
          </cell>
          <cell r="DG299">
            <v>5339.93</v>
          </cell>
          <cell r="EY299">
            <v>438298.38</v>
          </cell>
          <cell r="FM299">
            <v>1316.1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orbr. v.arter grdkor 290413"/>
      <sheetName val="Forbr v.arter grdkor ej aktu"/>
      <sheetName val="2011, ny beregning"/>
    </sheetNames>
    <sheetDataSet>
      <sheetData sheetId="0">
        <row r="5">
          <cell r="C5">
            <v>104.64319569825722</v>
          </cell>
        </row>
      </sheetData>
      <sheetData sheetId="1"/>
      <sheetData sheetId="2">
        <row r="3">
          <cell r="D3">
            <v>299.18337483757682</v>
          </cell>
        </row>
        <row r="4">
          <cell r="D4">
            <v>501.2009611602308</v>
          </cell>
        </row>
        <row r="5">
          <cell r="C5">
            <v>245.03198153136367</v>
          </cell>
        </row>
        <row r="6">
          <cell r="C6">
            <v>117.21515116356845</v>
          </cell>
        </row>
        <row r="7">
          <cell r="B7">
            <v>49.023120659446164</v>
          </cell>
        </row>
        <row r="8">
          <cell r="C8">
            <v>488.50076029053355</v>
          </cell>
        </row>
        <row r="9">
          <cell r="D9">
            <v>3047.8068525464696</v>
          </cell>
        </row>
        <row r="10">
          <cell r="B10">
            <v>39.981818087939509</v>
          </cell>
        </row>
        <row r="11">
          <cell r="C11">
            <v>1848.2545739540496</v>
          </cell>
        </row>
        <row r="12">
          <cell r="B12">
            <v>12.920061383520315</v>
          </cell>
        </row>
        <row r="13">
          <cell r="E13">
            <v>1144.6848651993414</v>
          </cell>
        </row>
        <row r="14">
          <cell r="D14">
            <v>1721.2902862885494</v>
          </cell>
        </row>
        <row r="15">
          <cell r="B15">
            <v>59.007023653146149</v>
          </cell>
        </row>
        <row r="16">
          <cell r="B16">
            <v>12</v>
          </cell>
        </row>
        <row r="17">
          <cell r="B17">
            <v>5.0072186819633258</v>
          </cell>
        </row>
        <row r="18">
          <cell r="D18">
            <v>39.331672194789682</v>
          </cell>
        </row>
        <row r="19">
          <cell r="D19">
            <v>84.609972876104578</v>
          </cell>
        </row>
        <row r="20">
          <cell r="D20">
            <v>82.087276859642657</v>
          </cell>
        </row>
        <row r="21">
          <cell r="D21">
            <v>74.015090320899034</v>
          </cell>
        </row>
        <row r="22">
          <cell r="C22">
            <v>1011.0965492050468</v>
          </cell>
        </row>
        <row r="23">
          <cell r="E23">
            <v>539.12571274260097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Årsopgørelse (Varme)"/>
      <sheetName val="Data"/>
      <sheetName val="Omregning"/>
      <sheetName val="ChangeLog"/>
      <sheetName val="Årsopgørelse (EL)"/>
      <sheetName val="Årsopgørelse (Vand)"/>
    </sheetNames>
    <sheetDataSet>
      <sheetData sheetId="0">
        <row r="7">
          <cell r="H7">
            <v>2031.38</v>
          </cell>
        </row>
        <row r="8">
          <cell r="H8">
            <v>4141.62</v>
          </cell>
        </row>
        <row r="9">
          <cell r="H9">
            <v>799.64</v>
          </cell>
        </row>
        <row r="10">
          <cell r="H10">
            <v>255.95</v>
          </cell>
        </row>
        <row r="11">
          <cell r="H11">
            <v>758.03</v>
          </cell>
        </row>
        <row r="13">
          <cell r="H13">
            <v>8605.0499999999993</v>
          </cell>
        </row>
        <row r="14">
          <cell r="H14">
            <v>5958.96</v>
          </cell>
        </row>
        <row r="15">
          <cell r="H15">
            <v>1126.55</v>
          </cell>
        </row>
        <row r="16">
          <cell r="H16">
            <v>3465.22</v>
          </cell>
        </row>
        <row r="17">
          <cell r="H17">
            <v>584.49</v>
          </cell>
        </row>
        <row r="18">
          <cell r="H18">
            <v>3107.36</v>
          </cell>
        </row>
        <row r="20">
          <cell r="H20">
            <v>6754.98</v>
          </cell>
        </row>
        <row r="21">
          <cell r="H21">
            <v>104.37</v>
          </cell>
        </row>
        <row r="23">
          <cell r="H23">
            <v>935.71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l"/>
      <sheetName val="Varme"/>
      <sheetName val="Vand"/>
      <sheetName val="Udgift el varme"/>
      <sheetName val="Ark5"/>
      <sheetName val="Ark6"/>
      <sheetName val="Ark7"/>
      <sheetName val="Ark8"/>
      <sheetName val="Ark9"/>
      <sheetName val="Ark10"/>
      <sheetName val="Ark11"/>
      <sheetName val="Ark12"/>
      <sheetName val="Ark13"/>
      <sheetName val="Ark14"/>
      <sheetName val="Ark15"/>
      <sheetName val="Ark16"/>
    </sheetNames>
    <sheetDataSet>
      <sheetData sheetId="0">
        <row r="10">
          <cell r="E10">
            <v>913.8741506679379</v>
          </cell>
        </row>
        <row r="11">
          <cell r="E11">
            <v>228.25791748737336</v>
          </cell>
        </row>
        <row r="12">
          <cell r="E12">
            <v>89.562093690548465</v>
          </cell>
        </row>
        <row r="13">
          <cell r="E13">
            <v>37.128962662331588</v>
          </cell>
        </row>
        <row r="14">
          <cell r="E14">
            <v>187.51348915714195</v>
          </cell>
        </row>
        <row r="16">
          <cell r="E16">
            <v>258.60099888830695</v>
          </cell>
        </row>
        <row r="17">
          <cell r="E17">
            <v>1751.1440187990424</v>
          </cell>
        </row>
        <row r="18">
          <cell r="E18">
            <v>2240.4179982270944</v>
          </cell>
        </row>
        <row r="19">
          <cell r="E19">
            <v>311.78121487316804</v>
          </cell>
        </row>
        <row r="20">
          <cell r="E20">
            <v>836.43102360410512</v>
          </cell>
        </row>
        <row r="21">
          <cell r="E21">
            <v>417.53224199999079</v>
          </cell>
        </row>
        <row r="22">
          <cell r="E22">
            <v>560.15875210412639</v>
          </cell>
        </row>
        <row r="24">
          <cell r="E24">
            <v>2766.9026113195687</v>
          </cell>
        </row>
        <row r="25">
          <cell r="E25">
            <v>33.945636678386933</v>
          </cell>
        </row>
        <row r="28">
          <cell r="E28">
            <v>802.50199999999995</v>
          </cell>
        </row>
        <row r="30">
          <cell r="E30">
            <v>2643.623</v>
          </cell>
        </row>
        <row r="31">
          <cell r="E31">
            <v>8.8214941412559789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Årsopgørelse (Varme)"/>
      <sheetName val="Data"/>
      <sheetName val="Omregning"/>
      <sheetName val="ChangeLog"/>
      <sheetName val="Årsopgørelse (EL)"/>
      <sheetName val="Årsopgørelse (Vand)"/>
    </sheetNames>
    <sheetDataSet>
      <sheetData sheetId="0"/>
      <sheetData sheetId="1">
        <row r="40">
          <cell r="GP40">
            <v>2683.9895704389246</v>
          </cell>
        </row>
      </sheetData>
      <sheetData sheetId="2"/>
      <sheetData sheetId="3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2">
          <cell r="G2">
            <v>2560000</v>
          </cell>
        </row>
        <row r="12">
          <cell r="G12">
            <v>704290</v>
          </cell>
        </row>
        <row r="24">
          <cell r="G24">
            <v>5150946</v>
          </cell>
        </row>
        <row r="59">
          <cell r="N59">
            <v>215967</v>
          </cell>
        </row>
      </sheetData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29">
          <cell r="L29">
            <v>2760.3201600000002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Årsopgørelse (EL)"/>
      <sheetName val="Årsopgørelse (Vand)"/>
      <sheetName val="Årsopgørelse (Varme)"/>
      <sheetName val="Data"/>
      <sheetName val="Kommentarer"/>
      <sheetName val="Omregning"/>
      <sheetName val="ChangeLog"/>
    </sheetNames>
    <sheetDataSet>
      <sheetData sheetId="0"/>
      <sheetData sheetId="1"/>
      <sheetData sheetId="2">
        <row r="7">
          <cell r="G7">
            <v>1710.1</v>
          </cell>
          <cell r="H7">
            <v>1660.74</v>
          </cell>
        </row>
        <row r="11">
          <cell r="G11">
            <v>1347.6</v>
          </cell>
          <cell r="H11">
            <v>1297.33</v>
          </cell>
        </row>
        <row r="13">
          <cell r="G13">
            <v>8159.89</v>
          </cell>
          <cell r="H13">
            <v>8299.5400000000009</v>
          </cell>
        </row>
        <row r="14">
          <cell r="G14">
            <v>5064.8900000000003</v>
          </cell>
          <cell r="H14">
            <v>5557.66</v>
          </cell>
        </row>
        <row r="15">
          <cell r="G15">
            <v>1051.94</v>
          </cell>
          <cell r="H15">
            <v>1074.57</v>
          </cell>
        </row>
        <row r="16">
          <cell r="G16">
            <v>3233.6726907981342</v>
          </cell>
          <cell r="H16">
            <v>3383.4100000000003</v>
          </cell>
        </row>
        <row r="17">
          <cell r="G17">
            <v>93.210000000000008</v>
          </cell>
          <cell r="H17">
            <v>109.01</v>
          </cell>
        </row>
        <row r="18">
          <cell r="G18">
            <v>1908.44</v>
          </cell>
          <cell r="H18">
            <v>1993.18</v>
          </cell>
        </row>
        <row r="20">
          <cell r="G20">
            <v>3745.53</v>
          </cell>
          <cell r="H20">
            <v>4145.62</v>
          </cell>
        </row>
        <row r="21">
          <cell r="G21">
            <v>2063.6600000000003</v>
          </cell>
          <cell r="H21">
            <v>2201.36</v>
          </cell>
        </row>
        <row r="23">
          <cell r="G23">
            <v>1147.6199999999999</v>
          </cell>
          <cell r="H23">
            <v>1243.6400000000001</v>
          </cell>
        </row>
        <row r="25">
          <cell r="G25">
            <v>294.63</v>
          </cell>
          <cell r="H25">
            <v>271.11711265944405</v>
          </cell>
        </row>
      </sheetData>
      <sheetData sheetId="3">
        <row r="33">
          <cell r="EJ33">
            <v>69.604365684098468</v>
          </cell>
          <cell r="GP33">
            <v>2812.7434542241335</v>
          </cell>
        </row>
        <row r="35">
          <cell r="FM35">
            <v>25.813120420522832</v>
          </cell>
        </row>
        <row r="36">
          <cell r="X36">
            <v>778.42067253115147</v>
          </cell>
        </row>
        <row r="38">
          <cell r="GP38">
            <v>96.377164818162143</v>
          </cell>
        </row>
        <row r="41">
          <cell r="GP41">
            <v>447.17691575419195</v>
          </cell>
        </row>
        <row r="45">
          <cell r="GP45">
            <v>561.97888650351285</v>
          </cell>
        </row>
        <row r="49">
          <cell r="HS49">
            <v>54.314103232819477</v>
          </cell>
        </row>
        <row r="53">
          <cell r="FM53">
            <v>1474.019399496673</v>
          </cell>
        </row>
        <row r="55">
          <cell r="FM55">
            <v>31.866029449045069</v>
          </cell>
        </row>
        <row r="57">
          <cell r="FM57">
            <v>1128.735619755786</v>
          </cell>
        </row>
        <row r="102">
          <cell r="EJ102">
            <v>46.705795980749045</v>
          </cell>
          <cell r="GP102">
            <v>3044.4787586736752</v>
          </cell>
        </row>
        <row r="104">
          <cell r="FM104">
            <v>26.105339198835431</v>
          </cell>
        </row>
        <row r="105">
          <cell r="X105">
            <v>703.76896545587749</v>
          </cell>
        </row>
        <row r="107">
          <cell r="GP107">
            <v>94.836301136965545</v>
          </cell>
        </row>
        <row r="110">
          <cell r="GP110">
            <v>530.80364520798241</v>
          </cell>
        </row>
        <row r="114">
          <cell r="GP114">
            <v>645.17573248982728</v>
          </cell>
        </row>
        <row r="118">
          <cell r="HS118">
            <v>56.512623619544868</v>
          </cell>
        </row>
        <row r="122">
          <cell r="FM122">
            <v>1462.2974449309033</v>
          </cell>
        </row>
        <row r="124">
          <cell r="FM124">
            <v>32.909413914576419</v>
          </cell>
        </row>
        <row r="126">
          <cell r="FM126">
            <v>1087.3855980331318</v>
          </cell>
        </row>
        <row r="175">
          <cell r="CD175">
            <v>34.287486931080025</v>
          </cell>
        </row>
        <row r="179">
          <cell r="EI179">
            <v>4.6310000000000002</v>
          </cell>
        </row>
        <row r="182">
          <cell r="DG182">
            <v>561.93029532663718</v>
          </cell>
        </row>
        <row r="197">
          <cell r="CD197">
            <v>10.861464715209461</v>
          </cell>
        </row>
        <row r="206">
          <cell r="X206">
            <v>39.29685688985559</v>
          </cell>
        </row>
        <row r="208">
          <cell r="X208">
            <v>74.574236202678108</v>
          </cell>
        </row>
        <row r="214">
          <cell r="X214">
            <v>100.41699536168919</v>
          </cell>
        </row>
        <row r="244">
          <cell r="CD244">
            <v>38.997553851426069</v>
          </cell>
        </row>
        <row r="248">
          <cell r="EJ248">
            <v>8.6002794924329038</v>
          </cell>
        </row>
        <row r="251">
          <cell r="DG251">
            <v>588.67379555254763</v>
          </cell>
        </row>
        <row r="266">
          <cell r="CD266">
            <v>13.559634483464935</v>
          </cell>
        </row>
        <row r="275">
          <cell r="X275">
            <v>40.973914695438182</v>
          </cell>
        </row>
        <row r="277">
          <cell r="X277">
            <v>76.836648757382036</v>
          </cell>
        </row>
        <row r="283">
          <cell r="X283">
            <v>102.621991026586</v>
          </cell>
        </row>
      </sheetData>
      <sheetData sheetId="4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">
          <cell r="B3">
            <v>43000</v>
          </cell>
        </row>
        <row r="5">
          <cell r="B5">
            <v>2128</v>
          </cell>
        </row>
      </sheetData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rivmidler 1999"/>
      <sheetName val="Ark3"/>
      <sheetName val="Ark4"/>
    </sheetNames>
    <sheetDataSet>
      <sheetData sheetId="0">
        <row r="54">
          <cell r="H54">
            <v>126764</v>
          </cell>
          <cell r="I54">
            <v>76250</v>
          </cell>
        </row>
        <row r="55">
          <cell r="H55">
            <v>48357.308373162101</v>
          </cell>
          <cell r="I55">
            <v>2470.6916268378991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 refreshError="1">
        <row r="7">
          <cell r="F7">
            <v>51226.521531860795</v>
          </cell>
        </row>
      </sheetData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8">
          <cell r="E8">
            <v>54783</v>
          </cell>
        </row>
        <row r="47">
          <cell r="B47">
            <v>130589</v>
          </cell>
          <cell r="C47">
            <v>11634</v>
          </cell>
          <cell r="D47">
            <v>11304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21">
          <cell r="I21">
            <v>212453.20857142858</v>
          </cell>
        </row>
        <row r="23">
          <cell r="I23">
            <v>286175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ccountReport"/>
    </sheetNames>
    <sheetDataSet>
      <sheetData sheetId="0" refreshError="1">
        <row r="4">
          <cell r="B4">
            <v>19739.66</v>
          </cell>
        </row>
        <row r="5">
          <cell r="B5">
            <v>122336.84</v>
          </cell>
        </row>
        <row r="47">
          <cell r="B47">
            <v>39665.027199999997</v>
          </cell>
        </row>
        <row r="48">
          <cell r="B48">
            <v>3510.5603999999998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 refreshError="1">
        <row r="32">
          <cell r="B32">
            <v>221374.1171</v>
          </cell>
          <cell r="D32">
            <v>67337.399999999994</v>
          </cell>
        </row>
      </sheetData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APBW_DOWNLOAD"/>
    </sheetNames>
    <sheetDataSet>
      <sheetData sheetId="0">
        <row r="9">
          <cell r="G9">
            <v>129.29</v>
          </cell>
          <cell r="I9">
            <v>17274.97</v>
          </cell>
        </row>
        <row r="19">
          <cell r="I19">
            <v>2217.94</v>
          </cell>
        </row>
        <row r="22">
          <cell r="G22">
            <v>1568.79</v>
          </cell>
          <cell r="I22">
            <v>22256.6</v>
          </cell>
        </row>
        <row r="41">
          <cell r="G41">
            <v>70.2</v>
          </cell>
          <cell r="I41">
            <v>2745.73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 refreshError="1">
        <row r="8">
          <cell r="C8">
            <v>237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Årsopgørelse (EL)"/>
      <sheetName val="Årsopgørelse (Vand)"/>
      <sheetName val="Årsopgørelse (Varme)"/>
      <sheetName val="Data"/>
      <sheetName val="Kommentarer"/>
      <sheetName val="Omregning"/>
      <sheetName val="ChangeLog"/>
    </sheetNames>
    <sheetDataSet>
      <sheetData sheetId="0">
        <row r="7">
          <cell r="H7">
            <v>756.26440000000002</v>
          </cell>
          <cell r="J7">
            <v>847.18306000000007</v>
          </cell>
        </row>
        <row r="8">
          <cell r="H8">
            <v>162.89724000000001</v>
          </cell>
          <cell r="J8">
            <v>168.66962000000001</v>
          </cell>
        </row>
        <row r="9">
          <cell r="H9">
            <v>7.8761100000000006</v>
          </cell>
          <cell r="J9">
            <v>8.068480000000001</v>
          </cell>
        </row>
        <row r="11">
          <cell r="H11">
            <v>579.71897999999999</v>
          </cell>
          <cell r="J11">
            <v>590.77582999999993</v>
          </cell>
        </row>
        <row r="13">
          <cell r="H13">
            <v>1713.8725300000001</v>
          </cell>
          <cell r="J13">
            <v>1671.0122799999999</v>
          </cell>
        </row>
        <row r="14">
          <cell r="H14">
            <v>2131.9728599999999</v>
          </cell>
          <cell r="J14">
            <v>2219.8589699999998</v>
          </cell>
        </row>
        <row r="15">
          <cell r="H15">
            <v>253.04326</v>
          </cell>
          <cell r="J15">
            <v>251.29819000000001</v>
          </cell>
        </row>
        <row r="16">
          <cell r="H16">
            <v>788.22798999999998</v>
          </cell>
          <cell r="J16">
            <v>787.96368000000007</v>
          </cell>
        </row>
        <row r="17">
          <cell r="H17">
            <v>34.882349999999995</v>
          </cell>
          <cell r="J17">
            <v>39.467510000000004</v>
          </cell>
        </row>
        <row r="18">
          <cell r="H18">
            <v>315.54730000000001</v>
          </cell>
          <cell r="J18">
            <v>325.05990000000003</v>
          </cell>
        </row>
        <row r="20">
          <cell r="H20">
            <v>1595.7162499999999</v>
          </cell>
          <cell r="J20">
            <v>1778.7066499999999</v>
          </cell>
        </row>
        <row r="21">
          <cell r="H21">
            <v>518.59135000000003</v>
          </cell>
          <cell r="J21">
            <v>489.03840000000002</v>
          </cell>
        </row>
        <row r="23">
          <cell r="H23">
            <v>210.33331000000001</v>
          </cell>
          <cell r="J23">
            <v>226.26936000000001</v>
          </cell>
        </row>
        <row r="26">
          <cell r="H26">
            <v>10.882850000000001</v>
          </cell>
          <cell r="J26">
            <v>9.5356699999999996</v>
          </cell>
        </row>
        <row r="27">
          <cell r="G27">
            <v>17768.73</v>
          </cell>
        </row>
      </sheetData>
      <sheetData sheetId="1"/>
      <sheetData sheetId="2"/>
      <sheetData sheetId="3">
        <row r="251">
          <cell r="DG251">
            <v>588.67379555254763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8">
          <cell r="C8">
            <v>1840</v>
          </cell>
        </row>
        <row r="14">
          <cell r="C14">
            <v>3581.6349162000001</v>
          </cell>
        </row>
        <row r="16">
          <cell r="C16">
            <v>793.69299999999998</v>
          </cell>
        </row>
        <row r="18">
          <cell r="C18">
            <v>41.613999999999997</v>
          </cell>
          <cell r="H18">
            <v>24.276999999999997</v>
          </cell>
        </row>
        <row r="62">
          <cell r="F62">
            <v>207481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Årsopgørelse (EL)"/>
      <sheetName val="Årsopgørelse (Vand)"/>
      <sheetName val="Årsopgørelse (Varme)"/>
      <sheetName val="Data"/>
      <sheetName val="Kommentarer"/>
      <sheetName val="Omregning"/>
      <sheetName val="ChangeLog"/>
    </sheetNames>
    <sheetDataSet>
      <sheetData sheetId="0">
        <row r="25">
          <cell r="H25">
            <v>1840.1220000000001</v>
          </cell>
        </row>
        <row r="27">
          <cell r="G27">
            <v>18568.66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49">
          <cell r="E49">
            <v>6032381</v>
          </cell>
        </row>
        <row r="100">
          <cell r="M100">
            <v>801591</v>
          </cell>
        </row>
        <row r="103">
          <cell r="B103">
            <v>27</v>
          </cell>
        </row>
        <row r="105">
          <cell r="D105">
            <v>19.788999999999998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9">
          <cell r="J9">
            <v>14886.849999999999</v>
          </cell>
          <cell r="K9">
            <v>95517.77</v>
          </cell>
        </row>
        <row r="19">
          <cell r="D19">
            <v>31545.759600000001</v>
          </cell>
          <cell r="E19">
            <v>2045.0165999999999</v>
          </cell>
        </row>
        <row r="30">
          <cell r="I30">
            <v>45419</v>
          </cell>
          <cell r="J30">
            <v>47385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5">
          <cell r="D5">
            <v>7786</v>
          </cell>
        </row>
        <row r="6">
          <cell r="D6">
            <v>9270</v>
          </cell>
        </row>
        <row r="7">
          <cell r="D7">
            <v>112977</v>
          </cell>
        </row>
        <row r="20">
          <cell r="B20">
            <v>2127.44</v>
          </cell>
          <cell r="C20">
            <v>32464.36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m.sap.ip.bi.web.portal.integr"/>
    </sheetNames>
    <sheetDataSet>
      <sheetData sheetId="0">
        <row r="1039">
          <cell r="H1039">
            <v>258615.24000000014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1"/>
  <sheetViews>
    <sheetView topLeftCell="A4" workbookViewId="0">
      <selection activeCell="E20" sqref="E20:E21"/>
    </sheetView>
  </sheetViews>
  <sheetFormatPr defaultRowHeight="12.75"/>
  <cols>
    <col min="1" max="1" width="0.5703125" customWidth="1"/>
    <col min="2" max="2" width="3.7109375" customWidth="1"/>
    <col min="3" max="3" width="14.5703125" customWidth="1"/>
    <col min="4" max="4" width="10.28515625" customWidth="1"/>
    <col min="5" max="5" width="10.85546875" style="5" customWidth="1"/>
    <col min="6" max="6" width="5.7109375" customWidth="1"/>
    <col min="7" max="7" width="8.42578125" customWidth="1"/>
    <col min="8" max="8" width="12.42578125" customWidth="1"/>
    <col min="9" max="9" width="12.7109375" style="5" customWidth="1"/>
    <col min="10" max="10" width="7.7109375" customWidth="1"/>
    <col min="11" max="11" width="10.140625" bestFit="1" customWidth="1"/>
    <col min="12" max="12" width="9.140625" style="48" customWidth="1"/>
    <col min="14" max="14" width="10" bestFit="1" customWidth="1"/>
  </cols>
  <sheetData>
    <row r="1" spans="2:14">
      <c r="I1" s="5" t="s">
        <v>29</v>
      </c>
    </row>
    <row r="2" spans="2:14">
      <c r="I2" s="5" t="s">
        <v>30</v>
      </c>
    </row>
    <row r="3" spans="2:14">
      <c r="I3" s="5" t="s">
        <v>31</v>
      </c>
    </row>
    <row r="6" spans="2:14" ht="18" customHeight="1">
      <c r="B6" s="228" t="s">
        <v>11</v>
      </c>
      <c r="C6" s="229"/>
      <c r="D6" s="229"/>
      <c r="E6" s="229"/>
      <c r="F6" s="229"/>
      <c r="G6" s="229"/>
      <c r="H6" s="229"/>
      <c r="I6" s="229"/>
      <c r="J6" s="230"/>
    </row>
    <row r="7" spans="2:14">
      <c r="B7" s="231"/>
      <c r="C7" s="232"/>
      <c r="D7" s="232"/>
      <c r="E7" s="232"/>
      <c r="F7" s="232"/>
      <c r="G7" s="232"/>
      <c r="H7" s="232"/>
      <c r="I7" s="232"/>
      <c r="J7" s="233"/>
    </row>
    <row r="8" spans="2:14">
      <c r="B8" s="3" t="s">
        <v>8</v>
      </c>
      <c r="C8" s="4"/>
      <c r="D8" s="4"/>
      <c r="E8" s="234" t="s">
        <v>18</v>
      </c>
      <c r="F8" s="235"/>
      <c r="G8" s="239" t="s">
        <v>10</v>
      </c>
      <c r="H8" s="240"/>
      <c r="I8" s="234" t="s">
        <v>9</v>
      </c>
      <c r="J8" s="235"/>
    </row>
    <row r="9" spans="2:14">
      <c r="B9" s="3"/>
      <c r="C9" s="4"/>
      <c r="D9" s="4"/>
      <c r="E9" s="6"/>
      <c r="F9" s="8"/>
      <c r="G9" s="3"/>
      <c r="H9" s="8"/>
      <c r="I9" s="6"/>
      <c r="J9" s="8" t="s">
        <v>20</v>
      </c>
    </row>
    <row r="10" spans="2:14">
      <c r="B10" s="3" t="s">
        <v>4</v>
      </c>
      <c r="C10" s="4"/>
      <c r="D10" s="4"/>
      <c r="E10" s="6"/>
      <c r="F10" s="8"/>
      <c r="G10" s="3"/>
      <c r="H10" s="8"/>
      <c r="I10" s="6"/>
      <c r="J10" s="8" t="s">
        <v>20</v>
      </c>
    </row>
    <row r="11" spans="2:14">
      <c r="B11" s="3"/>
      <c r="C11" s="4" t="s">
        <v>0</v>
      </c>
      <c r="D11" s="4"/>
      <c r="E11" s="6">
        <f>29304/0.011</f>
        <v>2664000</v>
      </c>
      <c r="F11" s="8" t="s">
        <v>23</v>
      </c>
      <c r="G11" s="3">
        <v>2.2450000000000001</v>
      </c>
      <c r="H11" s="8" t="s">
        <v>28</v>
      </c>
      <c r="I11" s="6">
        <f>SUM(E11*G11)</f>
        <v>5980680</v>
      </c>
      <c r="J11" s="8" t="s">
        <v>21</v>
      </c>
    </row>
    <row r="12" spans="2:14">
      <c r="B12" s="3"/>
      <c r="C12" s="4" t="s">
        <v>1</v>
      </c>
      <c r="D12" s="4"/>
      <c r="E12" s="6">
        <v>1283</v>
      </c>
      <c r="F12" s="8" t="s">
        <v>22</v>
      </c>
      <c r="G12" s="3">
        <v>290</v>
      </c>
      <c r="H12" s="8" t="s">
        <v>24</v>
      </c>
      <c r="I12" s="6">
        <f>SUM(E12*G12)</f>
        <v>372070</v>
      </c>
      <c r="J12" s="8" t="s">
        <v>25</v>
      </c>
    </row>
    <row r="13" spans="2:14">
      <c r="B13" s="3"/>
      <c r="C13" s="4" t="s">
        <v>26</v>
      </c>
      <c r="D13" s="4"/>
      <c r="E13" s="6">
        <v>3018</v>
      </c>
      <c r="F13" s="8" t="s">
        <v>22</v>
      </c>
      <c r="G13" s="3">
        <v>270</v>
      </c>
      <c r="H13" s="8" t="s">
        <v>24</v>
      </c>
      <c r="I13" s="6">
        <f t="shared" ref="I13:I24" si="0">SUM(E13*G13)</f>
        <v>814860</v>
      </c>
      <c r="J13" s="8" t="s">
        <v>21</v>
      </c>
    </row>
    <row r="14" spans="2:14">
      <c r="B14" s="3"/>
      <c r="C14" s="4" t="s">
        <v>2</v>
      </c>
      <c r="D14" s="4"/>
      <c r="E14" s="6">
        <v>8067</v>
      </c>
      <c r="F14" s="8" t="s">
        <v>22</v>
      </c>
      <c r="G14" s="3">
        <v>286</v>
      </c>
      <c r="H14" s="8" t="s">
        <v>24</v>
      </c>
      <c r="I14" s="6">
        <f t="shared" si="0"/>
        <v>2307162</v>
      </c>
      <c r="J14" s="8" t="s">
        <v>21</v>
      </c>
      <c r="M14" s="5">
        <f>SUM(E12:E14)</f>
        <v>12368</v>
      </c>
      <c r="N14">
        <f>M14*35</f>
        <v>432880</v>
      </c>
    </row>
    <row r="15" spans="2:14">
      <c r="B15" s="3"/>
      <c r="C15" s="4" t="s">
        <v>14</v>
      </c>
      <c r="D15" s="4"/>
      <c r="E15" s="6">
        <v>336</v>
      </c>
      <c r="F15" s="8" t="s">
        <v>22</v>
      </c>
      <c r="G15" s="3">
        <v>429</v>
      </c>
      <c r="H15" s="8" t="s">
        <v>24</v>
      </c>
      <c r="I15" s="6">
        <f t="shared" si="0"/>
        <v>144144</v>
      </c>
      <c r="J15" s="8" t="s">
        <v>21</v>
      </c>
    </row>
    <row r="16" spans="2:14">
      <c r="B16" s="3"/>
      <c r="C16" s="4" t="s">
        <v>13</v>
      </c>
      <c r="D16" s="4"/>
      <c r="E16" s="6">
        <v>3929</v>
      </c>
      <c r="F16" s="8" t="s">
        <v>19</v>
      </c>
      <c r="G16" s="3">
        <v>2.4</v>
      </c>
      <c r="H16" s="8" t="s">
        <v>27</v>
      </c>
      <c r="I16" s="6">
        <f t="shared" si="0"/>
        <v>9429.6</v>
      </c>
      <c r="J16" s="8" t="s">
        <v>21</v>
      </c>
      <c r="K16" s="5">
        <f>SUM(I11:I16)</f>
        <v>9628345.5999999996</v>
      </c>
      <c r="L16" s="48">
        <f>SUM(I11:I16)/[1]Varme!$D$24</f>
        <v>31.404937587047069</v>
      </c>
    </row>
    <row r="17" spans="2:12">
      <c r="B17" s="3" t="s">
        <v>5</v>
      </c>
      <c r="C17" s="4"/>
      <c r="D17" s="4"/>
      <c r="E17" s="6" t="s">
        <v>20</v>
      </c>
      <c r="F17" s="8" t="s">
        <v>20</v>
      </c>
      <c r="G17" s="3" t="s">
        <v>20</v>
      </c>
      <c r="H17" s="8" t="s">
        <v>20</v>
      </c>
      <c r="I17" s="6" t="s">
        <v>20</v>
      </c>
      <c r="J17" s="8" t="s">
        <v>20</v>
      </c>
    </row>
    <row r="18" spans="2:12">
      <c r="B18" s="3"/>
      <c r="C18" s="4" t="s">
        <v>15</v>
      </c>
      <c r="D18" s="4"/>
      <c r="E18" s="6">
        <v>11716</v>
      </c>
      <c r="F18" s="8" t="s">
        <v>22</v>
      </c>
      <c r="G18" s="3">
        <v>429</v>
      </c>
      <c r="H18" s="8" t="s">
        <v>24</v>
      </c>
      <c r="I18" s="6">
        <f t="shared" si="0"/>
        <v>5026164</v>
      </c>
      <c r="J18" s="8" t="s">
        <v>21</v>
      </c>
      <c r="K18" s="5">
        <f>K16+I18</f>
        <v>14654509.6</v>
      </c>
      <c r="L18" s="48">
        <f>I18/[1]EL!$C$24</f>
        <v>16.41378634689239</v>
      </c>
    </row>
    <row r="19" spans="2:12">
      <c r="B19" s="3"/>
      <c r="C19" s="4" t="s">
        <v>16</v>
      </c>
      <c r="D19" s="4"/>
      <c r="E19" s="6">
        <v>2619</v>
      </c>
      <c r="F19" s="8" t="s">
        <v>22</v>
      </c>
      <c r="G19" s="3">
        <v>429</v>
      </c>
      <c r="H19" s="8" t="s">
        <v>24</v>
      </c>
      <c r="I19" s="6">
        <f t="shared" si="0"/>
        <v>1123551</v>
      </c>
      <c r="J19" s="8" t="s">
        <v>21</v>
      </c>
    </row>
    <row r="20" spans="2:12">
      <c r="B20" s="3"/>
      <c r="C20" s="4" t="s">
        <v>17</v>
      </c>
      <c r="D20" s="4"/>
      <c r="E20" s="6">
        <v>750</v>
      </c>
      <c r="F20" s="8" t="s">
        <v>22</v>
      </c>
      <c r="G20" s="3">
        <v>429</v>
      </c>
      <c r="H20" s="8" t="s">
        <v>24</v>
      </c>
      <c r="I20" s="6">
        <f t="shared" si="0"/>
        <v>321750</v>
      </c>
      <c r="J20" s="8" t="s">
        <v>21</v>
      </c>
    </row>
    <row r="21" spans="2:12">
      <c r="B21" s="3"/>
      <c r="C21" s="4" t="s">
        <v>35</v>
      </c>
      <c r="D21" s="4"/>
      <c r="E21" s="6">
        <v>2696</v>
      </c>
      <c r="F21" s="8" t="s">
        <v>22</v>
      </c>
      <c r="G21" s="3">
        <v>429</v>
      </c>
      <c r="H21" s="8" t="s">
        <v>24</v>
      </c>
      <c r="I21" s="6">
        <f t="shared" si="0"/>
        <v>1156584</v>
      </c>
      <c r="J21" s="8" t="s">
        <v>21</v>
      </c>
    </row>
    <row r="22" spans="2:12">
      <c r="B22" s="3" t="s">
        <v>6</v>
      </c>
      <c r="C22" s="4"/>
      <c r="D22" s="4"/>
      <c r="E22" s="6"/>
      <c r="F22" s="8"/>
      <c r="G22" s="3"/>
      <c r="H22" s="8"/>
      <c r="I22" s="6" t="s">
        <v>20</v>
      </c>
      <c r="J22" s="8" t="s">
        <v>20</v>
      </c>
    </row>
    <row r="23" spans="2:12">
      <c r="B23" s="3"/>
      <c r="C23" s="4" t="s">
        <v>3</v>
      </c>
      <c r="D23" s="4"/>
      <c r="E23" s="6">
        <f>13631+21954+2500+33700</f>
        <v>71785</v>
      </c>
      <c r="F23" s="8" t="s">
        <v>19</v>
      </c>
      <c r="G23" s="3">
        <v>2.4</v>
      </c>
      <c r="H23" s="8" t="s">
        <v>27</v>
      </c>
      <c r="I23" s="6">
        <f t="shared" si="0"/>
        <v>172284</v>
      </c>
      <c r="J23" s="8" t="s">
        <v>21</v>
      </c>
    </row>
    <row r="24" spans="2:12">
      <c r="B24" s="3"/>
      <c r="C24" s="4" t="s">
        <v>7</v>
      </c>
      <c r="D24" s="4"/>
      <c r="E24" s="6">
        <v>163944</v>
      </c>
      <c r="F24" s="8" t="s">
        <v>19</v>
      </c>
      <c r="G24" s="3">
        <v>2.65</v>
      </c>
      <c r="H24" s="8" t="s">
        <v>27</v>
      </c>
      <c r="I24" s="6">
        <f t="shared" si="0"/>
        <v>434451.6</v>
      </c>
      <c r="J24" s="8" t="s">
        <v>21</v>
      </c>
    </row>
    <row r="25" spans="2:12">
      <c r="B25" s="1" t="s">
        <v>12</v>
      </c>
      <c r="C25" s="2"/>
      <c r="D25" s="2"/>
      <c r="E25" s="6"/>
      <c r="F25" s="2"/>
      <c r="G25" s="1"/>
      <c r="H25" s="9"/>
      <c r="I25" s="7">
        <f>SUM(I11:I24)</f>
        <v>17863130.200000003</v>
      </c>
      <c r="J25" s="8" t="s">
        <v>21</v>
      </c>
      <c r="L25" s="48">
        <f>SUM(L16:L18)</f>
        <v>47.818723933939459</v>
      </c>
    </row>
    <row r="28" spans="2:12">
      <c r="B28" s="228" t="s">
        <v>37</v>
      </c>
      <c r="C28" s="229"/>
      <c r="D28" s="229"/>
      <c r="E28" s="229"/>
      <c r="F28" s="229"/>
      <c r="G28" s="229"/>
      <c r="H28" s="229"/>
      <c r="I28" s="229"/>
      <c r="J28" s="230"/>
    </row>
    <row r="29" spans="2:12">
      <c r="B29" s="231"/>
      <c r="C29" s="232"/>
      <c r="D29" s="232"/>
      <c r="E29" s="232"/>
      <c r="F29" s="232"/>
      <c r="G29" s="232"/>
      <c r="H29" s="232"/>
      <c r="I29" s="232"/>
      <c r="J29" s="233"/>
    </row>
    <row r="30" spans="2:12">
      <c r="B30" s="21"/>
      <c r="C30" s="13"/>
      <c r="D30" s="13"/>
      <c r="E30" s="14"/>
      <c r="F30" s="13"/>
      <c r="G30" s="13"/>
      <c r="H30" s="13"/>
      <c r="I30" s="14"/>
      <c r="J30" s="18"/>
    </row>
    <row r="31" spans="2:12">
      <c r="B31" s="22" t="s">
        <v>32</v>
      </c>
      <c r="C31" s="10"/>
      <c r="D31" s="2"/>
      <c r="E31" s="12"/>
      <c r="F31" s="2"/>
      <c r="G31" s="2"/>
      <c r="H31" s="2"/>
      <c r="I31" s="12">
        <f>SUM(I11:I18)</f>
        <v>14654509.6</v>
      </c>
      <c r="J31" s="9" t="s">
        <v>21</v>
      </c>
    </row>
    <row r="32" spans="2:12">
      <c r="B32" s="3" t="s">
        <v>16</v>
      </c>
      <c r="C32" s="4"/>
      <c r="D32" s="10"/>
      <c r="E32" s="11"/>
      <c r="F32" s="10"/>
      <c r="G32" s="10"/>
      <c r="H32" s="10"/>
      <c r="I32" s="11">
        <f>I19</f>
        <v>1123551</v>
      </c>
      <c r="J32" s="9" t="s">
        <v>21</v>
      </c>
    </row>
    <row r="33" spans="2:12">
      <c r="B33" s="3" t="s">
        <v>17</v>
      </c>
      <c r="C33" s="4"/>
      <c r="D33" s="4"/>
      <c r="E33" s="15"/>
      <c r="F33" s="4"/>
      <c r="G33" s="4"/>
      <c r="H33" s="4"/>
      <c r="I33" s="15">
        <f>I20</f>
        <v>321750</v>
      </c>
      <c r="J33" s="8" t="s">
        <v>21</v>
      </c>
    </row>
    <row r="34" spans="2:12">
      <c r="B34" s="3" t="s">
        <v>35</v>
      </c>
      <c r="C34" s="4"/>
      <c r="D34" s="2"/>
      <c r="E34" s="12"/>
      <c r="F34" s="2"/>
      <c r="G34" s="2"/>
      <c r="H34" s="2"/>
      <c r="I34" s="12">
        <f>I21</f>
        <v>1156584</v>
      </c>
      <c r="J34" s="8" t="s">
        <v>21</v>
      </c>
    </row>
    <row r="35" spans="2:12">
      <c r="B35" s="23" t="s">
        <v>33</v>
      </c>
      <c r="C35" s="2"/>
      <c r="D35" s="2"/>
      <c r="E35" s="12"/>
      <c r="F35" s="2"/>
      <c r="G35" s="2"/>
      <c r="H35" s="2"/>
      <c r="I35" s="12">
        <f>SUM(I23:I24)</f>
        <v>606735.6</v>
      </c>
      <c r="J35" s="8" t="s">
        <v>21</v>
      </c>
    </row>
    <row r="36" spans="2:12">
      <c r="B36" s="22"/>
      <c r="C36" s="10"/>
      <c r="D36" s="10"/>
      <c r="E36" s="11"/>
      <c r="F36" s="10"/>
      <c r="G36" s="10"/>
      <c r="H36" s="10"/>
      <c r="I36" s="11"/>
      <c r="J36" s="24"/>
    </row>
    <row r="37" spans="2:12" ht="13.5" thickBot="1">
      <c r="B37" s="25" t="s">
        <v>34</v>
      </c>
      <c r="C37" s="16"/>
      <c r="D37" s="16"/>
      <c r="E37" s="17"/>
      <c r="F37" s="16"/>
      <c r="G37" s="16"/>
      <c r="H37" s="16"/>
      <c r="I37" s="17">
        <f>SUM(I31:I35)</f>
        <v>17863130.200000003</v>
      </c>
      <c r="J37" s="19" t="s">
        <v>21</v>
      </c>
    </row>
    <row r="38" spans="2:12" ht="13.5" thickTop="1"/>
    <row r="39" spans="2:12">
      <c r="B39" s="20" t="s">
        <v>36</v>
      </c>
    </row>
    <row r="41" spans="2:12" ht="12.75" customHeight="1">
      <c r="B41" s="236" t="s">
        <v>43</v>
      </c>
      <c r="C41" s="229"/>
      <c r="D41" s="229"/>
      <c r="E41" s="229"/>
      <c r="F41" s="229"/>
      <c r="G41" s="229"/>
      <c r="H41" s="229"/>
      <c r="I41" s="230"/>
      <c r="J41" s="27"/>
    </row>
    <row r="42" spans="2:12" ht="12.75" customHeight="1">
      <c r="B42" s="231"/>
      <c r="C42" s="232"/>
      <c r="D42" s="232"/>
      <c r="E42" s="232"/>
      <c r="F42" s="232"/>
      <c r="G42" s="232"/>
      <c r="H42" s="232"/>
      <c r="I42" s="233"/>
      <c r="J42" s="27"/>
    </row>
    <row r="43" spans="2:12" s="26" customFormat="1">
      <c r="C43" s="38"/>
      <c r="D43" s="36"/>
      <c r="E43" s="37"/>
      <c r="F43" s="36"/>
      <c r="G43" s="36"/>
      <c r="H43" s="237" t="s">
        <v>39</v>
      </c>
      <c r="I43" s="238"/>
      <c r="J43" s="28"/>
      <c r="L43" s="49"/>
    </row>
    <row r="44" spans="2:12" s="26" customFormat="1">
      <c r="B44" s="45" t="s">
        <v>40</v>
      </c>
      <c r="C44" s="40"/>
      <c r="D44" s="41"/>
      <c r="E44" s="42"/>
      <c r="F44" s="41"/>
      <c r="G44" s="41"/>
      <c r="H44" s="43">
        <v>2007</v>
      </c>
      <c r="I44" s="44">
        <v>2008</v>
      </c>
      <c r="J44" s="28"/>
      <c r="L44" s="49"/>
    </row>
    <row r="45" spans="2:12">
      <c r="B45" s="46" t="s">
        <v>32</v>
      </c>
      <c r="C45" s="47"/>
      <c r="D45" s="2"/>
      <c r="E45" s="12"/>
      <c r="F45" s="2"/>
      <c r="G45" s="2"/>
      <c r="H45" s="12">
        <v>16432</v>
      </c>
      <c r="I45" s="29">
        <f>I31/1000</f>
        <v>14654.509599999999</v>
      </c>
      <c r="J45" s="10"/>
    </row>
    <row r="46" spans="2:12">
      <c r="B46" s="3" t="s">
        <v>16</v>
      </c>
      <c r="C46" s="8"/>
      <c r="D46" s="10"/>
      <c r="E46" s="11"/>
      <c r="F46" s="10"/>
      <c r="G46" s="10"/>
      <c r="H46" s="11">
        <v>1580</v>
      </c>
      <c r="I46" s="30">
        <f>I32/1000</f>
        <v>1123.5509999999999</v>
      </c>
      <c r="J46" s="10"/>
    </row>
    <row r="47" spans="2:12">
      <c r="B47" s="3" t="s">
        <v>17</v>
      </c>
      <c r="C47" s="8"/>
      <c r="D47" s="4"/>
      <c r="E47" s="15"/>
      <c r="F47" s="4"/>
      <c r="G47" s="4"/>
      <c r="H47" s="15">
        <v>468</v>
      </c>
      <c r="I47" s="31">
        <f>I33/1000</f>
        <v>321.75</v>
      </c>
      <c r="J47" s="10"/>
    </row>
    <row r="48" spans="2:12">
      <c r="B48" s="3" t="s">
        <v>38</v>
      </c>
      <c r="C48" s="8"/>
      <c r="D48" s="2"/>
      <c r="E48" s="12"/>
      <c r="F48" s="2"/>
      <c r="G48" s="2"/>
      <c r="H48" s="12">
        <v>1579</v>
      </c>
      <c r="I48" s="29">
        <f>I34/1000</f>
        <v>1156.5840000000001</v>
      </c>
      <c r="J48" s="10"/>
    </row>
    <row r="49" spans="2:12">
      <c r="B49" s="23" t="s">
        <v>42</v>
      </c>
      <c r="C49" s="9"/>
      <c r="D49" s="2"/>
      <c r="E49" s="12"/>
      <c r="F49" s="2"/>
      <c r="G49" s="2"/>
      <c r="H49" s="12">
        <v>610</v>
      </c>
      <c r="I49" s="29">
        <f>I35/1000</f>
        <v>606.73559999999998</v>
      </c>
      <c r="J49" s="10"/>
    </row>
    <row r="50" spans="2:12" s="26" customFormat="1" ht="13.5" thickBot="1">
      <c r="B50" s="32" t="s">
        <v>41</v>
      </c>
      <c r="C50" s="39"/>
      <c r="D50" s="33"/>
      <c r="E50" s="34"/>
      <c r="F50" s="33"/>
      <c r="G50" s="33"/>
      <c r="H50" s="34">
        <f>SUM(H45:H49)</f>
        <v>20669</v>
      </c>
      <c r="I50" s="35">
        <f>I37/1000</f>
        <v>17863.130200000003</v>
      </c>
      <c r="J50" s="28"/>
      <c r="L50" s="49"/>
    </row>
    <row r="51" spans="2:12" ht="13.5" thickTop="1"/>
  </sheetData>
  <mergeCells count="7">
    <mergeCell ref="B6:J7"/>
    <mergeCell ref="E8:F8"/>
    <mergeCell ref="B41:I42"/>
    <mergeCell ref="H43:I43"/>
    <mergeCell ref="B28:J29"/>
    <mergeCell ref="I8:J8"/>
    <mergeCell ref="G8:H8"/>
  </mergeCells>
  <phoneticPr fontId="3" type="noConversion"/>
  <pageMargins left="0.75" right="0.75" top="1" bottom="1" header="0" footer="0"/>
  <pageSetup paperSize="9" orientation="portrait" r:id="rId1"/>
  <headerFooter alignWithMargins="0">
    <oddHeader>&amp;CCO2-belastning 2008&amp;RBygningsafdelingen
Ulla Jensen
&amp;D
&amp;T</oddHead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D57"/>
  <sheetViews>
    <sheetView topLeftCell="A7" zoomScaleNormal="100" workbookViewId="0">
      <pane xSplit="1" topLeftCell="B1" activePane="topRight" state="frozen"/>
      <selection pane="topRight" activeCell="Q37" sqref="Q37"/>
    </sheetView>
  </sheetViews>
  <sheetFormatPr defaultRowHeight="12.75"/>
  <cols>
    <col min="1" max="1" width="27.5703125" customWidth="1"/>
    <col min="2" max="2" width="9.140625" customWidth="1"/>
    <col min="3" max="3" width="10.28515625" customWidth="1"/>
    <col min="4" max="11" width="9.140625" customWidth="1"/>
    <col min="12" max="12" width="10.28515625" hidden="1" customWidth="1"/>
    <col min="13" max="13" width="9.140625" hidden="1" customWidth="1"/>
    <col min="14" max="14" width="11.5703125" hidden="1" customWidth="1"/>
    <col min="15" max="15" width="12.28515625" hidden="1" customWidth="1"/>
    <col min="16" max="16" width="10" customWidth="1"/>
    <col min="17" max="17" width="8.5703125" customWidth="1"/>
    <col min="18" max="18" width="8" customWidth="1"/>
    <col min="19" max="19" width="9.28515625" customWidth="1"/>
    <col min="20" max="20" width="8" customWidth="1"/>
    <col min="21" max="22" width="9.5703125" customWidth="1"/>
    <col min="23" max="24" width="10.7109375" customWidth="1"/>
    <col min="25" max="25" width="10" style="5" customWidth="1"/>
    <col min="32" max="32" width="10.5703125" bestFit="1" customWidth="1"/>
    <col min="34" max="35" width="10.85546875" customWidth="1"/>
    <col min="36" max="36" width="10.140625" bestFit="1" customWidth="1"/>
    <col min="37" max="42" width="9.140625" style="5" customWidth="1"/>
    <col min="43" max="43" width="11.42578125" style="50" customWidth="1"/>
    <col min="44" max="44" width="10.42578125" style="5" customWidth="1"/>
    <col min="45" max="46" width="10.85546875" style="5" customWidth="1"/>
    <col min="47" max="52" width="9.140625" style="5" customWidth="1"/>
    <col min="53" max="53" width="10.42578125" style="5" customWidth="1"/>
    <col min="54" max="54" width="9.140625" style="5" customWidth="1"/>
    <col min="55" max="55" width="10.140625" style="5" bestFit="1" customWidth="1"/>
    <col min="56" max="56" width="10.140625" bestFit="1" customWidth="1"/>
  </cols>
  <sheetData>
    <row r="1" spans="1:56" s="51" customFormat="1" ht="15">
      <c r="C1" s="241" t="s">
        <v>148</v>
      </c>
      <c r="D1" s="242"/>
      <c r="E1" s="242"/>
      <c r="F1" s="242"/>
      <c r="G1" s="242"/>
      <c r="H1" s="242"/>
      <c r="I1" s="242"/>
      <c r="J1" s="242"/>
      <c r="K1" s="243"/>
      <c r="P1" s="241" t="s">
        <v>130</v>
      </c>
      <c r="Q1" s="242"/>
      <c r="R1" s="242"/>
      <c r="S1" s="242"/>
      <c r="T1" s="242"/>
      <c r="U1" s="242"/>
      <c r="V1" s="242"/>
      <c r="W1" s="242"/>
      <c r="X1" s="243"/>
      <c r="AK1" s="244"/>
      <c r="AL1" s="244"/>
      <c r="AM1" s="244"/>
      <c r="AN1" s="244"/>
      <c r="AO1" s="244"/>
      <c r="AP1" s="244"/>
      <c r="AQ1" s="244"/>
      <c r="AR1" s="244"/>
      <c r="AS1" s="73"/>
      <c r="AT1" s="73"/>
      <c r="AU1" s="244"/>
      <c r="AV1" s="244"/>
      <c r="AW1" s="244"/>
      <c r="AX1" s="244"/>
      <c r="AY1" s="244"/>
      <c r="AZ1" s="244"/>
      <c r="BA1" s="244"/>
      <c r="BB1" s="244"/>
      <c r="BC1" s="73"/>
    </row>
    <row r="2" spans="1:56" s="51" customFormat="1" ht="15">
      <c r="C2" s="241" t="s">
        <v>57</v>
      </c>
      <c r="D2" s="242"/>
      <c r="E2" s="242"/>
      <c r="F2" s="242"/>
      <c r="G2" s="242"/>
      <c r="H2" s="242"/>
      <c r="I2" s="242"/>
      <c r="J2" s="243"/>
      <c r="K2" s="92"/>
      <c r="L2" s="241" t="s">
        <v>136</v>
      </c>
      <c r="M2" s="243"/>
      <c r="N2" s="241" t="s">
        <v>153</v>
      </c>
      <c r="O2" s="242"/>
      <c r="P2" s="241" t="s">
        <v>57</v>
      </c>
      <c r="Q2" s="242"/>
      <c r="R2" s="242"/>
      <c r="S2" s="242"/>
      <c r="T2" s="242"/>
      <c r="U2" s="242"/>
      <c r="V2" s="242"/>
      <c r="W2" s="243"/>
      <c r="X2" s="92"/>
      <c r="Y2" s="241" t="s">
        <v>136</v>
      </c>
      <c r="Z2" s="243"/>
      <c r="AK2" s="244"/>
      <c r="AL2" s="244"/>
      <c r="AM2" s="244"/>
      <c r="AN2" s="244"/>
      <c r="AO2" s="244"/>
      <c r="AP2" s="244"/>
      <c r="AQ2" s="53"/>
      <c r="AR2" s="54"/>
      <c r="AS2" s="52"/>
      <c r="AT2" s="52"/>
      <c r="AU2" s="244"/>
      <c r="AV2" s="244"/>
      <c r="AW2" s="244"/>
      <c r="AX2" s="244"/>
      <c r="AY2" s="244"/>
      <c r="AZ2" s="244"/>
      <c r="BA2" s="53"/>
      <c r="BB2" s="54"/>
      <c r="BC2" s="52"/>
    </row>
    <row r="3" spans="1:56" s="153" customFormat="1" ht="28.15" customHeight="1">
      <c r="A3" s="205" t="s">
        <v>129</v>
      </c>
      <c r="C3" s="154" t="s">
        <v>52</v>
      </c>
      <c r="D3" s="154" t="s">
        <v>53</v>
      </c>
      <c r="E3" s="154" t="s">
        <v>54</v>
      </c>
      <c r="F3" s="207" t="s">
        <v>133</v>
      </c>
      <c r="G3" s="207" t="s">
        <v>13</v>
      </c>
      <c r="H3" s="154" t="s">
        <v>55</v>
      </c>
      <c r="I3" s="154" t="s">
        <v>56</v>
      </c>
      <c r="J3" s="161" t="s">
        <v>62</v>
      </c>
      <c r="K3" s="157" t="s">
        <v>15</v>
      </c>
      <c r="L3" s="155" t="s">
        <v>72</v>
      </c>
      <c r="M3" s="53" t="s">
        <v>73</v>
      </c>
      <c r="N3" s="53" t="s">
        <v>72</v>
      </c>
      <c r="O3" s="53" t="s">
        <v>73</v>
      </c>
      <c r="P3" s="154" t="s">
        <v>52</v>
      </c>
      <c r="Q3" s="154" t="s">
        <v>53</v>
      </c>
      <c r="R3" s="154" t="s">
        <v>54</v>
      </c>
      <c r="S3" s="207" t="s">
        <v>133</v>
      </c>
      <c r="T3" s="207" t="s">
        <v>13</v>
      </c>
      <c r="U3" s="154" t="s">
        <v>55</v>
      </c>
      <c r="V3" s="154" t="s">
        <v>56</v>
      </c>
      <c r="W3" s="161" t="s">
        <v>62</v>
      </c>
      <c r="X3" s="157" t="s">
        <v>15</v>
      </c>
      <c r="Y3" s="155" t="s">
        <v>72</v>
      </c>
      <c r="Z3" s="53" t="s">
        <v>73</v>
      </c>
      <c r="AK3" s="53"/>
      <c r="AL3" s="53"/>
      <c r="AM3" s="53"/>
      <c r="AN3" s="53"/>
      <c r="AO3" s="53"/>
      <c r="AP3" s="53"/>
      <c r="AQ3" s="53"/>
      <c r="AR3" s="155"/>
      <c r="AS3" s="53"/>
      <c r="AT3" s="53"/>
      <c r="AU3" s="53"/>
      <c r="AV3" s="53"/>
      <c r="AW3" s="53"/>
      <c r="AX3" s="53"/>
      <c r="AY3" s="53"/>
      <c r="AZ3" s="53"/>
      <c r="BA3" s="53"/>
      <c r="BB3" s="155"/>
      <c r="BC3" s="53"/>
    </row>
    <row r="4" spans="1:56" s="157" customFormat="1">
      <c r="C4" s="158" t="s">
        <v>58</v>
      </c>
      <c r="D4" s="158" t="s">
        <v>58</v>
      </c>
      <c r="E4" s="158" t="s">
        <v>58</v>
      </c>
      <c r="F4" s="158"/>
      <c r="G4" s="158"/>
      <c r="H4" s="158" t="s">
        <v>58</v>
      </c>
      <c r="I4" s="158" t="s">
        <v>58</v>
      </c>
      <c r="J4" s="158" t="s">
        <v>58</v>
      </c>
      <c r="K4" s="159" t="s">
        <v>58</v>
      </c>
      <c r="L4" s="159"/>
      <c r="M4" s="158"/>
      <c r="N4" s="158"/>
      <c r="O4" s="158"/>
      <c r="P4" s="158" t="s">
        <v>58</v>
      </c>
      <c r="Q4" s="158" t="s">
        <v>58</v>
      </c>
      <c r="R4" s="158" t="s">
        <v>58</v>
      </c>
      <c r="S4" s="158"/>
      <c r="T4" s="158"/>
      <c r="U4" s="158" t="s">
        <v>58</v>
      </c>
      <c r="V4" s="158" t="s">
        <v>58</v>
      </c>
      <c r="W4" s="158" t="s">
        <v>58</v>
      </c>
      <c r="X4" s="159" t="s">
        <v>58</v>
      </c>
      <c r="Y4" s="159"/>
      <c r="Z4" s="158"/>
      <c r="AK4" s="158"/>
      <c r="AL4" s="158"/>
      <c r="AM4" s="158"/>
      <c r="AN4" s="158"/>
      <c r="AO4" s="158"/>
      <c r="AP4" s="158"/>
      <c r="AQ4" s="158"/>
      <c r="AR4" s="159"/>
      <c r="AS4" s="87"/>
      <c r="AT4" s="87"/>
      <c r="AU4" s="158"/>
      <c r="AV4" s="158"/>
      <c r="AW4" s="158"/>
      <c r="AX4" s="158"/>
      <c r="AY4" s="158"/>
      <c r="AZ4" s="158"/>
      <c r="BA4" s="158"/>
      <c r="BB4" s="159"/>
      <c r="BC4" s="158"/>
    </row>
    <row r="5" spans="1:56">
      <c r="A5" t="s">
        <v>45</v>
      </c>
      <c r="C5" s="5">
        <f t="shared" ref="C5:C13" si="0">J5-SUM(D5:I5)</f>
        <v>931.67932746884844</v>
      </c>
      <c r="E5" s="5">
        <f>[2]Data!$X$36</f>
        <v>778.42067253115147</v>
      </c>
      <c r="F5" s="5"/>
      <c r="G5" s="5"/>
      <c r="J5" s="5">
        <f>'[2]Årsopgørelse (Varme)'!$G$7</f>
        <v>1710.1</v>
      </c>
      <c r="K5" s="5">
        <f>'[3]Årsopgørelse (EL)'!$H$7</f>
        <v>756.26440000000002</v>
      </c>
      <c r="L5" s="76">
        <f t="shared" ref="L5:L11" si="1">C5*gasfaktor+D5*fjernvarmefaktor+E5*Fjernvarmefaktor_nye_kedler+F5*$B$49+G5*$B$48+H5*Kraftv._foreg.år_Virum_Skole+I5*el_foreg.år+K5*el_foreg.år</f>
        <v>553020.19768120872</v>
      </c>
      <c r="M5" s="55">
        <f t="shared" ref="M5:M17" si="2">L5/1000</f>
        <v>553.02019768120874</v>
      </c>
      <c r="N5" s="55">
        <f>C5*gasfaktor+D5*fjernvarmefaktor+E5*Fjernvarmefaktor_nye_kedler+I5*el_opgør.år+K5*el_opgør.år</f>
        <v>594035.20233047195</v>
      </c>
      <c r="O5" s="55">
        <f t="shared" ref="O5:O16" si="3">N5/1000</f>
        <v>594.03520233047198</v>
      </c>
      <c r="P5" s="5">
        <f>W5-SUM(Q5:V5)</f>
        <v>956.97103454412252</v>
      </c>
      <c r="R5" s="5">
        <f>[2]Data!$X$105</f>
        <v>703.76896545587749</v>
      </c>
      <c r="S5" s="5"/>
      <c r="T5" s="5"/>
      <c r="W5" s="5">
        <f>'[2]Årsopgørelse (Varme)'!$H$7</f>
        <v>1660.74</v>
      </c>
      <c r="X5" s="5">
        <f>'[3]Årsopgørelse (EL)'!$J$7</f>
        <v>847.18306000000007</v>
      </c>
      <c r="Y5" s="76">
        <f>P5*gasfaktor+Q5*fjernvarmefaktor+R5*Fjernvarmefaktor_nye_kedler+S5*$B$49+T5*$B$48+U5*Kraftv._foreg.år_Virum_Skole+V5*el_foreg.år+X5*el_foreg.år</f>
        <v>556383.67016056995</v>
      </c>
      <c r="Z5" s="55">
        <f t="shared" ref="Z5:Z17" si="4">Y5/1000</f>
        <v>556.38367016056998</v>
      </c>
      <c r="AK5" s="56"/>
      <c r="AL5" s="56"/>
      <c r="AM5" s="56"/>
      <c r="AN5" s="56"/>
      <c r="AO5" s="56"/>
      <c r="AP5" s="56"/>
      <c r="AQ5" s="55"/>
      <c r="AR5" s="6"/>
      <c r="AS5" s="55"/>
      <c r="AT5" s="55"/>
      <c r="AU5" s="56"/>
      <c r="AV5" s="56"/>
      <c r="AW5" s="56"/>
      <c r="AX5" s="56"/>
      <c r="AY5" s="56"/>
      <c r="AZ5" s="56"/>
      <c r="BA5" s="56"/>
      <c r="BB5" s="79"/>
      <c r="BC5" s="56"/>
    </row>
    <row r="6" spans="1:56">
      <c r="A6" t="s">
        <v>46</v>
      </c>
      <c r="C6" s="5">
        <f t="shared" si="0"/>
        <v>4389.574830877973</v>
      </c>
      <c r="D6" s="5">
        <f>[2]Data!$FM$57+[2]Data!$FM$55</f>
        <v>1160.6016492048311</v>
      </c>
      <c r="E6" s="5">
        <f>[2]Data!$FM$35</f>
        <v>25.813120420522832</v>
      </c>
      <c r="F6" s="5">
        <f>317.221+600.6</f>
        <v>917.82100000000003</v>
      </c>
      <c r="G6" s="5">
        <v>192.06</v>
      </c>
      <c r="H6" s="5">
        <f>[2]Data!$FM$53</f>
        <v>1474.019399496673</v>
      </c>
      <c r="J6" s="5">
        <f>'[2]Årsopgørelse (Varme)'!$G$13</f>
        <v>8159.89</v>
      </c>
      <c r="K6" s="5">
        <f>'[3]Årsopgørelse (EL)'!$H$13</f>
        <v>1713.8725300000001</v>
      </c>
      <c r="L6" s="76">
        <f t="shared" si="1"/>
        <v>2061841.3173486157</v>
      </c>
      <c r="M6" s="55">
        <f t="shared" si="2"/>
        <v>2061.8413173486156</v>
      </c>
      <c r="N6" s="55">
        <f>C6*gasfaktor+D6*fjernvarmefaktor+E6*Fjernvarmefaktor_nye_kedler+F6*B49+G6*B48+H6*kraftv_opgør.år_virum_sk+I6*el_opgør.år+K6*el_opgør.år</f>
        <v>2153176.9254560545</v>
      </c>
      <c r="O6" s="55">
        <f t="shared" si="3"/>
        <v>2153.1769254560545</v>
      </c>
      <c r="P6" s="5">
        <f t="shared" ref="P6:P13" si="5">W6-SUM(Q6:V6)</f>
        <v>5285.4632039225535</v>
      </c>
      <c r="Q6" s="5">
        <f>[2]Data!$FM$124+[2]Data!$FM$126</f>
        <v>1120.2950119477082</v>
      </c>
      <c r="R6" s="5">
        <f>[2]Data!$FM$104</f>
        <v>26.105339198835431</v>
      </c>
      <c r="S6" s="5">
        <v>120.26900000000001</v>
      </c>
      <c r="T6" s="5">
        <v>285.11</v>
      </c>
      <c r="U6" s="5">
        <f>[2]Data!$FM$122</f>
        <v>1462.2974449309033</v>
      </c>
      <c r="W6" s="5">
        <f>'[2]Årsopgørelse (Varme)'!$H$13</f>
        <v>8299.5400000000009</v>
      </c>
      <c r="X6" s="5">
        <f>'[3]Årsopgørelse (EL)'!$J$13</f>
        <v>1671.0122799999999</v>
      </c>
      <c r="Y6" s="76">
        <f>P6*gasfaktor+Q6*fjernvarmefaktor+R6*Fjernvarmefaktor_nye_kedler+S6*$B$49+T6*$B$48+U6*Kraftv._foreg.år_Virum_Skole+V6*el_foreg.år+X6*el_foreg.år</f>
        <v>2166948.08409676</v>
      </c>
      <c r="Z6" s="55">
        <f t="shared" si="4"/>
        <v>2166.9480840967599</v>
      </c>
      <c r="AK6" s="56"/>
      <c r="AL6" s="56"/>
      <c r="AM6" s="56"/>
      <c r="AN6" s="56"/>
      <c r="AO6" s="56"/>
      <c r="AP6" s="56"/>
      <c r="AQ6" s="55"/>
      <c r="AR6" s="6"/>
      <c r="AS6" s="55"/>
      <c r="AT6" s="55"/>
      <c r="AU6" s="56"/>
      <c r="AV6" s="56"/>
      <c r="AW6" s="56"/>
      <c r="AX6" s="56"/>
      <c r="AY6" s="56"/>
      <c r="AZ6" s="56"/>
      <c r="BA6" s="56"/>
      <c r="BC6" s="56"/>
    </row>
    <row r="7" spans="1:56">
      <c r="A7" t="s">
        <v>47</v>
      </c>
      <c r="C7" s="5">
        <f t="shared" si="0"/>
        <v>2791.7446023439115</v>
      </c>
      <c r="E7" s="5">
        <f>[2]Data!$X$214</f>
        <v>100.41699536168919</v>
      </c>
      <c r="F7" s="5">
        <f>130.91+40.32+15.6+15.71+25.1</f>
        <v>227.64</v>
      </c>
      <c r="G7" s="5"/>
      <c r="I7" s="5">
        <f>[2]Data!$X$206+[2]Data!$X$208</f>
        <v>113.8710930925337</v>
      </c>
      <c r="J7" s="5">
        <f>'[2]Årsopgørelse (Varme)'!$G$16</f>
        <v>3233.6726907981342</v>
      </c>
      <c r="K7" s="5">
        <f>'[3]Årsopgørelse (EL)'!$H$16</f>
        <v>788.22798999999998</v>
      </c>
      <c r="L7" s="76">
        <f t="shared" si="1"/>
        <v>801791.48240183247</v>
      </c>
      <c r="M7" s="55">
        <f t="shared" si="2"/>
        <v>801.79148240183247</v>
      </c>
      <c r="N7" s="55">
        <f>C7*gasfaktor+D7*fjernvarmefaktor+E7*Fjernvarmefaktor_nye_kedler+F7*$B$49+G7*$B$48+I7*el_opgør.år+K7*el_opgør.år</f>
        <v>850715.63920087833</v>
      </c>
      <c r="O7" s="55">
        <f t="shared" si="3"/>
        <v>850.71563920087829</v>
      </c>
      <c r="P7" s="5">
        <f t="shared" si="5"/>
        <v>3162.9774455205943</v>
      </c>
      <c r="R7" s="5">
        <f>[2]Data!$X$283</f>
        <v>102.621991026586</v>
      </c>
      <c r="S7" s="5"/>
      <c r="T7" s="5"/>
      <c r="V7" s="5">
        <f>[2]Data!$X$275+[2]Data!$X$277</f>
        <v>117.81056345282022</v>
      </c>
      <c r="W7" s="5">
        <f>'[2]Årsopgørelse (Varme)'!$H$16</f>
        <v>3383.4100000000003</v>
      </c>
      <c r="X7" s="5">
        <f>'[3]Årsopgørelse (EL)'!$J$16</f>
        <v>787.96368000000007</v>
      </c>
      <c r="Y7" s="76">
        <f>P7*gasfaktor+Q7*fjernvarmefaktor+R7*Fjernvarmefaktor_nye_kedler+S7*$B$49+T7*$B$48+U7*Kraftv._foreg.år_Virum_Skole+V7*el_foreg.år+X7*el_foreg.år</f>
        <v>856130.14097950701</v>
      </c>
      <c r="Z7" s="55">
        <f t="shared" si="4"/>
        <v>856.13014097950702</v>
      </c>
      <c r="AK7" s="56"/>
      <c r="AL7" s="56"/>
      <c r="AM7" s="56"/>
      <c r="AN7" s="56"/>
      <c r="AO7" s="56"/>
      <c r="AP7" s="56"/>
      <c r="AQ7" s="55"/>
      <c r="AR7" s="6"/>
      <c r="AS7" s="55"/>
      <c r="AT7" s="55"/>
      <c r="AU7" s="56"/>
      <c r="AV7" s="56"/>
      <c r="AW7" s="56"/>
      <c r="AX7" s="56"/>
      <c r="AY7" s="56"/>
      <c r="AZ7" s="56"/>
      <c r="BA7" s="56"/>
      <c r="BC7" s="56"/>
    </row>
    <row r="8" spans="1:56">
      <c r="A8" t="s">
        <v>48</v>
      </c>
      <c r="C8" s="5">
        <f t="shared" si="0"/>
        <v>997.62589676718062</v>
      </c>
      <c r="I8" s="100">
        <f>[2]Data!$HS$49</f>
        <v>54.314103232819477</v>
      </c>
      <c r="J8" s="5">
        <f>'[2]Årsopgørelse (Varme)'!$G$15</f>
        <v>1051.94</v>
      </c>
      <c r="K8" s="5">
        <f>'[3]Årsopgørelse (EL)'!$H$15</f>
        <v>253.04326</v>
      </c>
      <c r="L8" s="76">
        <f t="shared" si="1"/>
        <v>265665.71024935233</v>
      </c>
      <c r="M8" s="55">
        <f t="shared" si="2"/>
        <v>265.66571024935234</v>
      </c>
      <c r="N8" s="55">
        <f>C8*gasfaktor+D8*fjernvarmefaktor+E8*Fjernvarmefaktor_nye_kedler+F8*$B$49+G8*$B$48+I8*el_opgør.år+K8*el_opgør.år</f>
        <v>282334.83242670109</v>
      </c>
      <c r="O8" s="55">
        <f t="shared" si="3"/>
        <v>282.3348324267011</v>
      </c>
      <c r="P8" s="5">
        <f t="shared" si="5"/>
        <v>1018.057376380455</v>
      </c>
      <c r="V8" s="100">
        <f>[2]Data!$HS$118</f>
        <v>56.512623619544868</v>
      </c>
      <c r="W8" s="5">
        <f>'[2]Årsopgørelse (Varme)'!$H$15</f>
        <v>1074.57</v>
      </c>
      <c r="X8" s="5">
        <f>'[3]Årsopgørelse (EL)'!$J$15</f>
        <v>251.29819000000001</v>
      </c>
      <c r="Y8" s="76">
        <f>P8*gasfaktor+Q8*fjernvarmefaktor+R8*Fjernvarmefaktor_nye_kedler+S8*$B$49+T8*$B$48+U8*Kraftv._foreg.år_Virum_Skole+V8*el_foreg.år+X8*el_foreg.år</f>
        <v>269927.14685857214</v>
      </c>
      <c r="Z8" s="55">
        <f t="shared" si="4"/>
        <v>269.92714685857214</v>
      </c>
      <c r="AK8" s="56"/>
      <c r="AL8" s="56"/>
      <c r="AM8" s="56"/>
      <c r="AN8" s="56"/>
      <c r="AO8" s="56"/>
      <c r="AP8" s="56"/>
      <c r="AQ8" s="55"/>
      <c r="AR8" s="6"/>
      <c r="AS8" s="55"/>
      <c r="AT8" s="55"/>
      <c r="AU8" s="56"/>
      <c r="AV8" s="56"/>
      <c r="AW8" s="56"/>
      <c r="AX8" s="56"/>
      <c r="AY8" s="56"/>
      <c r="AZ8" s="56"/>
      <c r="BA8" s="56"/>
      <c r="BC8" s="56"/>
    </row>
    <row r="9" spans="1:56">
      <c r="A9" t="s">
        <v>49</v>
      </c>
      <c r="C9" s="5">
        <f t="shared" si="0"/>
        <v>3183.5997046733628</v>
      </c>
      <c r="H9" s="114">
        <f>[2]Data!$DG$182</f>
        <v>561.93029532663718</v>
      </c>
      <c r="J9" s="5">
        <f>'[2]Årsopgørelse (Varme)'!$G$20</f>
        <v>3745.53</v>
      </c>
      <c r="K9" s="5">
        <f>'[3]Årsopgørelse (EL)'!$H$20</f>
        <v>1595.7162499999999</v>
      </c>
      <c r="L9" s="76">
        <f t="shared" si="1"/>
        <v>1098935.2719429459</v>
      </c>
      <c r="M9" s="55">
        <f t="shared" si="2"/>
        <v>1098.935271942946</v>
      </c>
      <c r="N9" s="55">
        <f>C9*gasfaktor+D9*fjernvarmefaktor+E9*Fjernvarmefaktor_nye_kedler+F9*$B$49+G9*$B$48+H9*kraftv_opgør.år_virum_sk+I9*el_opgør.år+K9*el_opgør.år</f>
        <v>1184861.5438645727</v>
      </c>
      <c r="O9" s="55">
        <f t="shared" si="3"/>
        <v>1184.8615438645727</v>
      </c>
      <c r="P9" s="5">
        <f t="shared" si="5"/>
        <v>3487.7025981612651</v>
      </c>
      <c r="U9" s="114">
        <f>37.24*100/45*168.6/201.5+[2]Data!$DG$251</f>
        <v>657.91740183873458</v>
      </c>
      <c r="W9" s="5">
        <f>'[2]Årsopgørelse (Varme)'!$H$20</f>
        <v>4145.62</v>
      </c>
      <c r="X9" s="5">
        <f>'[3]Årsopgørelse (EL)'!$J$20</f>
        <v>1778.7066499999999</v>
      </c>
      <c r="Y9" s="76">
        <f>P9*gasfaktor+Q9*fjernvarmefaktor+R9*Fjernvarmefaktor_nye_kedler+S9*$B$49+T9*$B$48+0.6*191.49*kraftv_foreg.år_bau+[3]Data!$DG$251*Kraftv._foreg.år_Virum_Skole+V9*el_foreg.år+X9*el_foreg.år</f>
        <v>1231796.3602008079</v>
      </c>
      <c r="Z9" s="55">
        <f t="shared" si="4"/>
        <v>1231.7963602008078</v>
      </c>
      <c r="AK9" s="56"/>
      <c r="AL9" s="56"/>
      <c r="AM9" s="56"/>
      <c r="AN9" s="56"/>
      <c r="AO9" s="56"/>
      <c r="AP9" s="56"/>
      <c r="AQ9" s="55"/>
      <c r="AR9" s="6"/>
      <c r="AS9" s="55"/>
      <c r="AT9" s="55"/>
      <c r="AU9" s="56"/>
      <c r="AV9" s="56"/>
      <c r="AW9" s="56"/>
      <c r="AX9" s="56"/>
      <c r="AY9" s="56"/>
      <c r="AZ9" s="56"/>
      <c r="BA9" s="56"/>
      <c r="BC9" s="56"/>
    </row>
    <row r="10" spans="1:56">
      <c r="A10" s="106" t="s">
        <v>115</v>
      </c>
      <c r="B10" s="106"/>
      <c r="C10" s="5">
        <f t="shared" si="0"/>
        <v>1808.6380000000004</v>
      </c>
      <c r="F10" s="5">
        <f>59.268+195.754</f>
        <v>255.02199999999999</v>
      </c>
      <c r="H10" s="144"/>
      <c r="J10" s="5">
        <f>'[2]Årsopgørelse (Varme)'!$G$21</f>
        <v>2063.6600000000003</v>
      </c>
      <c r="K10" s="5">
        <f>'[3]Årsopgørelse (EL)'!$H$21</f>
        <v>518.59135000000003</v>
      </c>
      <c r="L10" s="76">
        <f t="shared" si="1"/>
        <v>499338.91782894277</v>
      </c>
      <c r="M10" s="55">
        <f t="shared" si="2"/>
        <v>499.33891782894278</v>
      </c>
      <c r="N10" s="55">
        <f>C10*gasfaktor+D10*fjernvarmefaktor+E10*Fjernvarmefaktor_nye_kedler+F10*$B$49+G10*$B$48+I10*el_opgør.år+K10*el_opgør.år</f>
        <v>527464.03733915323</v>
      </c>
      <c r="O10" s="55">
        <f t="shared" si="3"/>
        <v>527.46403733915326</v>
      </c>
      <c r="P10" s="5">
        <f t="shared" si="5"/>
        <v>2201.36</v>
      </c>
      <c r="U10" s="144"/>
      <c r="W10" s="5">
        <f>'[2]Årsopgørelse (Varme)'!$H$21</f>
        <v>2201.36</v>
      </c>
      <c r="X10" s="5">
        <f>'[3]Årsopgørelse (EL)'!$J$21</f>
        <v>489.03840000000002</v>
      </c>
      <c r="Y10" s="76">
        <f>P10*gasfaktor+Q10*fjernvarmefaktor+R10*Fjernvarmefaktor_nye_kedler+S10*$B$49+T10*$B$48+U10*Kraftv._foreg.år_Virum_Skole+V10*el_foreg.år+X10*el_foreg.år</f>
        <v>548020.59392352158</v>
      </c>
      <c r="Z10" s="55">
        <f t="shared" si="4"/>
        <v>548.02059392352157</v>
      </c>
      <c r="AK10" s="56"/>
      <c r="AL10" s="56"/>
      <c r="AM10" s="56"/>
      <c r="AN10" s="56"/>
      <c r="AO10" s="56"/>
      <c r="AP10" s="56"/>
      <c r="AQ10" s="55"/>
      <c r="AR10" s="6"/>
      <c r="AS10" s="55"/>
      <c r="AT10" s="55"/>
      <c r="AU10" s="56"/>
      <c r="AV10" s="56"/>
      <c r="AW10" s="56"/>
      <c r="AX10" s="56"/>
      <c r="AY10" s="56"/>
      <c r="AZ10" s="56"/>
      <c r="BA10" s="56"/>
      <c r="BC10" s="56"/>
    </row>
    <row r="11" spans="1:56">
      <c r="A11" t="s">
        <v>50</v>
      </c>
      <c r="C11" s="5">
        <f t="shared" si="0"/>
        <v>1277.9956343159015</v>
      </c>
      <c r="E11" s="145">
        <f>[2]Data!$EJ$33</f>
        <v>69.604365684098468</v>
      </c>
      <c r="F11" s="206"/>
      <c r="G11" s="206"/>
      <c r="J11" s="5">
        <f>'[2]Årsopgørelse (Varme)'!$G$11</f>
        <v>1347.6</v>
      </c>
      <c r="K11" s="5">
        <f>'[3]Årsopgørelse (EL)'!$H$11</f>
        <v>579.71897999999999</v>
      </c>
      <c r="L11" s="76">
        <f t="shared" si="1"/>
        <v>396673.0543845151</v>
      </c>
      <c r="M11" s="55">
        <f t="shared" si="2"/>
        <v>396.67305438451507</v>
      </c>
      <c r="N11" s="55">
        <f>C11*gasfaktor+D11*fjernvarmefaktor+E11*Fjernvarmefaktor_nye_kedler+F11*$B$49+G11*$B$48+I11*el_opgør.år+K11*el_opgør.år</f>
        <v>428113.35047668352</v>
      </c>
      <c r="O11" s="55">
        <f t="shared" si="3"/>
        <v>428.11335047668354</v>
      </c>
      <c r="P11" s="5">
        <f t="shared" si="5"/>
        <v>1250.6242040192508</v>
      </c>
      <c r="R11" s="145">
        <f>[2]Data!$EJ$102</f>
        <v>46.705795980749045</v>
      </c>
      <c r="S11" s="206"/>
      <c r="T11" s="206"/>
      <c r="W11" s="5">
        <f>'[2]Årsopgørelse (Varme)'!$H$11</f>
        <v>1297.33</v>
      </c>
      <c r="X11" s="5">
        <f>'[3]Årsopgørelse (EL)'!$J$11</f>
        <v>590.77582999999993</v>
      </c>
      <c r="Y11" s="76">
        <f>P11*gasfaktor+Q11*fjernvarmefaktor+R11*Fjernvarmefaktor_nye_kedler+S11*$B$49+T11*$B$48+U11*Kraftv._foreg.år_Virum_Skole+V11*el_foreg.år+X11*el_foreg.år</f>
        <v>387136.69815272256</v>
      </c>
      <c r="Z11" s="55">
        <f t="shared" si="4"/>
        <v>387.13669815272254</v>
      </c>
      <c r="AK11" s="56"/>
      <c r="AL11" s="56"/>
      <c r="AM11" s="56"/>
      <c r="AN11" s="56"/>
      <c r="AO11" s="56"/>
      <c r="AP11" s="56"/>
      <c r="AQ11" s="55"/>
      <c r="AR11" s="6"/>
      <c r="AS11" s="55"/>
      <c r="AT11" s="55"/>
      <c r="AU11" s="56"/>
      <c r="AV11" s="56"/>
      <c r="AW11" s="56"/>
      <c r="AX11" s="56"/>
      <c r="AY11" s="56"/>
      <c r="AZ11" s="56"/>
      <c r="BA11" s="56"/>
      <c r="BC11" s="56"/>
    </row>
    <row r="12" spans="1:56" ht="13.5" thickBot="1">
      <c r="A12" s="10" t="s">
        <v>59</v>
      </c>
      <c r="B12" s="10"/>
      <c r="C12" s="5">
        <f t="shared" si="0"/>
        <v>1032.8435786999999</v>
      </c>
      <c r="D12" s="11">
        <f>[2]Data!$GP$45</f>
        <v>561.97888650351285</v>
      </c>
      <c r="E12" s="11">
        <f>[2]Data!$GP$41</f>
        <v>447.17691575419195</v>
      </c>
      <c r="F12" s="11">
        <v>113.77</v>
      </c>
      <c r="G12" s="11"/>
      <c r="H12" s="11">
        <f>'[2]Årsopgørelse (Varme)'!$G$25+[2]Data!$GP$33+[2]Data!$GP$38</f>
        <v>3203.750619042296</v>
      </c>
      <c r="I12" s="11"/>
      <c r="J12" s="11">
        <f>'[2]Årsopgørelse (Varme)'!$G$14+'[2]Årsopgørelse (Varme)'!$G$25</f>
        <v>5359.52</v>
      </c>
      <c r="K12" s="11">
        <f>'[3]Årsopgørelse (EL)'!$H$14+'[3]Årsopgørelse (EL)'!$H$26</f>
        <v>2142.8557099999998</v>
      </c>
      <c r="L12" s="76">
        <f>C12*gasfaktor+D12*fjernvarmefaktor+E12*Fjernvarmefaktor_nye_kedler+F12*$B$49+G12*$B$48+H12*kraftv_foreg.år_stadion+I12*el_foreg.år+K12*el_foreg.år</f>
        <v>1685026.1590021702</v>
      </c>
      <c r="M12" s="55">
        <f t="shared" si="2"/>
        <v>1685.0261590021703</v>
      </c>
      <c r="N12" s="55">
        <f>C12*gasfaktor+D12*fjernvarmefaktor+E12*Fjernvarmefaktor_nye_kedler+F12*$B$49+G12*$B$48+H12*kraftv_opgør.år_stadion+I12*el_opgør.år+K12*el_opgør.år</f>
        <v>1766809.2192840567</v>
      </c>
      <c r="O12" s="55">
        <f t="shared" si="3"/>
        <v>1766.8092192840568</v>
      </c>
      <c r="P12" s="5">
        <f t="shared" si="5"/>
        <v>1242.3655624915491</v>
      </c>
      <c r="Q12" s="11">
        <f>[2]Data!$GP$114</f>
        <v>645.17573248982728</v>
      </c>
      <c r="R12" s="11">
        <f>[2]Data!$GP$110</f>
        <v>530.80364520798241</v>
      </c>
      <c r="S12" s="11"/>
      <c r="T12" s="11"/>
      <c r="U12" s="11">
        <f>'[2]Årsopgørelse (Varme)'!$H$25+[2]Data!$GP$102+[2]Data!$GP$107</f>
        <v>3410.4321724700849</v>
      </c>
      <c r="V12" s="11"/>
      <c r="W12" s="11">
        <f>'[2]Årsopgørelse (Varme)'!$H$14+'[2]Årsopgørelse (Varme)'!$H$25</f>
        <v>5828.7771126594434</v>
      </c>
      <c r="X12" s="11">
        <f>'[3]Årsopgørelse (EL)'!$J$14+'[3]Årsopgørelse (EL)'!$J$26</f>
        <v>2229.39464</v>
      </c>
      <c r="Y12" s="76">
        <f>P12*gasfaktor+Q12*fjernvarmefaktor+R12*Fjernvarmefaktor_nye_kedler+S12*$B$49+T12*$B$48+U12*kraftv_foreg.år_stadion+V12*el_foreg.år+X12*el_foreg.år</f>
        <v>1828747.0984762739</v>
      </c>
      <c r="Z12" s="55">
        <f t="shared" si="4"/>
        <v>1828.747098476274</v>
      </c>
      <c r="AK12" s="56"/>
      <c r="AL12" s="60"/>
      <c r="AM12" s="60"/>
      <c r="AN12" s="60"/>
      <c r="AO12" s="60"/>
      <c r="AP12" s="60"/>
      <c r="AQ12" s="61"/>
      <c r="AR12" s="77"/>
      <c r="AS12" s="55"/>
      <c r="AT12" s="55"/>
      <c r="AU12" s="56"/>
      <c r="AV12" s="56"/>
      <c r="AW12" s="56"/>
      <c r="AX12" s="56"/>
      <c r="AY12" s="56"/>
      <c r="AZ12" s="56"/>
      <c r="BA12" s="56"/>
      <c r="BC12" s="56"/>
    </row>
    <row r="13" spans="1:56" ht="13.5" thickBot="1">
      <c r="A13" s="59" t="s">
        <v>51</v>
      </c>
      <c r="C13" s="5">
        <f t="shared" si="0"/>
        <v>3087.7470483537104</v>
      </c>
      <c r="I13" s="5">
        <f>[2]Data!$CD$175+[2]Data!$CD$197+[2]Data!$EI$179+11.743</f>
        <v>61.522951646289492</v>
      </c>
      <c r="J13" s="5">
        <f>'[2]Årsopgørelse (Varme)'!$G$23+'[2]Årsopgørelse (Varme)'!$G$18+'[2]Årsopgørelse (Varme)'!$G$17</f>
        <v>3149.27</v>
      </c>
      <c r="K13" s="5">
        <f>'[3]Årsopgørelse (EL)'!$H$23+'[3]Årsopgørelse (EL)'!$H$18+'[3]Årsopgørelse (EL)'!$H$17</f>
        <v>560.76296000000002</v>
      </c>
      <c r="L13" s="76">
        <f>C13*gasfaktor+D13*fjernvarmefaktor+E13*Fjernvarmefaktor_nye_kedler+F13*$B$49+G13*$B$48+H13*Kraftv._foreg.år_Virum_Skole+I13*el_foreg.år+K13*el_foreg.år</f>
        <v>755828.48815628677</v>
      </c>
      <c r="M13" s="55">
        <f t="shared" si="2"/>
        <v>755.82848815628677</v>
      </c>
      <c r="N13" s="55">
        <f>C13*gasfaktor+D13*fjernvarmefaktor+E13*Fjernvarmefaktor_nye_kedler+F13*$B$49+G13*$B$48+I13*el_opgør.år+K13*el_opgør.år</f>
        <v>789577.3457771712</v>
      </c>
      <c r="O13" s="55">
        <f t="shared" si="3"/>
        <v>789.57734577717122</v>
      </c>
      <c r="P13" s="5">
        <f t="shared" si="5"/>
        <v>3272.0875321726762</v>
      </c>
      <c r="V13" s="5">
        <f>12.585+[2]Data!$CD$244+[2]Data!$CD$266+[2]Data!$EJ$248</f>
        <v>73.742467827323907</v>
      </c>
      <c r="W13" s="5">
        <f>'[2]Årsopgørelse (Varme)'!$H$17+'[2]Årsopgørelse (Varme)'!$H$18+'[2]Årsopgørelse (Varme)'!$H$23</f>
        <v>3345.83</v>
      </c>
      <c r="X13" s="5">
        <f>'[3]Årsopgørelse (EL)'!$J$23+'[3]Årsopgørelse (EL)'!$J$18+'[3]Årsopgørelse (EL)'!$J$17</f>
        <v>590.79676999999992</v>
      </c>
      <c r="Y13" s="76">
        <f>P13*gasfaktor+Q13*fjernvarmefaktor+R13*Fjernvarmefaktor_nye_kedler+S13*$B$49+T13*$B$48+U13*Kraftv._foreg.år_Virum_Skole+V13*el_foreg.år+X13*el_foreg.år</f>
        <v>801982.18536333367</v>
      </c>
      <c r="Z13" s="55">
        <f t="shared" si="4"/>
        <v>801.98218536333366</v>
      </c>
      <c r="AK13" s="62"/>
      <c r="AL13" s="62"/>
      <c r="AM13" s="62"/>
      <c r="AN13" s="62"/>
      <c r="AO13" s="62"/>
      <c r="AP13" s="62"/>
      <c r="AQ13" s="57"/>
      <c r="AR13" s="62"/>
      <c r="AS13" s="50"/>
      <c r="AT13" s="50"/>
      <c r="BC13" s="56"/>
    </row>
    <row r="14" spans="1:56" s="26" customFormat="1" ht="13.5" thickBot="1">
      <c r="A14" s="63" t="s">
        <v>60</v>
      </c>
      <c r="B14" s="63"/>
      <c r="C14" s="93">
        <f t="shared" ref="C14:L14" si="6">SUM(C5:C13)</f>
        <v>19501.448623500888</v>
      </c>
      <c r="D14" s="93">
        <f t="shared" si="6"/>
        <v>1722.5805357083441</v>
      </c>
      <c r="E14" s="93">
        <f t="shared" si="6"/>
        <v>1421.4320697516539</v>
      </c>
      <c r="F14" s="93">
        <f t="shared" si="6"/>
        <v>1514.2529999999999</v>
      </c>
      <c r="G14" s="93">
        <f t="shared" si="6"/>
        <v>192.06</v>
      </c>
      <c r="H14" s="93">
        <f t="shared" si="6"/>
        <v>5239.7003138656064</v>
      </c>
      <c r="I14" s="93">
        <f t="shared" si="6"/>
        <v>229.70814797164266</v>
      </c>
      <c r="J14" s="93">
        <f t="shared" si="6"/>
        <v>29821.182690798134</v>
      </c>
      <c r="K14" s="93">
        <f t="shared" si="6"/>
        <v>8909.0534299999999</v>
      </c>
      <c r="L14" s="76">
        <f t="shared" si="6"/>
        <v>8118120.598995869</v>
      </c>
      <c r="M14" s="55">
        <f t="shared" si="2"/>
        <v>8118.1205989958689</v>
      </c>
      <c r="N14" s="216">
        <f>SUM(N5:N13)</f>
        <v>8577088.0961557422</v>
      </c>
      <c r="O14" s="55">
        <f t="shared" si="3"/>
        <v>8577.0880961557414</v>
      </c>
      <c r="P14" s="93">
        <f t="shared" ref="P14:Y14" si="7">SUM(P5:P13)</f>
        <v>21877.608957212469</v>
      </c>
      <c r="Q14" s="93">
        <f t="shared" si="7"/>
        <v>1765.4707444375354</v>
      </c>
      <c r="R14" s="93">
        <f t="shared" si="7"/>
        <v>1410.0057368700304</v>
      </c>
      <c r="S14" s="93">
        <f t="shared" si="7"/>
        <v>120.26900000000001</v>
      </c>
      <c r="T14" s="93">
        <f t="shared" si="7"/>
        <v>285.11</v>
      </c>
      <c r="U14" s="93">
        <f t="shared" si="7"/>
        <v>5530.6470192397228</v>
      </c>
      <c r="V14" s="93">
        <f t="shared" si="7"/>
        <v>248.06565489968901</v>
      </c>
      <c r="W14" s="93">
        <f t="shared" si="7"/>
        <v>31237.177112659447</v>
      </c>
      <c r="X14" s="93">
        <f t="shared" si="7"/>
        <v>9236.1695</v>
      </c>
      <c r="Y14" s="76">
        <f t="shared" si="7"/>
        <v>8647071.9782120697</v>
      </c>
      <c r="Z14" s="55">
        <f t="shared" si="4"/>
        <v>8647.0719782120705</v>
      </c>
      <c r="AK14" s="64"/>
      <c r="AL14" s="64"/>
      <c r="AM14" s="64"/>
      <c r="AN14" s="64"/>
      <c r="AO14" s="64"/>
      <c r="AP14" s="64"/>
      <c r="AQ14" s="64"/>
      <c r="AR14" s="64"/>
      <c r="AS14" s="55"/>
      <c r="AT14" s="67"/>
      <c r="AU14" s="57"/>
      <c r="AV14" s="57"/>
      <c r="AW14" s="57"/>
      <c r="AX14" s="57"/>
      <c r="AY14" s="57"/>
      <c r="AZ14" s="57"/>
      <c r="BA14" s="62"/>
      <c r="BB14" s="50"/>
      <c r="BC14" s="56"/>
      <c r="BD14" s="50"/>
    </row>
    <row r="15" spans="1:56" ht="13.5" thickBot="1">
      <c r="A15" s="59" t="s">
        <v>66</v>
      </c>
      <c r="B15" s="10"/>
      <c r="C15" s="5">
        <v>0</v>
      </c>
      <c r="D15" s="10"/>
      <c r="E15" s="10"/>
      <c r="F15" s="10"/>
      <c r="G15" s="10"/>
      <c r="H15" s="11">
        <v>0</v>
      </c>
      <c r="I15" s="10"/>
      <c r="J15" s="11">
        <v>0</v>
      </c>
      <c r="K15" s="11">
        <f>'[3]Årsopgørelse (EL)'!$H$8+'[3]Årsopgørelse (EL)'!$H$9</f>
        <v>170.77335000000002</v>
      </c>
      <c r="L15" s="76">
        <f>K15*el_foreg.år</f>
        <v>34481.296502052639</v>
      </c>
      <c r="M15" s="55">
        <f t="shared" si="2"/>
        <v>34.481296502052636</v>
      </c>
      <c r="N15" s="216">
        <f>C15*gasfaktor+H15*Kraftv._Beboelse+K15*el_opgør.år</f>
        <v>43742.964437526323</v>
      </c>
      <c r="O15" s="55">
        <f t="shared" si="3"/>
        <v>43.742964437526325</v>
      </c>
      <c r="P15" s="5">
        <v>0</v>
      </c>
      <c r="Q15" s="10"/>
      <c r="R15" s="10"/>
      <c r="S15" s="10"/>
      <c r="T15" s="10"/>
      <c r="U15" s="11">
        <v>0</v>
      </c>
      <c r="V15" s="10"/>
      <c r="W15" s="11">
        <v>0</v>
      </c>
      <c r="X15" s="11">
        <f>'[3]Årsopgørelse (EL)'!$J$8+'[3]Årsopgørelse (EL)'!$J$9</f>
        <v>176.7381</v>
      </c>
      <c r="Y15" s="76">
        <f>X15*el_foreg.år</f>
        <v>35685.654871263163</v>
      </c>
      <c r="Z15" s="55">
        <f t="shared" si="4"/>
        <v>35.685654871263161</v>
      </c>
      <c r="AK15" s="56"/>
      <c r="AL15" s="68"/>
      <c r="AM15" s="68"/>
      <c r="AN15" s="68"/>
      <c r="AO15" s="68"/>
      <c r="AP15" s="68"/>
      <c r="AQ15" s="61"/>
      <c r="AR15" s="78"/>
      <c r="AS15" s="55"/>
      <c r="AT15" s="80"/>
      <c r="AU15" s="56"/>
      <c r="AV15" s="74"/>
      <c r="AW15" s="74"/>
      <c r="AX15" s="74"/>
      <c r="AY15" s="74"/>
      <c r="AZ15" s="74"/>
      <c r="BA15" s="74"/>
      <c r="BC15" s="56"/>
    </row>
    <row r="16" spans="1:56" ht="13.5" thickBot="1">
      <c r="A16" t="s">
        <v>63</v>
      </c>
      <c r="C16" s="5">
        <f t="shared" ref="C16:K16" si="8">SUM(C14:C15)</f>
        <v>19501.448623500888</v>
      </c>
      <c r="D16" s="5">
        <f t="shared" si="8"/>
        <v>1722.5805357083441</v>
      </c>
      <c r="E16" s="5">
        <f t="shared" si="8"/>
        <v>1421.4320697516539</v>
      </c>
      <c r="F16" s="5">
        <f t="shared" si="8"/>
        <v>1514.2529999999999</v>
      </c>
      <c r="G16" s="5">
        <f t="shared" si="8"/>
        <v>192.06</v>
      </c>
      <c r="H16" s="5">
        <f t="shared" si="8"/>
        <v>5239.7003138656064</v>
      </c>
      <c r="I16" s="5">
        <f t="shared" si="8"/>
        <v>229.70814797164266</v>
      </c>
      <c r="J16" s="5">
        <f t="shared" si="8"/>
        <v>29821.182690798134</v>
      </c>
      <c r="K16" s="5">
        <f t="shared" si="8"/>
        <v>9079.8267799999994</v>
      </c>
      <c r="L16" s="76">
        <f>(C16*gasfaktor+D16*fjernvarmefaktor+E16*Fjernvarmefaktor_nye_kedler+F16*$B$49+G16*$B$48+(H6+H9)*Kraftv._foreg.år_Virum_Skole+H12*kraftv_foreg.år_stadion+H15*Kraftv._Beboelse+I16*el_foreg.år+K16*el_foreg.år)</f>
        <v>8152601.8954979219</v>
      </c>
      <c r="M16" s="55">
        <f t="shared" si="2"/>
        <v>8152.6018954979218</v>
      </c>
      <c r="N16" s="216">
        <f>C16*gasfaktor+D16*fjernvarmefaktor+E16*Fjernvarmefaktor_nye_kedler+F16*$B$49+G16*$B$48+H6*kraftv_opgør.år_virum_sk+H9*kraftv_opgør.år_virum_sk+H12*kraftv_opgør.år_stadion+H15*Kraftv._Beboelse+I16*el_opgør.år+K16*el_opgør.år</f>
        <v>8620831.0605932698</v>
      </c>
      <c r="O16" s="55">
        <f t="shared" si="3"/>
        <v>8620.8310605932693</v>
      </c>
      <c r="P16" s="5">
        <f t="shared" ref="P16:X16" si="9">SUM(P14:P15)</f>
        <v>21877.608957212469</v>
      </c>
      <c r="Q16" s="5">
        <f t="shared" si="9"/>
        <v>1765.4707444375354</v>
      </c>
      <c r="R16" s="5">
        <f t="shared" si="9"/>
        <v>1410.0057368700304</v>
      </c>
      <c r="S16" s="5">
        <f t="shared" si="9"/>
        <v>120.26900000000001</v>
      </c>
      <c r="T16" s="5">
        <f t="shared" si="9"/>
        <v>285.11</v>
      </c>
      <c r="U16" s="5">
        <f t="shared" si="9"/>
        <v>5530.6470192397228</v>
      </c>
      <c r="V16" s="5">
        <f t="shared" si="9"/>
        <v>248.06565489968901</v>
      </c>
      <c r="W16" s="5">
        <f t="shared" si="9"/>
        <v>31237.177112659447</v>
      </c>
      <c r="X16" s="5">
        <f t="shared" si="9"/>
        <v>9412.9076000000005</v>
      </c>
      <c r="Y16" s="76">
        <f>(P16*gasfaktor+Q16*fjernvarmefaktor+R16*Fjernvarmefaktor_nye_kedler+S16*$B$49+T16*$B$48+(U6+[3]Data!$DG$251)*Kraftv._foreg.år_Virum_Skole+0.6*191.49*kraftv_foreg.år_bau_solg+U12*kraftv_foreg.år_stadion+U15*Kraftv._Beboelse+V16*el_foreg.år+X16*el_foreg.år)</f>
        <v>8682757.6330833323</v>
      </c>
      <c r="Z16" s="55">
        <f t="shared" si="4"/>
        <v>8682.7576330833326</v>
      </c>
      <c r="AK16" s="56"/>
      <c r="AL16" s="56"/>
      <c r="AM16" s="56"/>
      <c r="AN16" s="56"/>
      <c r="AO16" s="56"/>
      <c r="AP16" s="56"/>
      <c r="AQ16" s="58"/>
      <c r="AR16" s="56"/>
      <c r="AS16" s="65"/>
      <c r="AT16" s="67"/>
      <c r="BC16" s="81"/>
    </row>
    <row r="17" spans="1:55" ht="13.5" thickTop="1">
      <c r="A17" s="106" t="s">
        <v>137</v>
      </c>
      <c r="B17" s="106"/>
      <c r="C17" s="5">
        <f>C16*gasfaktor</f>
        <v>3980068.3781599547</v>
      </c>
      <c r="D17" s="5">
        <f>D16*fjernvarmefaktor</f>
        <v>499548.3553554198</v>
      </c>
      <c r="E17" s="5">
        <f>E16*Fjernvarmefaktor_nye_kedler</f>
        <v>383786.65883294656</v>
      </c>
      <c r="F17" s="5">
        <f>F16*B49</f>
        <v>151425.29999999999</v>
      </c>
      <c r="G17" s="5">
        <f>G16*B48</f>
        <v>51461.981799797773</v>
      </c>
      <c r="H17" s="5">
        <f>H6*Kraftv._foreg.år_Virum_Skole+H9*Kraftv._foreg.år_Virum_Skole+H12*kraftv_foreg.år_stadion</f>
        <v>1206598.525266923</v>
      </c>
      <c r="I17" s="5">
        <f>I16*el_foreg.år</f>
        <v>46380.976652080615</v>
      </c>
      <c r="J17" s="5">
        <f>SUM(C17:I17)</f>
        <v>6319270.1760671223</v>
      </c>
      <c r="K17" s="5">
        <f>K16*el_foreg.år</f>
        <v>1833331.7194308001</v>
      </c>
      <c r="L17" s="5">
        <f>SUM(J17:K17)</f>
        <v>8152601.8954979219</v>
      </c>
      <c r="M17" s="55">
        <f t="shared" si="2"/>
        <v>8152.6018954979218</v>
      </c>
      <c r="N17" s="217">
        <f>N14+N15</f>
        <v>8620831.0605932679</v>
      </c>
      <c r="P17" s="5">
        <f>P16*gasfaktor</f>
        <v>4465021.1008129092</v>
      </c>
      <c r="Q17" s="5">
        <f>Q16*fjernvarmefaktor</f>
        <v>511986.51588688523</v>
      </c>
      <c r="R17" s="5">
        <f>R16*Fjernvarmefaktor_nye_kedler</f>
        <v>380701.54895490821</v>
      </c>
      <c r="S17" s="5">
        <f>S16*B49</f>
        <v>12026.900000000001</v>
      </c>
      <c r="T17" s="5">
        <f>T16*B48</f>
        <v>76394.489383215361</v>
      </c>
      <c r="U17" s="5">
        <f>(U6+[3]Data!$DG$251)*Kraftv._foreg.år_Virum_Skole+0.6*191.49*kraftv_foreg.år_bau_solg+U12*kraftv_foreg.år_stadion</f>
        <v>1285954.5445347896</v>
      </c>
      <c r="V17" s="5">
        <f>V16*el_foreg.år</f>
        <v>50087.589185151213</v>
      </c>
      <c r="W17" s="5">
        <f>SUM(P17:V17)</f>
        <v>6782172.6887578582</v>
      </c>
      <c r="X17" s="5">
        <f>X16*el_foreg.år</f>
        <v>1900584.9443254739</v>
      </c>
      <c r="Y17" s="5">
        <f>SUM(W17:X17)</f>
        <v>8682757.6330833323</v>
      </c>
      <c r="Z17" s="55">
        <f t="shared" si="4"/>
        <v>8682.7576330833326</v>
      </c>
      <c r="AK17" s="56"/>
      <c r="AL17" s="56"/>
      <c r="AM17" s="56"/>
      <c r="AN17" s="56"/>
      <c r="AO17" s="56"/>
      <c r="AP17" s="56"/>
      <c r="AQ17" s="66"/>
      <c r="AR17" s="56"/>
      <c r="AS17" s="67"/>
      <c r="AT17" s="67"/>
    </row>
    <row r="18" spans="1:55">
      <c r="A18" s="223" t="s">
        <v>155</v>
      </c>
      <c r="B18" s="223"/>
      <c r="C18" s="12">
        <f>C16*gasfaktor</f>
        <v>3980068.3781599547</v>
      </c>
      <c r="D18" s="12">
        <f>D16*fjernvarmefaktor</f>
        <v>499548.3553554198</v>
      </c>
      <c r="E18" s="12">
        <f>E16*Fjernvarmefaktor_nye_kedler</f>
        <v>383786.65883294656</v>
      </c>
      <c r="F18" s="12">
        <f>F16*B49</f>
        <v>151425.29999999999</v>
      </c>
      <c r="G18" s="12">
        <f>G16*B48</f>
        <v>51461.981799797773</v>
      </c>
      <c r="H18" s="12">
        <f>H6*kraftv_opgør.år_virum_sk+H9*kraftv_opgør.år_virum_sk+H12*kraftv_opgør.år_stadion+H15*Kraftv._Beboelse</f>
        <v>1169937.3129317905</v>
      </c>
      <c r="I18" s="12">
        <f>I16*el_opgør.år</f>
        <v>58838.895809759531</v>
      </c>
      <c r="J18" s="12">
        <f>SUM(C18:I18)</f>
        <v>6295066.8828896685</v>
      </c>
      <c r="K18" s="12">
        <f>K16*el_opgør.år</f>
        <v>2325764.1777035999</v>
      </c>
      <c r="L18" s="5">
        <f>J18+K18</f>
        <v>8620831.0605932679</v>
      </c>
      <c r="M18" s="55"/>
      <c r="N18" s="55">
        <f>J18+K18</f>
        <v>8620831.0605932679</v>
      </c>
      <c r="O18" s="55">
        <f>N18/1000</f>
        <v>8620.8310605932675</v>
      </c>
      <c r="P18" s="5">
        <f>P16*gasfaktor</f>
        <v>4465021.1008129092</v>
      </c>
      <c r="Q18" s="5">
        <f>Q16*fjernvarmefaktor</f>
        <v>511986.51588688523</v>
      </c>
      <c r="R18" s="5">
        <f>R16*Fjernvarmefaktor_nye_kedler</f>
        <v>380701.54895490821</v>
      </c>
      <c r="S18" s="5">
        <f>S16*B49</f>
        <v>12026.900000000001</v>
      </c>
      <c r="T18" s="5">
        <f>T16*B48</f>
        <v>76394.489383215361</v>
      </c>
      <c r="U18" s="5">
        <f>U6*kraftv_opgør.år_virum_sk+(U9-[2]Data!$DG$251)*kraftv_foreg.år_bau+[2]Data!$DG$251*Kraftv._foreg.år_Virum_Skole+U12*kraftv_opgør.år_stadion+U15*Kraftv._Beboelse</f>
        <v>1236652.7878971044</v>
      </c>
      <c r="V18" s="5">
        <f>V16*el_opgør.år</f>
        <v>63541.103576458343</v>
      </c>
      <c r="W18" s="5">
        <f>SUM(P18:V18)</f>
        <v>6746324.44651148</v>
      </c>
      <c r="X18" s="5">
        <f>X16*el_opgør.år</f>
        <v>2411081.6026067371</v>
      </c>
      <c r="Y18" s="5">
        <f>W18+X18</f>
        <v>9157406.0491182171</v>
      </c>
      <c r="Z18" s="55"/>
      <c r="AK18" s="83"/>
      <c r="AL18" s="83"/>
      <c r="AM18" s="83"/>
      <c r="AN18" s="83"/>
      <c r="AO18" s="11"/>
      <c r="AP18" s="83"/>
      <c r="AQ18" s="66"/>
      <c r="AR18" s="6"/>
      <c r="AS18" s="67"/>
      <c r="AT18" s="67"/>
    </row>
    <row r="19" spans="1:55" ht="13.5" thickBot="1">
      <c r="A19" t="s">
        <v>16</v>
      </c>
      <c r="J19" s="5"/>
      <c r="K19" s="5">
        <f>[4]Ark1!$C$8</f>
        <v>1840</v>
      </c>
      <c r="L19" s="5">
        <f>K19*el_foreg.år</f>
        <v>371519.24210526317</v>
      </c>
      <c r="M19" s="55">
        <f t="shared" ref="M19:M29" si="10">L19/1000</f>
        <v>371.51924210526317</v>
      </c>
      <c r="N19" s="55">
        <f>K19*el_opgør.år</f>
        <v>471309.22105263162</v>
      </c>
      <c r="O19" s="55">
        <f>N19/1000</f>
        <v>471.30922105263164</v>
      </c>
      <c r="W19" s="5"/>
      <c r="X19" s="5">
        <f>'[5]Årsopgørelse (EL)'!$H$25</f>
        <v>1840.1220000000001</v>
      </c>
      <c r="Y19" s="5">
        <f>X19*el_foreg.år</f>
        <v>371543.87544631585</v>
      </c>
      <c r="Z19" s="55">
        <f t="shared" ref="Z19:Z29" si="11">Y19/1000</f>
        <v>371.54387544631584</v>
      </c>
      <c r="AK19" s="68"/>
      <c r="AL19" s="68"/>
      <c r="AM19" s="68"/>
      <c r="AN19" s="68"/>
      <c r="AP19" s="68"/>
      <c r="AQ19" s="69"/>
      <c r="AR19" s="6"/>
      <c r="AS19" s="50"/>
      <c r="AT19" s="50"/>
      <c r="AU19"/>
      <c r="BB19" s="6"/>
    </row>
    <row r="20" spans="1:55">
      <c r="A20" t="s">
        <v>68</v>
      </c>
      <c r="C20" s="5"/>
      <c r="G20" s="5"/>
      <c r="I20" s="5"/>
      <c r="J20" s="48">
        <f>L16-L17</f>
        <v>0</v>
      </c>
      <c r="K20" s="5">
        <f>[4]Ark1!$C$16</f>
        <v>793.69299999999998</v>
      </c>
      <c r="L20" s="5">
        <f>K20*el_foreg.år</f>
        <v>160256.64229578947</v>
      </c>
      <c r="M20" s="55">
        <f t="shared" si="10"/>
        <v>160.25664229578948</v>
      </c>
      <c r="N20" s="55">
        <f>K20*el_opgør.år</f>
        <v>203301.53781789474</v>
      </c>
      <c r="O20" s="55">
        <f>N20/1000</f>
        <v>203.30153781789474</v>
      </c>
      <c r="P20" s="5"/>
      <c r="T20" s="5"/>
      <c r="V20" s="5"/>
      <c r="W20" s="48"/>
      <c r="X20" s="5">
        <f>[6]Ark1!$M$100/1000</f>
        <v>801.59100000000001</v>
      </c>
      <c r="Y20" s="5">
        <f>X20*el_foreg.år</f>
        <v>161851.34826000003</v>
      </c>
      <c r="Z20" s="55">
        <f t="shared" si="11"/>
        <v>161.85134826000004</v>
      </c>
      <c r="AK20" s="56"/>
      <c r="AL20" s="56"/>
      <c r="AM20" s="56"/>
      <c r="AN20" s="56"/>
      <c r="AO20" s="56"/>
      <c r="AP20" s="56"/>
      <c r="AQ20" s="66"/>
      <c r="AR20" s="6"/>
      <c r="AS20" s="50"/>
      <c r="AT20" s="50"/>
      <c r="AU20"/>
      <c r="BB20" s="6"/>
    </row>
    <row r="21" spans="1:55">
      <c r="A21" t="s">
        <v>71</v>
      </c>
      <c r="G21" s="5"/>
      <c r="I21" s="5"/>
      <c r="J21" s="5"/>
      <c r="K21" s="5">
        <f>[4]Ark1!$C$14</f>
        <v>3581.6349162000001</v>
      </c>
      <c r="L21" s="5">
        <f>K21*el_foreg.år</f>
        <v>723177.33128498471</v>
      </c>
      <c r="M21" s="55">
        <f t="shared" si="10"/>
        <v>723.17733128498469</v>
      </c>
      <c r="N21" s="55">
        <f>K21*el_opgør.år</f>
        <v>917422.5882875704</v>
      </c>
      <c r="O21" s="55">
        <f>N21/1000</f>
        <v>917.42258828757042</v>
      </c>
      <c r="T21" s="5"/>
      <c r="V21" s="5"/>
      <c r="X21" s="5">
        <f>([6]Ark1!$E$49*0.5018+[4]Ark1!$F$62)/1000</f>
        <v>3234.5297858000004</v>
      </c>
      <c r="Y21" s="5">
        <f>X21*el_foreg.år</f>
        <v>653092.42097136704</v>
      </c>
      <c r="Z21" s="55">
        <f t="shared" si="11"/>
        <v>653.09242097136701</v>
      </c>
      <c r="AK21" s="56"/>
      <c r="AL21" s="56"/>
      <c r="AM21" s="56"/>
      <c r="AN21" s="56"/>
      <c r="AO21" s="56"/>
      <c r="AP21" s="56"/>
      <c r="AQ21" s="66"/>
      <c r="AR21" s="6"/>
      <c r="AS21" s="50"/>
      <c r="AT21" s="50"/>
      <c r="AU21"/>
      <c r="BB21" s="6"/>
    </row>
    <row r="22" spans="1:55" s="5" customFormat="1">
      <c r="A22" s="5" t="s">
        <v>75</v>
      </c>
      <c r="C22" s="5">
        <f>[4]Ark1!$H$18</f>
        <v>24.276999999999997</v>
      </c>
      <c r="K22" s="5">
        <f>[4]Ark1!$C$18</f>
        <v>41.613999999999997</v>
      </c>
      <c r="L22" s="5">
        <f>C22*gasfaktor+K22*el_foreg.år</f>
        <v>13357.107250526316</v>
      </c>
      <c r="M22" s="55">
        <f t="shared" si="10"/>
        <v>13.357107250526317</v>
      </c>
      <c r="N22" s="55">
        <f>C22*gasfaktor+K22*el_opgør.år</f>
        <v>15613.987785263158</v>
      </c>
      <c r="O22" s="55">
        <f>N22/1000</f>
        <v>15.613987785263157</v>
      </c>
      <c r="P22" s="5">
        <f>[6]Ark1!$D$105</f>
        <v>19.788999999999998</v>
      </c>
      <c r="X22" s="5">
        <f>[6]Ark1!$B$103</f>
        <v>27</v>
      </c>
      <c r="Y22" s="5">
        <f>P22*gasfaktor+X22*el_foreg.år</f>
        <v>9490.3960526315786</v>
      </c>
      <c r="Z22" s="55">
        <f t="shared" si="11"/>
        <v>9.4903960526315778</v>
      </c>
      <c r="AK22" s="83"/>
      <c r="AL22" s="83"/>
      <c r="AM22" s="83"/>
      <c r="AN22" s="83"/>
      <c r="AO22" s="83"/>
      <c r="AP22" s="83"/>
      <c r="AQ22" s="66"/>
      <c r="AR22" s="84"/>
      <c r="AS22" s="50"/>
      <c r="AT22" s="50"/>
      <c r="BB22" s="11"/>
    </row>
    <row r="23" spans="1:55">
      <c r="M23" s="55">
        <f t="shared" si="10"/>
        <v>0</v>
      </c>
      <c r="N23" s="55"/>
      <c r="O23" s="55"/>
      <c r="Y23"/>
      <c r="Z23" s="55">
        <f t="shared" si="11"/>
        <v>0</v>
      </c>
      <c r="AK23" s="83"/>
      <c r="AL23" s="83"/>
      <c r="AM23" s="83"/>
      <c r="AN23" s="83"/>
      <c r="AO23" s="83"/>
      <c r="AP23" s="83"/>
      <c r="AQ23" s="66"/>
      <c r="AR23" s="84"/>
      <c r="AS23" s="50"/>
      <c r="AT23" s="50"/>
      <c r="AU23"/>
      <c r="BB23" s="11"/>
    </row>
    <row r="24" spans="1:55" s="26" customFormat="1" ht="13.5" thickBot="1">
      <c r="A24" s="70" t="s">
        <v>97</v>
      </c>
      <c r="B24" s="28"/>
      <c r="C24" s="66" t="s">
        <v>64</v>
      </c>
      <c r="D24" s="66"/>
      <c r="E24" s="66" t="s">
        <v>65</v>
      </c>
      <c r="F24" s="66"/>
      <c r="G24" s="66"/>
      <c r="H24" s="150" t="s">
        <v>118</v>
      </c>
      <c r="I24" s="151" t="s">
        <v>93</v>
      </c>
      <c r="J24" s="151" t="s">
        <v>72</v>
      </c>
      <c r="K24" s="70"/>
      <c r="M24" s="55">
        <f t="shared" si="10"/>
        <v>0</v>
      </c>
      <c r="N24" s="55"/>
      <c r="O24" s="55"/>
      <c r="P24" s="66" t="s">
        <v>64</v>
      </c>
      <c r="Q24" s="66"/>
      <c r="R24" s="66" t="s">
        <v>65</v>
      </c>
      <c r="S24" s="66"/>
      <c r="T24" s="66"/>
      <c r="U24" s="150" t="s">
        <v>118</v>
      </c>
      <c r="V24" s="151" t="s">
        <v>93</v>
      </c>
      <c r="W24" s="151" t="s">
        <v>72</v>
      </c>
      <c r="X24" s="70"/>
      <c r="Z24" s="55">
        <f t="shared" si="11"/>
        <v>0</v>
      </c>
      <c r="AK24" s="69"/>
      <c r="AL24" s="69"/>
      <c r="AM24" s="69"/>
      <c r="AN24" s="69"/>
      <c r="AO24" s="69"/>
      <c r="AP24" s="69"/>
      <c r="AQ24" s="69"/>
      <c r="AR24" s="69"/>
      <c r="AS24" s="50"/>
      <c r="AT24" s="50"/>
      <c r="AU24" s="69"/>
      <c r="AV24" s="69"/>
      <c r="AW24" s="69"/>
      <c r="AX24" s="50"/>
      <c r="AY24" s="50"/>
      <c r="AZ24" s="50"/>
      <c r="BA24" s="50"/>
      <c r="BB24" s="50"/>
      <c r="BC24" s="50"/>
    </row>
    <row r="25" spans="1:55" s="26" customFormat="1" ht="13.5" thickBot="1">
      <c r="A25" s="119" t="s">
        <v>91</v>
      </c>
      <c r="B25" s="105"/>
      <c r="C25" s="141">
        <f>[7]Ark1!$J$30</f>
        <v>47385</v>
      </c>
      <c r="D25" s="141"/>
      <c r="E25" s="141"/>
      <c r="F25" s="141"/>
      <c r="G25" s="141"/>
      <c r="H25" s="141"/>
      <c r="I25" s="141"/>
      <c r="J25" s="141">
        <f>C25*benzinfaktor+E25*dieselfaktor</f>
        <v>113724</v>
      </c>
      <c r="K25" s="122"/>
      <c r="L25" s="50">
        <f>J25</f>
        <v>113724</v>
      </c>
      <c r="M25" s="55">
        <f t="shared" si="10"/>
        <v>113.724</v>
      </c>
      <c r="N25" s="55">
        <f>J25</f>
        <v>113724</v>
      </c>
      <c r="O25" s="55">
        <f t="shared" ref="O25:O31" si="12">N25/1000</f>
        <v>113.724</v>
      </c>
      <c r="P25" s="141">
        <f>[7]Ark1!$I$30</f>
        <v>45419</v>
      </c>
      <c r="Q25" s="141"/>
      <c r="R25" s="141"/>
      <c r="S25" s="141"/>
      <c r="T25" s="141"/>
      <c r="U25" s="141"/>
      <c r="V25" s="141"/>
      <c r="W25" s="141">
        <f>P25*benzinfaktor+R25*dieselfaktor</f>
        <v>109005.59999999999</v>
      </c>
      <c r="X25" s="122"/>
      <c r="Y25" s="50">
        <f>W25</f>
        <v>109005.59999999999</v>
      </c>
      <c r="Z25" s="55">
        <f t="shared" si="11"/>
        <v>109.00559999999999</v>
      </c>
      <c r="AK25" s="118"/>
      <c r="AL25" s="69"/>
      <c r="AM25" s="118"/>
      <c r="AN25" s="69"/>
      <c r="AO25" s="69"/>
      <c r="AP25" s="69"/>
      <c r="AQ25" s="69"/>
      <c r="AR25" s="69"/>
      <c r="AS25" s="50"/>
      <c r="AT25" s="50"/>
      <c r="AU25" s="67"/>
      <c r="AV25" s="67"/>
      <c r="AW25" s="67"/>
      <c r="AX25" s="50"/>
      <c r="AY25" s="50"/>
      <c r="AZ25" s="50"/>
      <c r="BA25" s="50"/>
      <c r="BB25" s="50"/>
      <c r="BC25" s="50"/>
    </row>
    <row r="26" spans="1:55" s="26" customFormat="1" ht="13.5" thickBot="1">
      <c r="A26" s="119" t="s">
        <v>102</v>
      </c>
      <c r="B26" s="105"/>
      <c r="C26" s="55">
        <f>[7]Ark1!$J$9</f>
        <v>14886.849999999999</v>
      </c>
      <c r="D26" s="141"/>
      <c r="E26" s="141">
        <f>[7]Ark1!$K$9</f>
        <v>95517.77</v>
      </c>
      <c r="F26" s="141"/>
      <c r="G26" s="141"/>
      <c r="H26" s="141"/>
      <c r="I26" s="141"/>
      <c r="J26" s="141">
        <f>C26*benzinfaktor+E26*dieselfaktor</f>
        <v>288850.53049999999</v>
      </c>
      <c r="K26" s="122"/>
      <c r="L26" s="50">
        <f>J26</f>
        <v>288850.53049999999</v>
      </c>
      <c r="M26" s="55">
        <f t="shared" si="10"/>
        <v>288.85053049999999</v>
      </c>
      <c r="N26" s="55">
        <f>J26</f>
        <v>288850.53049999999</v>
      </c>
      <c r="O26" s="55">
        <f t="shared" si="12"/>
        <v>288.85053049999999</v>
      </c>
      <c r="P26" s="55">
        <f>[8]Ark1!$D$5+[8]Ark1!$D$6</f>
        <v>17056</v>
      </c>
      <c r="Q26" s="141"/>
      <c r="R26" s="141">
        <f>[8]Ark1!$D$7</f>
        <v>112977</v>
      </c>
      <c r="S26" s="141"/>
      <c r="T26" s="141"/>
      <c r="U26" s="141"/>
      <c r="V26" s="141"/>
      <c r="W26" s="141">
        <f>P26*benzinfaktor+R26*dieselfaktor</f>
        <v>340323.45</v>
      </c>
      <c r="X26" s="122"/>
      <c r="Y26" s="50">
        <f>W26</f>
        <v>340323.45</v>
      </c>
      <c r="Z26" s="55">
        <f t="shared" si="11"/>
        <v>340.32345000000004</v>
      </c>
      <c r="AK26" s="118"/>
      <c r="AL26" s="69"/>
      <c r="AM26" s="118"/>
      <c r="AN26" s="69"/>
      <c r="AO26" s="69"/>
      <c r="AP26" s="69"/>
      <c r="AQ26" s="69"/>
      <c r="AR26" s="69"/>
      <c r="AS26" s="50"/>
      <c r="AT26" s="50"/>
      <c r="AU26" s="67"/>
      <c r="AV26" s="67"/>
      <c r="AW26" s="67"/>
      <c r="AX26" s="50"/>
      <c r="AY26" s="50"/>
      <c r="AZ26" s="50"/>
      <c r="BA26" s="50"/>
      <c r="BB26" s="50"/>
      <c r="BC26" s="50"/>
    </row>
    <row r="27" spans="1:55" s="26" customFormat="1" ht="13.5" thickBot="1">
      <c r="A27" s="119" t="s">
        <v>92</v>
      </c>
      <c r="B27" s="119"/>
      <c r="C27" s="61"/>
      <c r="D27" s="149"/>
      <c r="E27" s="149"/>
      <c r="F27" s="149"/>
      <c r="G27" s="149"/>
      <c r="H27" s="149"/>
      <c r="I27" s="149">
        <f>[9]com.sap.ip.bi.web.portal.integr!$H$1039</f>
        <v>258615.24000000014</v>
      </c>
      <c r="J27" s="149">
        <f>I27*Kørsel_i_privatbiler</f>
        <v>34137.211680000022</v>
      </c>
      <c r="K27" s="148"/>
      <c r="L27" s="50">
        <f>J27</f>
        <v>34137.211680000022</v>
      </c>
      <c r="M27" s="55">
        <f t="shared" si="10"/>
        <v>34.137211680000021</v>
      </c>
      <c r="N27" s="55">
        <f>J27</f>
        <v>34137.211680000022</v>
      </c>
      <c r="O27" s="55">
        <f t="shared" si="12"/>
        <v>34.137211680000021</v>
      </c>
      <c r="P27" s="61"/>
      <c r="Q27" s="149"/>
      <c r="R27" s="149"/>
      <c r="S27" s="149"/>
      <c r="T27" s="149"/>
      <c r="U27" s="149"/>
      <c r="V27" s="149">
        <f>[10]Ark1!$C$31</f>
        <v>254242.53</v>
      </c>
      <c r="W27" s="149">
        <f>V27*Kørsel_i_privatbiler</f>
        <v>33560.013960000004</v>
      </c>
      <c r="X27" s="148"/>
      <c r="Y27" s="50">
        <f>W27</f>
        <v>33560.013960000004</v>
      </c>
      <c r="Z27" s="55">
        <f t="shared" si="11"/>
        <v>33.560013960000006</v>
      </c>
      <c r="AK27" s="118"/>
      <c r="AL27" s="69"/>
      <c r="AM27" s="118"/>
      <c r="AN27" s="69"/>
      <c r="AO27" s="69"/>
      <c r="AP27" s="69"/>
      <c r="AQ27" s="69"/>
      <c r="AR27" s="69"/>
      <c r="AS27" s="50"/>
      <c r="AT27" s="50"/>
      <c r="AU27" s="67"/>
      <c r="AV27" s="67"/>
      <c r="AW27" s="67"/>
      <c r="AX27" s="50"/>
      <c r="AY27" s="50"/>
      <c r="AZ27" s="50"/>
      <c r="BA27" s="50"/>
      <c r="BB27" s="50"/>
      <c r="BC27" s="50"/>
    </row>
    <row r="28" spans="1:55" s="26" customFormat="1" ht="13.5" thickBot="1">
      <c r="A28" s="147" t="s">
        <v>116</v>
      </c>
      <c r="B28" s="147"/>
      <c r="D28" s="142"/>
      <c r="E28" s="142"/>
      <c r="F28" s="142"/>
      <c r="G28" s="142"/>
      <c r="H28" s="80">
        <f>'[3]Årsopgørelse (EL)'!$G$27</f>
        <v>17768.73</v>
      </c>
      <c r="I28" s="142"/>
      <c r="J28" s="142"/>
      <c r="K28" s="122"/>
      <c r="L28" s="162">
        <f>H28*el_foreg.år/1000</f>
        <v>3587.7310341157895</v>
      </c>
      <c r="M28" s="55">
        <f t="shared" si="10"/>
        <v>3.5877310341157895</v>
      </c>
      <c r="N28" s="55">
        <f>H28*el_opgør.år/1000</f>
        <v>4551.3947257578948</v>
      </c>
      <c r="O28" s="55">
        <f t="shared" si="12"/>
        <v>4.5513947257578948</v>
      </c>
      <c r="Q28" s="142"/>
      <c r="R28" s="142"/>
      <c r="S28" s="142"/>
      <c r="T28" s="142"/>
      <c r="U28" s="80">
        <f>'[5]Årsopgørelse (EL)'!$G$27</f>
        <v>18568.66</v>
      </c>
      <c r="V28" s="142"/>
      <c r="W28" s="142"/>
      <c r="X28" s="122"/>
      <c r="Y28" s="162">
        <f>U28*el_foreg.år/1000</f>
        <v>3749.2470054947371</v>
      </c>
      <c r="Z28" s="55">
        <f t="shared" si="11"/>
        <v>3.7492470054947371</v>
      </c>
      <c r="AK28" s="118"/>
      <c r="AL28" s="69"/>
      <c r="AM28" s="118"/>
      <c r="AN28" s="69"/>
      <c r="AO28" s="69"/>
      <c r="AP28" s="69"/>
      <c r="AQ28" s="69"/>
      <c r="AR28" s="69"/>
      <c r="AS28" s="50"/>
      <c r="AT28" s="50"/>
      <c r="AU28" s="67"/>
      <c r="AV28" s="67"/>
      <c r="AW28" s="67"/>
      <c r="AX28" s="50"/>
      <c r="AY28" s="50"/>
      <c r="AZ28" s="50"/>
      <c r="BA28" s="50"/>
      <c r="BB28" s="50"/>
      <c r="BC28" s="50"/>
    </row>
    <row r="29" spans="1:55" ht="13.5" thickBot="1">
      <c r="A29" s="123" t="s">
        <v>96</v>
      </c>
      <c r="B29" s="123"/>
      <c r="C29" s="58"/>
      <c r="D29" s="58"/>
      <c r="E29" s="58"/>
      <c r="F29" s="58"/>
      <c r="G29" s="58"/>
      <c r="H29" s="58"/>
      <c r="I29" s="58"/>
      <c r="J29" s="58"/>
      <c r="K29" s="67"/>
      <c r="L29" s="55">
        <f>SUM(L25:L28)</f>
        <v>440299.47321411577</v>
      </c>
      <c r="M29" s="55">
        <f t="shared" si="10"/>
        <v>440.29947321411578</v>
      </c>
      <c r="N29" s="55">
        <f>SUM(N25:N28)</f>
        <v>441263.13690575788</v>
      </c>
      <c r="O29" s="55">
        <f t="shared" si="12"/>
        <v>441.2631369057579</v>
      </c>
      <c r="P29" s="58"/>
      <c r="Q29" s="58"/>
      <c r="R29" s="58"/>
      <c r="S29" s="58"/>
      <c r="T29" s="58"/>
      <c r="U29" s="58"/>
      <c r="V29" s="58"/>
      <c r="W29" s="58"/>
      <c r="X29" s="67"/>
      <c r="Y29" s="55">
        <f>SUM(Y25:Y28)</f>
        <v>486638.31096549472</v>
      </c>
      <c r="Z29" s="55">
        <f t="shared" si="11"/>
        <v>486.63831096549472</v>
      </c>
      <c r="AK29" s="6"/>
      <c r="AL29" s="68"/>
      <c r="AM29" s="6"/>
      <c r="AN29" s="68"/>
      <c r="AO29" s="68"/>
      <c r="AP29" s="68"/>
      <c r="AQ29" s="69"/>
      <c r="AR29" s="68"/>
      <c r="AS29" s="50"/>
      <c r="AT29" s="50"/>
    </row>
    <row r="30" spans="1:55" ht="14.25" thickTop="1" thickBot="1">
      <c r="C30" s="137"/>
      <c r="D30" s="137"/>
      <c r="E30" s="137"/>
      <c r="F30" s="137"/>
      <c r="G30" s="137"/>
      <c r="H30" s="137"/>
      <c r="I30" s="137"/>
      <c r="J30" s="137"/>
      <c r="L30" s="65">
        <f>L17+SUM(L19:L22)+L29+L31</f>
        <v>9949715.9944286011</v>
      </c>
      <c r="M30" s="65">
        <f>SUM(M17:M22)+M29+M31</f>
        <v>9949.7159944286013</v>
      </c>
      <c r="N30" s="65">
        <f>N17+SUM(N19:N22)+N29+N31</f>
        <v>10758245.835222386</v>
      </c>
      <c r="O30" s="58">
        <f t="shared" si="12"/>
        <v>10758.245835222386</v>
      </c>
      <c r="P30" s="137"/>
      <c r="Q30" s="137"/>
      <c r="R30" s="137"/>
      <c r="S30" s="137"/>
      <c r="T30" s="137"/>
      <c r="U30" s="137"/>
      <c r="V30" s="137"/>
      <c r="W30" s="137"/>
      <c r="Y30" s="65">
        <f>Y17+SUM(Y19:Y22)+Y29+Y31</f>
        <v>10456510.394779142</v>
      </c>
      <c r="Z30" s="65">
        <f>SUM(Z17:Z22)+Z29+Z31</f>
        <v>10456.510394779139</v>
      </c>
      <c r="AK30" s="56"/>
      <c r="AL30" s="56"/>
      <c r="AM30" s="56"/>
      <c r="AN30" s="56"/>
      <c r="AO30" s="56"/>
      <c r="AP30" s="56"/>
      <c r="AQ30" s="66"/>
      <c r="AR30" s="56"/>
      <c r="AS30" s="65"/>
      <c r="AT30" s="67"/>
      <c r="BC30" s="82"/>
    </row>
    <row r="31" spans="1:55" ht="14.25" thickTop="1" thickBot="1">
      <c r="A31" s="123" t="s">
        <v>98</v>
      </c>
      <c r="B31" s="123"/>
      <c r="C31" s="81">
        <f>[7]Ark1!$E$19</f>
        <v>2045.0165999999999</v>
      </c>
      <c r="D31" s="81"/>
      <c r="E31" s="81">
        <f>[7]Ark1!$D$19</f>
        <v>31545.759600000001</v>
      </c>
      <c r="F31" s="81"/>
      <c r="G31" s="81"/>
      <c r="H31" s="81"/>
      <c r="I31" s="81"/>
      <c r="J31" s="58">
        <f>C31*benzinfaktor+E31*dieselfaktor</f>
        <v>88504.302779999998</v>
      </c>
      <c r="L31" s="67">
        <f>J31</f>
        <v>88504.302779999998</v>
      </c>
      <c r="M31" s="58">
        <f>L31/1000</f>
        <v>88.504302780000003</v>
      </c>
      <c r="N31" s="67">
        <f>J31</f>
        <v>88504.302779999998</v>
      </c>
      <c r="O31" s="58">
        <f t="shared" si="12"/>
        <v>88.504302780000003</v>
      </c>
      <c r="P31" s="81">
        <f>[8]Ark1!$B$20</f>
        <v>2127.44</v>
      </c>
      <c r="Q31" s="81"/>
      <c r="R31" s="81">
        <f>[8]Ark1!$C$20</f>
        <v>32464.36</v>
      </c>
      <c r="S31" s="81"/>
      <c r="T31" s="81"/>
      <c r="U31" s="81"/>
      <c r="V31" s="81"/>
      <c r="W31" s="58">
        <f>P31*benzinfaktor+R31*dieselfaktor</f>
        <v>91136.41</v>
      </c>
      <c r="Y31" s="67">
        <f>W31</f>
        <v>91136.41</v>
      </c>
      <c r="Z31" s="58">
        <f>Y31/1000</f>
        <v>91.136409999999998</v>
      </c>
      <c r="AK31" s="74"/>
      <c r="AL31" s="74"/>
      <c r="AM31" s="74"/>
      <c r="AN31" s="74"/>
      <c r="AO31" s="74"/>
      <c r="AP31" s="74"/>
      <c r="AQ31" s="66"/>
      <c r="AR31" s="74"/>
      <c r="AS31" s="67"/>
      <c r="AT31" s="67"/>
      <c r="BC31" s="11"/>
    </row>
    <row r="32" spans="1:55" ht="13.5" thickTop="1">
      <c r="A32" s="106" t="s">
        <v>128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>
        <v>4</v>
      </c>
      <c r="L32" s="106"/>
      <c r="M32" s="106"/>
      <c r="N32" s="106"/>
      <c r="O32" s="106"/>
      <c r="P32" s="5">
        <f>SUM(P25:P31)</f>
        <v>64602.44</v>
      </c>
      <c r="Q32" s="5"/>
      <c r="R32" s="5">
        <f>SUM(R25:R31)</f>
        <v>145441.35999999999</v>
      </c>
      <c r="Y32" s="11"/>
      <c r="AK32" s="74"/>
      <c r="AL32" s="74"/>
      <c r="AM32" s="74"/>
      <c r="AN32" s="74"/>
      <c r="AO32" s="74"/>
      <c r="AP32" s="74"/>
      <c r="AQ32" s="66"/>
      <c r="AR32" s="74"/>
      <c r="AS32" s="67"/>
      <c r="AT32" s="67"/>
      <c r="BC32" s="11"/>
    </row>
    <row r="33" spans="1:55">
      <c r="Y33" s="11"/>
      <c r="AK33" s="74"/>
      <c r="AL33" s="74"/>
      <c r="AM33" s="74"/>
      <c r="AN33" s="74"/>
      <c r="AO33" s="74"/>
      <c r="AP33" s="74"/>
      <c r="AQ33" s="66"/>
      <c r="AR33" s="74"/>
      <c r="AS33" s="67"/>
      <c r="AT33" s="67"/>
      <c r="BC33" s="11"/>
    </row>
    <row r="34" spans="1:55" s="28" customFormat="1">
      <c r="A34" s="28" t="s">
        <v>159</v>
      </c>
      <c r="W34" s="67">
        <f>W14+W15</f>
        <v>31237.177112659447</v>
      </c>
      <c r="Y34" s="67"/>
      <c r="AK34" s="67"/>
      <c r="AL34" s="67"/>
      <c r="AM34" s="67"/>
      <c r="AN34" s="67"/>
      <c r="AO34" s="67"/>
      <c r="AP34" s="67"/>
      <c r="AR34" s="67"/>
      <c r="AS34" s="67"/>
      <c r="AT34" s="67"/>
      <c r="AU34" s="67"/>
      <c r="AV34" s="67"/>
      <c r="AW34" s="67"/>
      <c r="AX34" s="67"/>
      <c r="AY34" s="67"/>
    </row>
    <row r="35" spans="1:55" s="10" customFormat="1">
      <c r="A35" s="95" t="s">
        <v>0</v>
      </c>
      <c r="B35" s="112">
        <f>2.245/0.011</f>
        <v>204.09090909090912</v>
      </c>
      <c r="C35" s="56" t="s">
        <v>61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V35" s="11"/>
      <c r="W35" s="89"/>
      <c r="X35" s="11"/>
      <c r="Z35" s="11"/>
      <c r="AA35" s="11"/>
      <c r="AB35" s="67"/>
      <c r="AC35" s="11"/>
      <c r="AD35" s="11"/>
      <c r="AE35" s="11"/>
      <c r="AG35" s="11"/>
      <c r="AH35" s="11"/>
      <c r="AI35" s="11"/>
      <c r="AJ35" s="11"/>
      <c r="AK35" s="11"/>
      <c r="AL35" s="11"/>
      <c r="AM35" s="11"/>
      <c r="AN35" s="11"/>
    </row>
    <row r="36" spans="1:55" s="10" customFormat="1">
      <c r="A36" s="95" t="s">
        <v>1</v>
      </c>
      <c r="B36" s="112">
        <v>290</v>
      </c>
      <c r="C36" s="56" t="s">
        <v>61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V36" s="11"/>
      <c r="W36" s="88"/>
      <c r="X36" s="94"/>
      <c r="Z36" s="11"/>
      <c r="AA36" s="11"/>
      <c r="AB36" s="67"/>
      <c r="AC36" s="11"/>
      <c r="AD36" s="11"/>
      <c r="AE36" s="11"/>
      <c r="AG36" s="11"/>
      <c r="AI36" s="11"/>
      <c r="AJ36" s="11"/>
      <c r="AK36" s="11"/>
      <c r="AL36" s="11"/>
      <c r="AM36" s="11"/>
      <c r="AN36" s="11"/>
    </row>
    <row r="37" spans="1:55" s="10" customFormat="1">
      <c r="A37" s="95" t="s">
        <v>26</v>
      </c>
      <c r="B37" s="112">
        <v>270</v>
      </c>
      <c r="C37" s="56" t="s">
        <v>61</v>
      </c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R37" s="11"/>
      <c r="V37" s="11"/>
      <c r="W37" s="88"/>
      <c r="X37" s="163"/>
      <c r="Z37" s="11"/>
      <c r="AA37" s="11"/>
      <c r="AB37" s="67"/>
      <c r="AC37" s="11"/>
      <c r="AD37" s="11"/>
      <c r="AE37" s="11"/>
      <c r="AG37" s="11"/>
      <c r="AI37" s="11"/>
      <c r="AJ37" s="11"/>
      <c r="AK37" s="11"/>
      <c r="AL37" s="11"/>
      <c r="AM37" s="11"/>
      <c r="AN37" s="11"/>
    </row>
    <row r="38" spans="1:55" s="10" customFormat="1">
      <c r="A38" s="152" t="s">
        <v>135</v>
      </c>
      <c r="B38" s="116">
        <v>233</v>
      </c>
      <c r="C38" s="56" t="s">
        <v>61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V38" s="11"/>
      <c r="W38" s="163"/>
      <c r="X38" s="163"/>
      <c r="Z38" s="11"/>
      <c r="AA38" s="11"/>
      <c r="AB38" s="67"/>
      <c r="AC38" s="11"/>
      <c r="AD38" s="11"/>
      <c r="AE38" s="11"/>
      <c r="AG38" s="11"/>
      <c r="AI38" s="11"/>
      <c r="AJ38" s="11"/>
      <c r="AK38" s="11"/>
      <c r="AL38" s="11"/>
      <c r="AM38" s="11"/>
      <c r="AN38" s="11"/>
    </row>
    <row r="39" spans="1:55" s="10" customFormat="1">
      <c r="A39" s="152" t="s">
        <v>149</v>
      </c>
      <c r="B39" s="116">
        <f>[11]Ark1!$B$28*1000</f>
        <v>222.25262802968433</v>
      </c>
      <c r="C39" s="56" t="s">
        <v>61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V39" s="11"/>
      <c r="W39" s="88"/>
      <c r="X39" s="94"/>
      <c r="Z39" s="11"/>
      <c r="AA39" s="11"/>
      <c r="AB39" s="67"/>
      <c r="AC39" s="11"/>
      <c r="AD39" s="11"/>
      <c r="AE39" s="11"/>
      <c r="AG39" s="11"/>
      <c r="AI39" s="11"/>
      <c r="AJ39" s="11"/>
      <c r="AK39" s="11"/>
      <c r="AL39" s="11"/>
      <c r="AM39" s="11"/>
      <c r="AN39" s="11"/>
    </row>
    <row r="40" spans="1:55" s="10" customFormat="1">
      <c r="A40" s="152" t="s">
        <v>150</v>
      </c>
      <c r="B40" s="117">
        <v>242</v>
      </c>
      <c r="C40" s="56" t="s">
        <v>61</v>
      </c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V40" s="11"/>
      <c r="W40" s="89"/>
      <c r="X40" s="94"/>
      <c r="Z40" s="11"/>
      <c r="AA40" s="11"/>
      <c r="AB40" s="67"/>
      <c r="AC40" s="11"/>
      <c r="AD40" s="11"/>
      <c r="AE40" s="11"/>
      <c r="AG40" s="11"/>
      <c r="AI40" s="11"/>
      <c r="AJ40" s="11"/>
      <c r="AK40" s="11"/>
      <c r="AL40" s="11"/>
      <c r="AM40" s="11"/>
      <c r="AN40" s="11"/>
    </row>
    <row r="41" spans="1:55" s="10" customFormat="1">
      <c r="A41" s="152" t="s">
        <v>151</v>
      </c>
      <c r="B41" s="112">
        <v>226</v>
      </c>
      <c r="C41" s="56" t="s">
        <v>61</v>
      </c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V41" s="11"/>
      <c r="W41" s="88"/>
      <c r="X41" s="11"/>
      <c r="Z41" s="11"/>
      <c r="AA41" s="11"/>
      <c r="AB41" s="67"/>
      <c r="AC41" s="11"/>
      <c r="AD41" s="11"/>
      <c r="AE41" s="11"/>
      <c r="AG41" s="11"/>
      <c r="AI41" s="11"/>
      <c r="AJ41" s="11"/>
      <c r="AK41" s="11"/>
      <c r="AL41" s="11"/>
      <c r="AM41" s="11"/>
      <c r="AN41" s="11"/>
    </row>
    <row r="42" spans="1:55" s="10" customFormat="1">
      <c r="A42" s="152" t="s">
        <v>152</v>
      </c>
      <c r="B42" s="116">
        <f>[12]Ark1!$B$28*1000</f>
        <v>224.90502563112227</v>
      </c>
      <c r="C42" s="56" t="s">
        <v>61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V42" s="11"/>
      <c r="W42" s="88"/>
      <c r="X42" s="11"/>
      <c r="Z42" s="11"/>
      <c r="AA42" s="11"/>
      <c r="AB42" s="67"/>
      <c r="AC42" s="11"/>
      <c r="AD42" s="11"/>
      <c r="AE42" s="11"/>
      <c r="AG42" s="11"/>
      <c r="AI42" s="11"/>
      <c r="AJ42" s="11"/>
      <c r="AK42" s="11"/>
      <c r="AL42" s="11"/>
      <c r="AM42" s="11"/>
      <c r="AN42" s="11"/>
    </row>
    <row r="43" spans="1:55" s="10" customFormat="1">
      <c r="A43" s="95" t="s">
        <v>81</v>
      </c>
      <c r="B43" s="112">
        <v>240</v>
      </c>
      <c r="C43" s="56" t="s">
        <v>61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V43" s="11"/>
      <c r="W43" s="88"/>
      <c r="X43" s="11"/>
      <c r="Z43" s="11"/>
      <c r="AA43" s="11"/>
      <c r="AB43" s="67"/>
      <c r="AC43" s="11"/>
      <c r="AD43" s="11"/>
      <c r="AE43" s="11"/>
      <c r="AG43" s="11"/>
      <c r="AI43" s="11"/>
      <c r="AJ43" s="11"/>
      <c r="AK43" s="11"/>
      <c r="AL43" s="11"/>
      <c r="AM43" s="11"/>
      <c r="AN43" s="11"/>
    </row>
    <row r="44" spans="1:55" s="10" customFormat="1">
      <c r="A44" s="95" t="s">
        <v>131</v>
      </c>
      <c r="B44" s="117">
        <f>191.817/0.95</f>
        <v>201.91263157894738</v>
      </c>
      <c r="C44" s="56" t="s">
        <v>61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V44" s="11"/>
      <c r="W44" s="89"/>
      <c r="X44" s="11"/>
      <c r="Z44" s="11"/>
      <c r="AA44" s="11"/>
      <c r="AB44" s="67"/>
      <c r="AC44" s="11"/>
      <c r="AD44" s="11"/>
      <c r="AE44" s="11"/>
      <c r="AG44" s="11"/>
      <c r="AI44" s="11"/>
      <c r="AJ44" s="11"/>
      <c r="AK44" s="11"/>
      <c r="AL44" s="11"/>
      <c r="AM44" s="11"/>
      <c r="AN44" s="11"/>
    </row>
    <row r="45" spans="1:55" s="10" customFormat="1">
      <c r="A45" s="95" t="s">
        <v>154</v>
      </c>
      <c r="B45" s="117">
        <f>243.339/0.95</f>
        <v>256.1463157894737</v>
      </c>
      <c r="C45" s="56" t="s">
        <v>61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V45" s="11"/>
      <c r="W45" s="89"/>
      <c r="X45" s="11"/>
      <c r="Z45" s="11"/>
      <c r="AA45" s="11"/>
      <c r="AB45" s="67"/>
      <c r="AC45" s="11"/>
      <c r="AD45" s="11"/>
      <c r="AE45" s="11"/>
      <c r="AG45" s="11"/>
      <c r="AI45" s="11"/>
      <c r="AJ45" s="11"/>
      <c r="AK45" s="11"/>
      <c r="AL45" s="11"/>
      <c r="AM45" s="11"/>
      <c r="AN45" s="11"/>
    </row>
    <row r="46" spans="1:55" s="10" customFormat="1">
      <c r="A46" s="96" t="s">
        <v>3</v>
      </c>
      <c r="B46" s="97">
        <v>2.4</v>
      </c>
      <c r="C46" s="56" t="s">
        <v>27</v>
      </c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R46" s="71"/>
      <c r="S46" s="71"/>
      <c r="V46" s="11"/>
      <c r="W46" s="88"/>
      <c r="X46" s="11"/>
      <c r="Z46" s="11"/>
      <c r="AA46" s="11"/>
      <c r="AB46" s="67"/>
      <c r="AC46" s="11"/>
      <c r="AD46" s="11"/>
      <c r="AE46" s="11"/>
      <c r="AF46" s="71"/>
      <c r="AG46" s="11"/>
      <c r="AI46" s="11"/>
      <c r="AJ46" s="11"/>
      <c r="AK46" s="11"/>
      <c r="AL46" s="11"/>
      <c r="AM46" s="11"/>
      <c r="AN46" s="11"/>
    </row>
    <row r="47" spans="1:55" s="10" customFormat="1">
      <c r="A47" s="96" t="s">
        <v>7</v>
      </c>
      <c r="B47" s="97">
        <v>2.65</v>
      </c>
      <c r="C47" s="7" t="s">
        <v>27</v>
      </c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R47" s="71"/>
      <c r="S47" s="71"/>
      <c r="V47" s="11"/>
      <c r="W47" s="11"/>
      <c r="X47" s="11"/>
      <c r="Z47" s="11"/>
      <c r="AA47" s="11"/>
      <c r="AB47" s="67"/>
      <c r="AC47" s="11"/>
      <c r="AD47" s="11"/>
      <c r="AE47" s="11"/>
      <c r="AF47" s="71"/>
      <c r="AG47" s="11"/>
      <c r="AI47" s="11"/>
      <c r="AJ47" s="11"/>
      <c r="AK47" s="11"/>
      <c r="AL47" s="11"/>
      <c r="AM47" s="11"/>
      <c r="AN47" s="11"/>
    </row>
    <row r="48" spans="1:55">
      <c r="A48" s="208" t="s">
        <v>134</v>
      </c>
      <c r="B48" s="117">
        <f>2650/9.89</f>
        <v>267.94742163801817</v>
      </c>
      <c r="C48" s="56" t="s">
        <v>61</v>
      </c>
    </row>
    <row r="49" spans="1:55">
      <c r="A49" s="120" t="s">
        <v>132</v>
      </c>
      <c r="B49" s="117">
        <v>100</v>
      </c>
      <c r="C49" s="56" t="s">
        <v>61</v>
      </c>
    </row>
    <row r="50" spans="1:55">
      <c r="A50" s="120" t="s">
        <v>94</v>
      </c>
      <c r="B50" s="121">
        <v>0.13200000000000001</v>
      </c>
      <c r="C50" s="7" t="s">
        <v>95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Y50"/>
      <c r="Z50" s="5"/>
      <c r="AA50" s="5"/>
      <c r="AB50" s="5"/>
      <c r="AC50" s="5"/>
      <c r="AD50" s="5"/>
      <c r="AE50" s="5"/>
      <c r="AF50" s="50"/>
      <c r="AG50" s="5"/>
      <c r="AH50" s="5"/>
      <c r="AI50" s="5"/>
      <c r="AJ50" s="5"/>
      <c r="AQ50" s="5"/>
      <c r="AS50"/>
      <c r="AT50"/>
      <c r="AU50"/>
      <c r="AV50"/>
      <c r="AW50"/>
      <c r="AX50"/>
      <c r="AY50"/>
      <c r="AZ50"/>
      <c r="BA50"/>
      <c r="BB50"/>
      <c r="BC50"/>
    </row>
    <row r="52" spans="1:55">
      <c r="A52" s="72" t="s">
        <v>67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1:55">
      <c r="A53" s="88" t="s">
        <v>70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</row>
    <row r="54" spans="1:55">
      <c r="A54" s="72" t="s">
        <v>99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</row>
    <row r="56" spans="1:55">
      <c r="A56">
        <v>2014</v>
      </c>
      <c r="B56" s="190">
        <v>288.49301899570628</v>
      </c>
      <c r="C56">
        <f>B56/0.95</f>
        <v>303.67686210074345</v>
      </c>
    </row>
    <row r="57" spans="1:55">
      <c r="A57">
        <v>2013</v>
      </c>
      <c r="B57" s="190">
        <v>357.91978573412615</v>
      </c>
      <c r="C57">
        <f>B57/0.95</f>
        <v>376.75766919381704</v>
      </c>
    </row>
  </sheetData>
  <mergeCells count="11">
    <mergeCell ref="C1:K1"/>
    <mergeCell ref="C2:J2"/>
    <mergeCell ref="L2:M2"/>
    <mergeCell ref="N2:O2"/>
    <mergeCell ref="AU1:BB1"/>
    <mergeCell ref="AU2:AZ2"/>
    <mergeCell ref="AK2:AP2"/>
    <mergeCell ref="AK1:AR1"/>
    <mergeCell ref="P1:X1"/>
    <mergeCell ref="P2:W2"/>
    <mergeCell ref="Y2:Z2"/>
  </mergeCells>
  <phoneticPr fontId="3" type="noConversion"/>
  <pageMargins left="0.74803149606299213" right="0.74803149606299213" top="0.98425196850393704" bottom="0.98425196850393704" header="0" footer="0"/>
  <pageSetup paperSize="9" orientation="landscape" r:id="rId1"/>
  <headerFooter alignWithMargins="0">
    <oddHeader>&amp;LBeregnet forår 2017&amp;CCO2-forbrug 2016 2015  graddagekorr.&amp;R&amp;D
&amp;T</oddHeader>
    <oddFooter>&amp;L&amp;8&amp;Z&amp;F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Normal="100" workbookViewId="0">
      <selection activeCell="D23" sqref="D23"/>
    </sheetView>
  </sheetViews>
  <sheetFormatPr defaultRowHeight="12.75"/>
  <cols>
    <col min="1" max="1" width="32.140625" customWidth="1"/>
    <col min="2" max="2" width="14.140625" hidden="1" customWidth="1"/>
    <col min="3" max="3" width="10.140625" customWidth="1"/>
    <col min="4" max="4" width="11.140625" customWidth="1"/>
    <col min="5" max="5" width="12.5703125" customWidth="1"/>
    <col min="6" max="6" width="9.85546875" customWidth="1"/>
    <col min="7" max="7" width="11.7109375" customWidth="1"/>
    <col min="8" max="8" width="14.140625" customWidth="1"/>
    <col min="10" max="10" width="10.5703125" customWidth="1"/>
    <col min="12" max="12" width="18.28515625" customWidth="1"/>
  </cols>
  <sheetData>
    <row r="1" spans="1:13" s="102" customFormat="1" ht="16.5" thickBot="1">
      <c r="A1" s="102" t="s">
        <v>78</v>
      </c>
      <c r="B1" s="103"/>
      <c r="C1" s="224" t="s">
        <v>79</v>
      </c>
      <c r="D1" s="225"/>
      <c r="E1" s="226"/>
      <c r="F1" s="224" t="s">
        <v>80</v>
      </c>
      <c r="G1" s="226"/>
    </row>
    <row r="2" spans="1:13" s="26" customFormat="1" ht="15">
      <c r="B2" s="87" t="s">
        <v>69</v>
      </c>
      <c r="C2" s="104">
        <v>2015</v>
      </c>
      <c r="D2" s="104">
        <v>2016</v>
      </c>
      <c r="E2" s="104" t="s">
        <v>76</v>
      </c>
      <c r="F2" s="104" t="s">
        <v>156</v>
      </c>
      <c r="G2" s="104" t="s">
        <v>77</v>
      </c>
      <c r="I2" s="50"/>
    </row>
    <row r="3" spans="1:13" ht="14.25">
      <c r="A3" s="171" t="s">
        <v>45</v>
      </c>
      <c r="B3" s="168" t="e">
        <v>#REF!</v>
      </c>
      <c r="C3" s="172">
        <v>556.38367016056998</v>
      </c>
      <c r="D3" s="172">
        <v>594.03520233047198</v>
      </c>
      <c r="E3" s="173">
        <v>6.7671885767308593E-2</v>
      </c>
      <c r="F3" s="168">
        <v>553.02019768120874</v>
      </c>
      <c r="G3" s="173">
        <v>-6.0452393909953377E-3</v>
      </c>
      <c r="H3" s="10"/>
      <c r="I3" s="10"/>
      <c r="J3" s="10"/>
      <c r="K3" s="10"/>
    </row>
    <row r="4" spans="1:13" ht="14.25">
      <c r="A4" s="171" t="s">
        <v>46</v>
      </c>
      <c r="B4" s="168" t="e">
        <v>#REF!</v>
      </c>
      <c r="C4" s="172">
        <v>2166.9480840967599</v>
      </c>
      <c r="D4" s="172">
        <v>2153.1769254560545</v>
      </c>
      <c r="E4" s="173">
        <v>-6.3550939414617107E-3</v>
      </c>
      <c r="F4" s="168">
        <v>2061.8413173486156</v>
      </c>
      <c r="G4" s="173">
        <v>-4.8504515414800782E-2</v>
      </c>
      <c r="H4" s="10"/>
      <c r="I4" s="10"/>
      <c r="J4" s="10"/>
      <c r="K4" s="10"/>
    </row>
    <row r="5" spans="1:13" ht="14.25">
      <c r="A5" s="171" t="s">
        <v>47</v>
      </c>
      <c r="B5" s="168" t="e">
        <v>#REF!</v>
      </c>
      <c r="C5" s="172">
        <v>856.13014097950702</v>
      </c>
      <c r="D5" s="172">
        <v>850.71563920087829</v>
      </c>
      <c r="E5" s="173">
        <v>-6.3243910235819371E-3</v>
      </c>
      <c r="F5" s="168">
        <v>801.79148240183247</v>
      </c>
      <c r="G5" s="173">
        <v>-6.347009172636435E-2</v>
      </c>
      <c r="H5" s="10"/>
      <c r="I5" s="10"/>
      <c r="J5" s="10"/>
      <c r="K5" s="10"/>
    </row>
    <row r="6" spans="1:13" ht="14.25">
      <c r="A6" s="171" t="s">
        <v>48</v>
      </c>
      <c r="B6" s="168" t="e">
        <v>#REF!</v>
      </c>
      <c r="C6" s="172">
        <v>269.92714685857214</v>
      </c>
      <c r="D6" s="172">
        <v>282.3348324267011</v>
      </c>
      <c r="E6" s="173">
        <v>4.5966794049914286E-2</v>
      </c>
      <c r="F6" s="168">
        <v>265.66571024935234</v>
      </c>
      <c r="G6" s="173">
        <v>-1.5787358399533529E-2</v>
      </c>
      <c r="H6" s="164"/>
      <c r="I6" s="164"/>
      <c r="J6" s="10"/>
      <c r="K6" s="10"/>
    </row>
    <row r="7" spans="1:13" ht="14.25">
      <c r="A7" s="171" t="s">
        <v>49</v>
      </c>
      <c r="B7" s="168" t="e">
        <v>#REF!</v>
      </c>
      <c r="C7" s="172">
        <v>1231.7963602008078</v>
      </c>
      <c r="D7" s="172">
        <v>1184.8615438645727</v>
      </c>
      <c r="E7" s="173">
        <v>-3.8102739911152046E-2</v>
      </c>
      <c r="F7" s="168">
        <v>1098.935271942946</v>
      </c>
      <c r="G7" s="173">
        <v>-0.10785962075436138</v>
      </c>
      <c r="H7" s="10"/>
      <c r="I7" s="164"/>
      <c r="J7" s="10"/>
      <c r="K7" s="10"/>
      <c r="M7" s="131"/>
    </row>
    <row r="8" spans="1:13" ht="14.25">
      <c r="A8" s="174" t="s">
        <v>115</v>
      </c>
      <c r="B8" s="168"/>
      <c r="C8" s="172">
        <v>548.02059392352157</v>
      </c>
      <c r="D8" s="172">
        <v>527.46403733915326</v>
      </c>
      <c r="E8" s="173">
        <v>-3.7510554917644309E-2</v>
      </c>
      <c r="F8" s="168">
        <v>499.33891782894278</v>
      </c>
      <c r="G8" s="173">
        <v>-8.8831837041095776E-2</v>
      </c>
      <c r="H8" s="10"/>
      <c r="I8" s="164"/>
      <c r="J8" s="10"/>
      <c r="K8" s="10"/>
      <c r="M8" s="131"/>
    </row>
    <row r="9" spans="1:13" ht="14.25">
      <c r="A9" s="171" t="s">
        <v>50</v>
      </c>
      <c r="B9" s="168" t="e">
        <v>#REF!</v>
      </c>
      <c r="C9" s="172">
        <v>387.13669815272254</v>
      </c>
      <c r="D9" s="172">
        <v>428.11335047668354</v>
      </c>
      <c r="E9" s="173">
        <v>0.10584543526740522</v>
      </c>
      <c r="F9" s="168">
        <v>396.67305438451507</v>
      </c>
      <c r="G9" s="173">
        <v>2.4633046356226613E-2</v>
      </c>
      <c r="H9" s="10"/>
      <c r="I9" s="164"/>
      <c r="J9" s="10"/>
      <c r="K9" s="10"/>
    </row>
    <row r="10" spans="1:13" ht="15" thickBot="1">
      <c r="A10" s="174" t="s">
        <v>59</v>
      </c>
      <c r="B10" s="176" t="e">
        <v>#REF!</v>
      </c>
      <c r="C10" s="172">
        <v>1828.747098476274</v>
      </c>
      <c r="D10" s="172">
        <v>1766.8092192840568</v>
      </c>
      <c r="E10" s="173">
        <v>-3.3869023903755929E-2</v>
      </c>
      <c r="F10" s="168">
        <v>1685.0261590021703</v>
      </c>
      <c r="G10" s="173">
        <v>-7.8589838690026143E-2</v>
      </c>
      <c r="H10" s="10"/>
      <c r="J10" s="10"/>
      <c r="K10" s="10"/>
    </row>
    <row r="11" spans="1:13" s="106" customFormat="1" ht="15" thickBot="1">
      <c r="A11" s="175" t="s">
        <v>51</v>
      </c>
      <c r="B11" s="177" t="e">
        <v>#REF!</v>
      </c>
      <c r="C11" s="172">
        <v>801.98218536333366</v>
      </c>
      <c r="D11" s="172">
        <v>789.57734577717122</v>
      </c>
      <c r="E11" s="173">
        <v>-1.5467724611042942E-2</v>
      </c>
      <c r="F11" s="168">
        <v>755.82848815628677</v>
      </c>
      <c r="G11" s="178">
        <v>-5.7549529215710958E-2</v>
      </c>
      <c r="H11" s="105"/>
      <c r="I11" s="165"/>
      <c r="J11" s="105"/>
      <c r="K11" s="105"/>
    </row>
    <row r="12" spans="1:13" s="106" customFormat="1" ht="15" thickBot="1">
      <c r="A12" s="179" t="s">
        <v>110</v>
      </c>
      <c r="B12" s="180"/>
      <c r="C12" s="172">
        <v>35.685654871263161</v>
      </c>
      <c r="D12" s="172">
        <v>43.742964437526325</v>
      </c>
      <c r="E12" s="173">
        <v>0.22578567201106714</v>
      </c>
      <c r="F12" s="168">
        <v>34.481296502052636</v>
      </c>
      <c r="G12" s="181">
        <v>-3.3749089754840582E-2</v>
      </c>
      <c r="H12" s="105"/>
      <c r="I12" s="165"/>
      <c r="J12" s="105"/>
      <c r="K12" s="105"/>
    </row>
    <row r="13" spans="1:13" s="106" customFormat="1" ht="15.75" thickBot="1">
      <c r="A13" s="138" t="s">
        <v>111</v>
      </c>
      <c r="B13" s="139" t="e">
        <v>#REF!</v>
      </c>
      <c r="C13" s="139">
        <v>8682.7576330833326</v>
      </c>
      <c r="D13" s="139">
        <v>8620.8310605932693</v>
      </c>
      <c r="E13" s="219">
        <v>-7.1321318764108587E-3</v>
      </c>
      <c r="F13" s="189">
        <v>8152.6018954979227</v>
      </c>
      <c r="G13" s="140">
        <v>-6.1058451702647197E-2</v>
      </c>
      <c r="H13" s="105"/>
      <c r="I13" s="165"/>
      <c r="J13" s="105"/>
      <c r="K13" s="105"/>
    </row>
    <row r="14" spans="1:13" ht="15" thickBot="1">
      <c r="A14" s="182" t="s">
        <v>97</v>
      </c>
      <c r="B14" s="183" t="e">
        <v>#REF!</v>
      </c>
      <c r="C14" s="221">
        <v>486.63831096549472</v>
      </c>
      <c r="D14" s="221">
        <v>441.2631369057579</v>
      </c>
      <c r="E14" s="220">
        <v>-9.3242091790332077E-2</v>
      </c>
      <c r="F14" s="221">
        <v>440.29947321411578</v>
      </c>
      <c r="G14" s="222">
        <v>-9.5222338042893262E-2</v>
      </c>
      <c r="I14" s="164"/>
      <c r="J14" s="10"/>
      <c r="K14" s="10"/>
    </row>
    <row r="15" spans="1:13" s="106" customFormat="1" ht="15" thickBot="1">
      <c r="A15" s="184" t="s">
        <v>16</v>
      </c>
      <c r="B15" s="185" t="e">
        <v>#REF!</v>
      </c>
      <c r="C15" s="221">
        <v>371.54387544631584</v>
      </c>
      <c r="D15" s="221">
        <v>471.30922105263164</v>
      </c>
      <c r="E15" s="220">
        <v>0.26851565104248593</v>
      </c>
      <c r="F15" s="221">
        <v>371.51924210526317</v>
      </c>
      <c r="G15" s="222">
        <v>-6.6299951851103481E-5</v>
      </c>
      <c r="H15" s="105"/>
      <c r="I15" s="166"/>
      <c r="J15" s="105"/>
      <c r="K15" s="105"/>
    </row>
    <row r="16" spans="1:13" s="26" customFormat="1" ht="15.75" thickBot="1">
      <c r="A16" s="133" t="s">
        <v>109</v>
      </c>
      <c r="B16" s="132"/>
      <c r="C16" s="132">
        <v>9540.9398194951427</v>
      </c>
      <c r="D16" s="132">
        <v>9533.4034185516593</v>
      </c>
      <c r="E16" s="219">
        <v>-7.8990131853511406E-4</v>
      </c>
      <c r="F16" s="132">
        <v>8964.4206108173021</v>
      </c>
      <c r="G16" s="140">
        <v>-6.0425830115795352E-2</v>
      </c>
      <c r="H16" s="28"/>
      <c r="I16" s="167"/>
      <c r="J16" s="28"/>
      <c r="K16" s="28"/>
    </row>
    <row r="17" spans="1:14" s="106" customFormat="1" ht="15.75" thickBot="1">
      <c r="A17" s="186" t="s">
        <v>103</v>
      </c>
      <c r="B17" s="170" t="e">
        <v>#REF!</v>
      </c>
      <c r="C17" s="170">
        <v>161.85134826000004</v>
      </c>
      <c r="D17" s="170">
        <v>203.30153781789474</v>
      </c>
      <c r="E17" s="220">
        <v>0.25610036619101001</v>
      </c>
      <c r="F17" s="170">
        <v>160.25664229578948</v>
      </c>
      <c r="G17" s="169">
        <v>-9.8529050351116362E-3</v>
      </c>
      <c r="H17" s="105"/>
      <c r="I17" s="165"/>
      <c r="J17" s="105"/>
      <c r="K17" s="105"/>
    </row>
    <row r="18" spans="1:14" s="106" customFormat="1" ht="15.75" thickBot="1">
      <c r="A18" s="187" t="s">
        <v>105</v>
      </c>
      <c r="B18" s="177" t="e">
        <v>#REF!</v>
      </c>
      <c r="C18" s="170">
        <v>653.09242097136701</v>
      </c>
      <c r="D18" s="170">
        <v>917.42258828757042</v>
      </c>
      <c r="E18" s="220">
        <v>0.40473623460988262</v>
      </c>
      <c r="F18" s="170">
        <v>723.17733128498469</v>
      </c>
      <c r="G18" s="169">
        <v>0.10731239264632403</v>
      </c>
      <c r="H18" s="105"/>
      <c r="I18" s="107"/>
      <c r="J18" s="105"/>
      <c r="K18" s="105"/>
    </row>
    <row r="19" spans="1:14" s="106" customFormat="1" ht="15.75" thickBot="1">
      <c r="A19" s="188" t="s">
        <v>107</v>
      </c>
      <c r="B19" s="180"/>
      <c r="C19" s="170">
        <v>9.4903960526315778</v>
      </c>
      <c r="D19" s="170">
        <v>15.613987785263157</v>
      </c>
      <c r="E19" s="220">
        <v>0.64524090445451721</v>
      </c>
      <c r="F19" s="170">
        <v>13.357107250526317</v>
      </c>
      <c r="G19" s="169">
        <v>0.40743412355510122</v>
      </c>
      <c r="H19" s="105"/>
      <c r="I19" s="107"/>
      <c r="J19" s="105"/>
      <c r="K19" s="105"/>
    </row>
    <row r="20" spans="1:14" s="106" customFormat="1" ht="15.75" thickBot="1">
      <c r="A20" s="135" t="s">
        <v>104</v>
      </c>
      <c r="B20" s="130" t="e">
        <v>#REF!</v>
      </c>
      <c r="C20" s="130">
        <v>824.4341652839986</v>
      </c>
      <c r="D20" s="130">
        <v>1136.3381138907282</v>
      </c>
      <c r="E20" s="219">
        <v>0.37832487024514067</v>
      </c>
      <c r="F20" s="130">
        <v>896.79108083130041</v>
      </c>
      <c r="G20" s="140">
        <v>8.7765547079646455E-2</v>
      </c>
      <c r="H20" s="105"/>
      <c r="I20" s="107"/>
      <c r="J20" s="105"/>
      <c r="K20" s="105"/>
    </row>
    <row r="21" spans="1:14" s="106" customFormat="1" ht="15.75" thickBot="1">
      <c r="A21" s="135" t="s">
        <v>108</v>
      </c>
      <c r="B21" s="108"/>
      <c r="C21" s="129">
        <v>91.136409999999998</v>
      </c>
      <c r="D21" s="129">
        <v>88.504302780000003</v>
      </c>
      <c r="E21" s="219">
        <v>-2.8880962284996686E-2</v>
      </c>
      <c r="F21" s="129">
        <v>88.504302780000003</v>
      </c>
      <c r="G21" s="140">
        <v>-2.8880962284996686E-2</v>
      </c>
      <c r="H21" s="10"/>
      <c r="I21" s="107"/>
      <c r="J21" s="105"/>
      <c r="K21" s="105"/>
    </row>
    <row r="22" spans="1:14" s="106" customFormat="1" ht="15.75" thickBot="1">
      <c r="A22" s="136" t="s">
        <v>113</v>
      </c>
      <c r="B22" s="109"/>
      <c r="C22" s="218">
        <v>915.57057528399855</v>
      </c>
      <c r="D22" s="218">
        <v>1224.8424166707282</v>
      </c>
      <c r="E22" s="219">
        <v>0.33779137265392939</v>
      </c>
      <c r="F22" s="218">
        <v>985.29538361130039</v>
      </c>
      <c r="G22" s="140">
        <v>7.6154487933029175E-2</v>
      </c>
      <c r="H22" s="10"/>
      <c r="I22" s="107"/>
      <c r="J22" s="105"/>
      <c r="K22" s="105"/>
    </row>
    <row r="23" spans="1:14" s="26" customFormat="1" ht="15.75" thickBot="1">
      <c r="A23" s="110" t="s">
        <v>112</v>
      </c>
      <c r="B23" s="111" t="e">
        <v>#REF!</v>
      </c>
      <c r="C23" s="134">
        <v>10456.510394779141</v>
      </c>
      <c r="D23" s="134">
        <v>10758.245835222388</v>
      </c>
      <c r="E23" s="219">
        <v>2.8856227273861893E-2</v>
      </c>
      <c r="F23" s="111">
        <v>9949.7159944286032</v>
      </c>
      <c r="G23" s="140">
        <v>-4.8466876731990516E-2</v>
      </c>
      <c r="H23" s="67"/>
      <c r="I23" s="86"/>
      <c r="J23" s="28"/>
      <c r="K23" s="28"/>
    </row>
    <row r="24" spans="1:14" s="72" customFormat="1" ht="12" thickTop="1">
      <c r="A24" s="72" t="s">
        <v>157</v>
      </c>
      <c r="B24" s="89"/>
      <c r="C24" s="88"/>
      <c r="D24" s="88"/>
      <c r="E24" s="88"/>
      <c r="F24" s="88"/>
      <c r="G24" s="88"/>
      <c r="H24" s="88"/>
      <c r="I24" s="88"/>
      <c r="J24" s="89"/>
      <c r="K24" s="88"/>
      <c r="L24" s="90"/>
      <c r="M24" s="88"/>
      <c r="N24" s="88"/>
    </row>
    <row r="25" spans="1:14" s="72" customFormat="1" ht="11.25">
      <c r="A25" s="72" t="s">
        <v>106</v>
      </c>
      <c r="B25" s="89"/>
      <c r="C25" s="88"/>
      <c r="D25" s="88"/>
      <c r="E25" s="88"/>
      <c r="F25" s="88"/>
      <c r="G25" s="88"/>
      <c r="H25" s="88"/>
      <c r="I25" s="88"/>
      <c r="J25" s="89"/>
      <c r="K25" s="88"/>
      <c r="L25" s="90"/>
      <c r="M25" s="88"/>
      <c r="N25" s="88"/>
    </row>
    <row r="26" spans="1:14" s="88" customFormat="1" ht="11.25">
      <c r="A26" s="88" t="s">
        <v>158</v>
      </c>
      <c r="B26" s="89"/>
      <c r="J26" s="89"/>
      <c r="L26" s="90"/>
    </row>
    <row r="27" spans="1:14" s="88" customFormat="1" ht="11.25">
      <c r="B27" s="89"/>
      <c r="J27" s="89"/>
      <c r="L27" s="90"/>
    </row>
    <row r="28" spans="1:14" s="191" customFormat="1">
      <c r="A28" s="191" t="s">
        <v>144</v>
      </c>
    </row>
    <row r="29" spans="1:14" s="191" customFormat="1" ht="15.75">
      <c r="A29" s="191" t="s">
        <v>145</v>
      </c>
      <c r="D29" s="209">
        <v>514.87721052631582</v>
      </c>
      <c r="E29" s="210" t="s">
        <v>142</v>
      </c>
    </row>
    <row r="30" spans="1:14" s="196" customFormat="1" ht="5.65" customHeight="1">
      <c r="A30" s="192"/>
      <c r="B30" s="193"/>
      <c r="C30" s="193"/>
      <c r="D30" s="193"/>
      <c r="E30" s="194"/>
      <c r="F30" s="193"/>
      <c r="G30" s="194"/>
      <c r="H30" s="192"/>
      <c r="I30" s="195"/>
      <c r="J30" s="192"/>
      <c r="K30" s="192"/>
    </row>
    <row r="31" spans="1:14" s="201" customFormat="1" ht="14.25">
      <c r="A31" s="197" t="s">
        <v>162</v>
      </c>
      <c r="B31" s="198"/>
      <c r="C31" s="198"/>
      <c r="D31" s="198"/>
      <c r="E31" s="199"/>
      <c r="F31" s="198"/>
      <c r="G31" s="199"/>
      <c r="H31" s="197"/>
      <c r="I31" s="200"/>
      <c r="J31" s="197"/>
      <c r="K31" s="197"/>
    </row>
    <row r="32" spans="1:14" s="191" customFormat="1">
      <c r="A32" s="191" t="s">
        <v>141</v>
      </c>
      <c r="B32" s="202"/>
      <c r="C32" s="203"/>
      <c r="D32" s="203"/>
      <c r="E32" s="203"/>
      <c r="F32" s="203"/>
      <c r="G32" s="203"/>
      <c r="H32" s="203"/>
      <c r="I32" s="203"/>
      <c r="J32" s="202"/>
      <c r="K32" s="203"/>
      <c r="L32" s="204"/>
      <c r="M32" s="203"/>
      <c r="N32" s="203"/>
    </row>
    <row r="33" spans="1:14" s="191" customFormat="1">
      <c r="A33" s="191" t="s">
        <v>160</v>
      </c>
      <c r="B33" s="202"/>
      <c r="C33" s="212">
        <v>2.4895827473684213</v>
      </c>
      <c r="D33" s="211" t="s">
        <v>143</v>
      </c>
      <c r="E33" s="203"/>
      <c r="H33" s="203"/>
      <c r="I33" s="203"/>
      <c r="J33" s="202"/>
      <c r="K33" s="203"/>
      <c r="L33" s="204"/>
      <c r="M33" s="203"/>
      <c r="N33" s="203"/>
    </row>
    <row r="34" spans="1:14" s="191" customFormat="1">
      <c r="A34" s="213" t="s">
        <v>161</v>
      </c>
      <c r="B34" s="202"/>
      <c r="C34" s="227">
        <v>1.2143896831578949</v>
      </c>
      <c r="D34" s="211" t="s">
        <v>143</v>
      </c>
      <c r="E34" s="203"/>
      <c r="F34" s="203"/>
      <c r="G34" s="203"/>
      <c r="H34" s="203"/>
      <c r="I34" s="203"/>
      <c r="J34" s="202"/>
      <c r="K34" s="203"/>
      <c r="L34" s="204"/>
      <c r="M34" s="203"/>
      <c r="N34" s="203"/>
    </row>
    <row r="35" spans="1:14" s="88" customFormat="1" ht="11.25">
      <c r="B35" s="89"/>
      <c r="J35" s="89"/>
      <c r="L35" s="90"/>
    </row>
    <row r="36" spans="1:14">
      <c r="A36" s="28" t="s">
        <v>82</v>
      </c>
      <c r="B36" s="11"/>
      <c r="C36" s="10"/>
      <c r="D36" s="10"/>
      <c r="E36" s="10"/>
      <c r="F36" s="10"/>
      <c r="G36" s="10"/>
      <c r="H36" s="10"/>
      <c r="I36" s="10"/>
      <c r="J36" s="11"/>
      <c r="K36" s="10"/>
      <c r="L36" s="10"/>
      <c r="M36" s="10"/>
      <c r="N36" s="10"/>
    </row>
    <row r="37" spans="1:14">
      <c r="A37" s="95" t="s">
        <v>0</v>
      </c>
      <c r="B37" s="56">
        <v>204.09090909090912</v>
      </c>
      <c r="C37" s="112">
        <v>204.09090909090912</v>
      </c>
      <c r="D37" s="152" t="s">
        <v>147</v>
      </c>
      <c r="E37" s="10"/>
      <c r="F37" s="10"/>
      <c r="G37" s="10"/>
      <c r="H37" s="10"/>
      <c r="I37" s="10"/>
      <c r="J37" s="11"/>
      <c r="K37" s="10"/>
      <c r="L37" s="10"/>
      <c r="M37" s="10"/>
      <c r="N37" s="10"/>
    </row>
    <row r="38" spans="1:14">
      <c r="A38" s="95" t="s">
        <v>1</v>
      </c>
      <c r="B38" s="56">
        <v>290</v>
      </c>
      <c r="C38" s="112">
        <v>290</v>
      </c>
      <c r="D38" s="152" t="s">
        <v>147</v>
      </c>
      <c r="E38" s="10"/>
      <c r="F38" s="10"/>
      <c r="G38" s="10"/>
      <c r="H38" s="10"/>
      <c r="I38" s="10"/>
      <c r="J38" s="11"/>
      <c r="K38" s="10"/>
      <c r="L38" s="10"/>
      <c r="M38" s="10"/>
      <c r="N38" s="10"/>
    </row>
    <row r="39" spans="1:14">
      <c r="A39" s="95" t="s">
        <v>26</v>
      </c>
      <c r="B39" s="56">
        <v>270</v>
      </c>
      <c r="C39" s="112">
        <v>270</v>
      </c>
      <c r="D39" s="152" t="s">
        <v>147</v>
      </c>
      <c r="E39" s="10"/>
      <c r="F39" s="10"/>
      <c r="G39" s="10"/>
      <c r="H39" s="10"/>
      <c r="I39" s="10"/>
      <c r="J39" s="11"/>
      <c r="K39" s="10"/>
      <c r="L39" s="10"/>
      <c r="M39" s="10"/>
      <c r="N39" s="10"/>
    </row>
    <row r="40" spans="1:14">
      <c r="A40" s="152" t="s">
        <v>135</v>
      </c>
      <c r="B40" s="56">
        <v>239</v>
      </c>
      <c r="C40" s="112">
        <v>233</v>
      </c>
      <c r="D40" s="152" t="s">
        <v>147</v>
      </c>
      <c r="E40" s="10"/>
      <c r="F40" s="10"/>
      <c r="G40" s="10"/>
      <c r="H40" s="10"/>
      <c r="I40" s="10"/>
      <c r="J40" s="11"/>
      <c r="K40" s="10"/>
      <c r="L40" s="10"/>
      <c r="M40" s="10"/>
      <c r="N40" s="10"/>
    </row>
    <row r="41" spans="1:14">
      <c r="A41" s="152" t="s">
        <v>149</v>
      </c>
      <c r="B41" s="56">
        <v>237</v>
      </c>
      <c r="C41" s="112">
        <v>222.25262802968433</v>
      </c>
      <c r="D41" s="152" t="s">
        <v>147</v>
      </c>
      <c r="E41" s="10"/>
      <c r="F41" s="10"/>
      <c r="G41" s="10"/>
      <c r="H41" s="10"/>
      <c r="I41" s="10"/>
      <c r="J41" s="11"/>
      <c r="K41" s="10"/>
      <c r="L41" s="10"/>
      <c r="M41" s="10"/>
      <c r="N41" s="10"/>
    </row>
    <row r="42" spans="1:14">
      <c r="A42" s="152" t="s">
        <v>150</v>
      </c>
      <c r="B42" s="56">
        <v>234</v>
      </c>
      <c r="C42" s="112">
        <v>242</v>
      </c>
      <c r="D42" s="152" t="s">
        <v>147</v>
      </c>
      <c r="E42" s="10"/>
      <c r="F42" s="10"/>
      <c r="G42" s="10"/>
      <c r="H42" s="10"/>
      <c r="I42" s="10"/>
      <c r="J42" s="11"/>
      <c r="K42" s="10"/>
      <c r="L42" s="10"/>
      <c r="M42" s="10"/>
      <c r="N42" s="10"/>
    </row>
    <row r="43" spans="1:14">
      <c r="A43" s="152" t="s">
        <v>151</v>
      </c>
      <c r="B43" s="95">
        <v>246</v>
      </c>
      <c r="C43" s="112">
        <v>226</v>
      </c>
      <c r="D43" s="152" t="s">
        <v>147</v>
      </c>
    </row>
    <row r="44" spans="1:14">
      <c r="A44" s="152" t="s">
        <v>152</v>
      </c>
      <c r="B44" s="95">
        <v>238</v>
      </c>
      <c r="C44" s="112">
        <v>224.90502563112227</v>
      </c>
      <c r="D44" s="152" t="s">
        <v>147</v>
      </c>
    </row>
    <row r="45" spans="1:14">
      <c r="A45" s="95" t="s">
        <v>81</v>
      </c>
      <c r="B45" s="95">
        <v>240</v>
      </c>
      <c r="C45" s="112">
        <v>240</v>
      </c>
      <c r="D45" s="152" t="s">
        <v>147</v>
      </c>
    </row>
    <row r="46" spans="1:14">
      <c r="A46" s="95" t="s">
        <v>131</v>
      </c>
      <c r="B46" s="95">
        <v>448.42105263157896</v>
      </c>
      <c r="C46" s="112">
        <v>201.91263157894738</v>
      </c>
      <c r="D46" s="152" t="s">
        <v>147</v>
      </c>
    </row>
    <row r="47" spans="1:14">
      <c r="A47" s="95" t="s">
        <v>154</v>
      </c>
      <c r="B47" s="95">
        <v>378</v>
      </c>
      <c r="C47" s="112">
        <v>256.1463157894737</v>
      </c>
      <c r="D47" s="152" t="s">
        <v>147</v>
      </c>
    </row>
    <row r="48" spans="1:14">
      <c r="A48" s="152" t="s">
        <v>146</v>
      </c>
      <c r="B48" s="95"/>
      <c r="C48" s="112">
        <v>100</v>
      </c>
      <c r="D48" s="152" t="s">
        <v>147</v>
      </c>
    </row>
    <row r="49" spans="1:14">
      <c r="A49" s="96" t="s">
        <v>3</v>
      </c>
      <c r="B49" s="95">
        <v>2.4</v>
      </c>
      <c r="C49" s="113">
        <v>2.4</v>
      </c>
      <c r="D49" s="95" t="s">
        <v>83</v>
      </c>
    </row>
    <row r="50" spans="1:14">
      <c r="A50" s="96" t="s">
        <v>7</v>
      </c>
      <c r="B50" s="95">
        <v>2.65</v>
      </c>
      <c r="C50" s="113">
        <v>2.65</v>
      </c>
      <c r="D50" s="95" t="s">
        <v>83</v>
      </c>
    </row>
    <row r="51" spans="1:14">
      <c r="A51" s="208" t="s">
        <v>134</v>
      </c>
      <c r="B51" s="117">
        <v>267.94742163801817</v>
      </c>
      <c r="C51" s="215">
        <v>267.94742163801817</v>
      </c>
      <c r="D51" s="56" t="s">
        <v>61</v>
      </c>
    </row>
    <row r="52" spans="1:14">
      <c r="A52" s="96" t="s">
        <v>94</v>
      </c>
      <c r="B52" s="4"/>
      <c r="C52" s="128">
        <v>0.13200000000000001</v>
      </c>
      <c r="D52" s="6" t="s">
        <v>95</v>
      </c>
    </row>
    <row r="53" spans="1:14">
      <c r="A53" s="71"/>
      <c r="B53" s="10"/>
      <c r="C53" s="214"/>
      <c r="D53" s="11"/>
    </row>
    <row r="54" spans="1:14">
      <c r="A54" t="s">
        <v>74</v>
      </c>
      <c r="B54" s="11"/>
      <c r="C54" s="10"/>
      <c r="D54" s="10"/>
      <c r="E54" s="10"/>
      <c r="F54" s="10"/>
      <c r="G54" s="10"/>
      <c r="H54" s="10"/>
      <c r="I54" s="10"/>
      <c r="J54" s="11"/>
      <c r="K54" s="10"/>
      <c r="L54" s="85"/>
      <c r="M54" s="10"/>
      <c r="N54" s="10"/>
    </row>
    <row r="55" spans="1:14">
      <c r="A55" t="s">
        <v>84</v>
      </c>
    </row>
  </sheetData>
  <phoneticPr fontId="3" type="noConversion"/>
  <pageMargins left="0.75" right="0.75" top="1" bottom="1" header="0" footer="0"/>
  <pageSetup paperSize="9" orientation="portrait" r:id="rId1"/>
  <headerFooter alignWithMargins="0">
    <oddHeader>&amp;CRapport 2016 til DN
&amp;R&amp;D
&amp;T</oddHeader>
    <oddFooter>&amp;L&amp;8&amp;Z&amp;F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53"/>
  <sheetViews>
    <sheetView zoomScale="84" zoomScaleNormal="84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5" sqref="H5"/>
    </sheetView>
  </sheetViews>
  <sheetFormatPr defaultRowHeight="12.75"/>
  <cols>
    <col min="1" max="1" width="27.5703125" customWidth="1"/>
    <col min="2" max="2" width="10" customWidth="1"/>
    <col min="3" max="3" width="8.5703125" customWidth="1"/>
    <col min="4" max="4" width="8" customWidth="1"/>
    <col min="5" max="5" width="9.28515625" customWidth="1"/>
    <col min="6" max="6" width="8" customWidth="1"/>
    <col min="7" max="8" width="9.5703125" customWidth="1"/>
    <col min="9" max="9" width="10.28515625" customWidth="1"/>
    <col min="10" max="10" width="8.5703125" customWidth="1"/>
    <col min="11" max="11" width="10.28515625" customWidth="1"/>
    <col min="12" max="12" width="8.7109375" customWidth="1"/>
    <col min="13" max="13" width="10.28515625" customWidth="1"/>
    <col min="14" max="15" width="8.85546875" customWidth="1"/>
    <col min="16" max="16" width="10.28515625" customWidth="1"/>
    <col min="17" max="17" width="8.140625" customWidth="1"/>
    <col min="18" max="18" width="9.7109375" customWidth="1"/>
    <col min="19" max="21" width="10.28515625" customWidth="1"/>
    <col min="22" max="22" width="3.28515625" style="10" customWidth="1"/>
    <col min="23" max="23" width="10.85546875" style="10" customWidth="1"/>
    <col min="24" max="24" width="10.140625" style="10" customWidth="1"/>
    <col min="25" max="25" width="8.7109375" style="10" customWidth="1"/>
    <col min="26" max="27" width="9.28515625" style="10" customWidth="1"/>
    <col min="28" max="28" width="8.7109375" style="10" customWidth="1"/>
    <col min="29" max="29" width="9.85546875" style="10" customWidth="1"/>
    <col min="30" max="30" width="9.28515625" style="10" customWidth="1"/>
    <col min="31" max="31" width="11.28515625" style="10" customWidth="1"/>
    <col min="32" max="32" width="11" style="10" customWidth="1"/>
    <col min="33" max="33" width="10" style="5" customWidth="1"/>
    <col min="40" max="40" width="10.5703125" bestFit="1" customWidth="1"/>
    <col min="42" max="43" width="10.85546875" customWidth="1"/>
    <col min="44" max="44" width="10.140625" bestFit="1" customWidth="1"/>
    <col min="45" max="50" width="9.140625" style="5" customWidth="1"/>
    <col min="51" max="51" width="11.42578125" style="50" customWidth="1"/>
    <col min="52" max="52" width="10.42578125" style="5" customWidth="1"/>
    <col min="53" max="54" width="10.85546875" style="5" customWidth="1"/>
    <col min="55" max="60" width="9.140625" style="5" customWidth="1"/>
    <col min="61" max="61" width="10.42578125" style="5" customWidth="1"/>
    <col min="62" max="62" width="9.140625" style="5" customWidth="1"/>
    <col min="63" max="63" width="10.140625" style="5" bestFit="1" customWidth="1"/>
    <col min="64" max="64" width="10.140625" bestFit="1" customWidth="1"/>
  </cols>
  <sheetData>
    <row r="1" spans="1:64" s="51" customFormat="1" ht="15">
      <c r="B1" s="241" t="s">
        <v>114</v>
      </c>
      <c r="C1" s="242"/>
      <c r="D1" s="242"/>
      <c r="E1" s="242"/>
      <c r="F1" s="242"/>
      <c r="G1" s="242"/>
      <c r="H1" s="243"/>
      <c r="M1" s="245" t="s">
        <v>126</v>
      </c>
      <c r="N1" s="245"/>
      <c r="O1" s="245"/>
      <c r="P1" s="245"/>
      <c r="Q1" s="245"/>
      <c r="R1" s="245"/>
      <c r="S1" s="245"/>
      <c r="V1" s="143"/>
      <c r="X1" s="245" t="s">
        <v>127</v>
      </c>
      <c r="Y1" s="245"/>
      <c r="Z1" s="245"/>
      <c r="AA1" s="245"/>
      <c r="AB1" s="245"/>
      <c r="AC1" s="245"/>
      <c r="AD1" s="245"/>
      <c r="AG1" s="126"/>
      <c r="AS1" s="244"/>
      <c r="AT1" s="244"/>
      <c r="AU1" s="244"/>
      <c r="AV1" s="244"/>
      <c r="AW1" s="244"/>
      <c r="AX1" s="244"/>
      <c r="AY1" s="244"/>
      <c r="AZ1" s="244"/>
      <c r="BA1" s="73"/>
      <c r="BB1" s="73"/>
      <c r="BC1" s="244"/>
      <c r="BD1" s="244"/>
      <c r="BE1" s="244"/>
      <c r="BF1" s="244"/>
      <c r="BG1" s="244"/>
      <c r="BH1" s="244"/>
      <c r="BI1" s="244"/>
      <c r="BJ1" s="244"/>
      <c r="BK1" s="73"/>
    </row>
    <row r="2" spans="1:64" s="51" customFormat="1" ht="15">
      <c r="B2" s="241" t="s">
        <v>57</v>
      </c>
      <c r="C2" s="242"/>
      <c r="D2" s="242"/>
      <c r="E2" s="242"/>
      <c r="F2" s="242"/>
      <c r="G2" s="243"/>
      <c r="H2" s="92"/>
      <c r="I2" s="241" t="s">
        <v>89</v>
      </c>
      <c r="J2" s="243"/>
      <c r="K2" s="241" t="s">
        <v>119</v>
      </c>
      <c r="L2" s="243"/>
      <c r="M2" s="245" t="s">
        <v>57</v>
      </c>
      <c r="N2" s="245"/>
      <c r="O2" s="245"/>
      <c r="P2" s="245"/>
      <c r="Q2" s="245"/>
      <c r="R2" s="245"/>
      <c r="S2" s="92"/>
      <c r="T2" s="245" t="s">
        <v>89</v>
      </c>
      <c r="U2" s="245"/>
      <c r="V2" s="143"/>
      <c r="X2" s="245" t="s">
        <v>57</v>
      </c>
      <c r="Y2" s="245"/>
      <c r="Z2" s="245"/>
      <c r="AA2" s="245"/>
      <c r="AB2" s="245"/>
      <c r="AC2" s="245"/>
      <c r="AD2" s="92"/>
      <c r="AE2" s="241" t="s">
        <v>89</v>
      </c>
      <c r="AF2" s="243"/>
      <c r="AG2" s="126"/>
      <c r="AS2" s="244"/>
      <c r="AT2" s="244"/>
      <c r="AU2" s="244"/>
      <c r="AV2" s="244"/>
      <c r="AW2" s="244"/>
      <c r="AX2" s="244"/>
      <c r="AY2" s="53"/>
      <c r="AZ2" s="54"/>
      <c r="BA2" s="52"/>
      <c r="BB2" s="52"/>
      <c r="BC2" s="244"/>
      <c r="BD2" s="244"/>
      <c r="BE2" s="244"/>
      <c r="BF2" s="244"/>
      <c r="BG2" s="244"/>
      <c r="BH2" s="244"/>
      <c r="BI2" s="53"/>
      <c r="BJ2" s="54"/>
      <c r="BK2" s="52"/>
    </row>
    <row r="3" spans="1:64" s="153" customFormat="1" ht="15">
      <c r="A3" s="153" t="s">
        <v>44</v>
      </c>
      <c r="B3" s="154" t="s">
        <v>52</v>
      </c>
      <c r="C3" s="154" t="s">
        <v>53</v>
      </c>
      <c r="D3" s="154" t="s">
        <v>54</v>
      </c>
      <c r="E3" s="154" t="s">
        <v>55</v>
      </c>
      <c r="F3" s="154" t="s">
        <v>56</v>
      </c>
      <c r="G3" s="161" t="s">
        <v>62</v>
      </c>
      <c r="H3" s="157" t="s">
        <v>15</v>
      </c>
      <c r="I3" s="155" t="s">
        <v>72</v>
      </c>
      <c r="J3" s="53" t="s">
        <v>73</v>
      </c>
      <c r="K3" s="53" t="s">
        <v>72</v>
      </c>
      <c r="L3" s="53" t="s">
        <v>73</v>
      </c>
      <c r="M3" s="154" t="s">
        <v>52</v>
      </c>
      <c r="N3" s="154" t="s">
        <v>53</v>
      </c>
      <c r="O3" s="154" t="s">
        <v>54</v>
      </c>
      <c r="P3" s="154" t="s">
        <v>55</v>
      </c>
      <c r="Q3" s="154" t="s">
        <v>56</v>
      </c>
      <c r="R3" s="154" t="s">
        <v>62</v>
      </c>
      <c r="S3" s="153" t="s">
        <v>15</v>
      </c>
      <c r="T3" s="53" t="s">
        <v>72</v>
      </c>
      <c r="U3" s="155" t="s">
        <v>73</v>
      </c>
      <c r="V3" s="146"/>
      <c r="W3" s="51" t="s">
        <v>44</v>
      </c>
      <c r="X3" s="91" t="s">
        <v>52</v>
      </c>
      <c r="Y3" s="91" t="s">
        <v>53</v>
      </c>
      <c r="Z3" s="91" t="s">
        <v>54</v>
      </c>
      <c r="AA3" s="91" t="s">
        <v>55</v>
      </c>
      <c r="AB3" s="91" t="s">
        <v>56</v>
      </c>
      <c r="AC3" s="91" t="s">
        <v>62</v>
      </c>
      <c r="AD3" s="51" t="s">
        <v>15</v>
      </c>
      <c r="AE3" s="75" t="s">
        <v>72</v>
      </c>
      <c r="AF3" s="54" t="s">
        <v>73</v>
      </c>
      <c r="AG3" s="156"/>
      <c r="AS3" s="53"/>
      <c r="AT3" s="53"/>
      <c r="AU3" s="53"/>
      <c r="AV3" s="53"/>
      <c r="AW3" s="53"/>
      <c r="AX3" s="53"/>
      <c r="AY3" s="53"/>
      <c r="AZ3" s="155"/>
      <c r="BA3" s="53"/>
      <c r="BB3" s="53"/>
      <c r="BC3" s="53"/>
      <c r="BD3" s="53"/>
      <c r="BE3" s="53"/>
      <c r="BF3" s="53"/>
      <c r="BG3" s="53"/>
      <c r="BH3" s="53"/>
      <c r="BI3" s="53"/>
      <c r="BJ3" s="155"/>
      <c r="BK3" s="53"/>
    </row>
    <row r="4" spans="1:64" s="157" customFormat="1">
      <c r="B4" s="158" t="s">
        <v>58</v>
      </c>
      <c r="C4" s="158" t="s">
        <v>58</v>
      </c>
      <c r="D4" s="158" t="s">
        <v>58</v>
      </c>
      <c r="E4" s="158" t="s">
        <v>58</v>
      </c>
      <c r="F4" s="158" t="s">
        <v>58</v>
      </c>
      <c r="G4" s="158" t="s">
        <v>58</v>
      </c>
      <c r="H4" s="159" t="s">
        <v>58</v>
      </c>
      <c r="I4" s="159"/>
      <c r="J4" s="158"/>
      <c r="K4" s="158"/>
      <c r="L4" s="158"/>
      <c r="M4" s="158" t="s">
        <v>58</v>
      </c>
      <c r="N4" s="158" t="s">
        <v>58</v>
      </c>
      <c r="O4" s="158" t="s">
        <v>58</v>
      </c>
      <c r="P4" s="158" t="s">
        <v>58</v>
      </c>
      <c r="Q4" s="158" t="s">
        <v>58</v>
      </c>
      <c r="R4" s="158" t="s">
        <v>58</v>
      </c>
      <c r="S4" s="159" t="s">
        <v>58</v>
      </c>
      <c r="T4" s="158"/>
      <c r="U4" s="159"/>
      <c r="V4" s="151"/>
      <c r="W4" s="26"/>
      <c r="X4" s="55" t="s">
        <v>58</v>
      </c>
      <c r="Y4" s="55" t="s">
        <v>58</v>
      </c>
      <c r="Z4" s="55" t="s">
        <v>58</v>
      </c>
      <c r="AA4" s="55" t="s">
        <v>58</v>
      </c>
      <c r="AB4" s="55" t="s">
        <v>58</v>
      </c>
      <c r="AC4" s="55" t="s">
        <v>58</v>
      </c>
      <c r="AD4" s="76" t="s">
        <v>58</v>
      </c>
      <c r="AE4" s="76"/>
      <c r="AF4" s="55"/>
      <c r="AG4" s="160"/>
      <c r="AS4" s="158"/>
      <c r="AT4" s="158"/>
      <c r="AU4" s="158"/>
      <c r="AV4" s="158"/>
      <c r="AW4" s="158"/>
      <c r="AX4" s="158"/>
      <c r="AY4" s="158"/>
      <c r="AZ4" s="159"/>
      <c r="BA4" s="87"/>
      <c r="BB4" s="87"/>
      <c r="BC4" s="158"/>
      <c r="BD4" s="158"/>
      <c r="BE4" s="158"/>
      <c r="BF4" s="158"/>
      <c r="BG4" s="158"/>
      <c r="BH4" s="158"/>
      <c r="BI4" s="158"/>
      <c r="BJ4" s="159"/>
      <c r="BK4" s="158"/>
    </row>
    <row r="5" spans="1:64" ht="15">
      <c r="A5" t="s">
        <v>45</v>
      </c>
      <c r="B5" s="5">
        <f t="shared" ref="B5:B13" si="0">G5-SUM(C5:F5)</f>
        <v>885.3436695042642</v>
      </c>
      <c r="D5" s="5">
        <f>[13]Data!$X$35</f>
        <v>839.35633049573585</v>
      </c>
      <c r="F5" s="5"/>
      <c r="G5" s="5">
        <f>[13]Data!$X$90</f>
        <v>1724.7</v>
      </c>
      <c r="H5" s="115">
        <f>[13]Data!$J$90/1000</f>
        <v>906.39414999999997</v>
      </c>
      <c r="I5" s="76">
        <f>B5*gasfaktor+C5*fjernvarmefaktor+D5*Fjernvarmefaktor_nye_kedler+F5*el_foreg.år+H5*el_foreg.år</f>
        <v>681954.23105085536</v>
      </c>
      <c r="J5" s="55">
        <f t="shared" ref="J5:J17" si="1">I5/1000</f>
        <v>681.95423105085536</v>
      </c>
      <c r="K5" s="55">
        <f>B5*gasfaktor+C5*fjernvarmefaktor+D5*Fjernvarmefaktor_nye_kedler+F5*El_opgør.år+H5*El_opgør.år</f>
        <v>749027.39815085533</v>
      </c>
      <c r="L5" s="55">
        <f t="shared" ref="L5:L16" si="2">K5/1000</f>
        <v>749.02739815085533</v>
      </c>
      <c r="M5" s="5">
        <f t="shared" ref="M5:M13" si="3">R5-SUM(N5:Q5)</f>
        <v>844.00320117338481</v>
      </c>
      <c r="O5" s="5">
        <f>[13]Data!$X$104</f>
        <v>875.13679882661529</v>
      </c>
      <c r="Q5" s="5"/>
      <c r="R5" s="5">
        <f>[13]Data!$X$159</f>
        <v>1719.14</v>
      </c>
      <c r="S5" s="115">
        <f>[13]Data!$J$159/1000</f>
        <v>911.93312000000003</v>
      </c>
      <c r="T5" s="55">
        <f>M5*gasfaktor+N5*fjernvarmefaktor+O5*Fjernvarmefaktor_nye_kedler+Q5*el_foreg.år+S5*el_foreg.år</f>
        <v>684856.05164629966</v>
      </c>
      <c r="U5" s="76">
        <f t="shared" ref="U5:U17" si="4">T5/1000</f>
        <v>684.85605164629965</v>
      </c>
      <c r="W5" t="s">
        <v>45</v>
      </c>
      <c r="X5" s="5">
        <f t="shared" ref="X5:X12" si="5">AC5-SUM(Y5:AB5)</f>
        <v>1020.2834507949533</v>
      </c>
      <c r="Y5"/>
      <c r="Z5" s="5">
        <f>'[14]2011, ny beregning'!$C$22</f>
        <v>1011.0965492050468</v>
      </c>
      <c r="AA5"/>
      <c r="AB5" s="5"/>
      <c r="AC5" s="5">
        <f>'[15]Årsopgørelse (Varme)'!$H$7</f>
        <v>2031.38</v>
      </c>
      <c r="AD5" s="115">
        <f>[16]El!$E$10</f>
        <v>913.8741506679379</v>
      </c>
      <c r="AE5" s="76">
        <f>X5*gasfaktor+Y5*fjernvarmefaktor+Z5*Fjernvarmefaktor_nye_kedler+AB5*el_foreg.år+AD5*el_foreg.år</f>
        <v>758130.5129408997</v>
      </c>
      <c r="AF5" s="55">
        <f t="shared" ref="AF5:AF27" si="6">AE5/1000</f>
        <v>758.13051294089973</v>
      </c>
      <c r="AG5" s="11"/>
      <c r="AS5" s="56"/>
      <c r="AT5" s="56"/>
      <c r="AU5" s="56"/>
      <c r="AV5" s="56"/>
      <c r="AW5" s="56"/>
      <c r="AX5" s="56"/>
      <c r="AY5" s="55"/>
      <c r="AZ5" s="6"/>
      <c r="BA5" s="55"/>
      <c r="BB5" s="55"/>
      <c r="BC5" s="56"/>
      <c r="BD5" s="56"/>
      <c r="BE5" s="56"/>
      <c r="BF5" s="56"/>
      <c r="BG5" s="56"/>
      <c r="BH5" s="56"/>
      <c r="BI5" s="56"/>
      <c r="BJ5" s="79"/>
      <c r="BK5" s="56"/>
    </row>
    <row r="6" spans="1:64">
      <c r="A6" t="s">
        <v>46</v>
      </c>
      <c r="B6" s="5">
        <f t="shared" si="0"/>
        <v>5779.4621612198225</v>
      </c>
      <c r="C6" s="5">
        <f>[13]Data!$FM$50+[13]Data!$FM$52</f>
        <v>1128.2169546460757</v>
      </c>
      <c r="D6" s="5">
        <f>[13]Data!$FM$40</f>
        <v>1874.7734390493163</v>
      </c>
      <c r="E6" s="5">
        <f>[13]Data!$FM$48</f>
        <v>1507.8574450847855</v>
      </c>
      <c r="G6" s="5">
        <f>[13]Data!$FM$90</f>
        <v>10290.31</v>
      </c>
      <c r="H6" s="5">
        <f>[13]Data!$EY$90/1000</f>
        <v>1861.74207</v>
      </c>
      <c r="I6" s="76">
        <f>B6*gasfaktor+C6*fjernvarmefaktor+D6*Fjernvarmefaktor_nye_kedler+E6*Kraftv._foreg.år_Virum_Skole+F6*el_foreg.år+H6*el_foreg.år</f>
        <v>2937393.2085158052</v>
      </c>
      <c r="J6" s="55">
        <f t="shared" si="1"/>
        <v>2937.3932085158053</v>
      </c>
      <c r="K6" s="55">
        <f>B6*gasfaktor+C6*fjernvarmefaktor+D6*Fjernvarmefaktor_nye_kedler+E6*kraftv_opgør.år_virum_sk+F6*El_opgør.år+H6*El_opgør.år</f>
        <v>3073654.2642507204</v>
      </c>
      <c r="L6" s="55">
        <f t="shared" si="2"/>
        <v>3073.6542642507202</v>
      </c>
      <c r="M6" s="5">
        <f t="shared" si="3"/>
        <v>6047.4649217698388</v>
      </c>
      <c r="N6" s="5">
        <f>[13]Data!$FM$119+[13]Data!$FM$121</f>
        <v>1118.9381311731147</v>
      </c>
      <c r="O6" s="5">
        <f>[13]Data!$FM$109</f>
        <v>1776.1481427149372</v>
      </c>
      <c r="P6" s="5">
        <f>[13]Data!$FM$117</f>
        <v>1527.508804342109</v>
      </c>
      <c r="R6" s="5">
        <f>[13]Data!$FM$159</f>
        <v>10470.06</v>
      </c>
      <c r="S6" s="5">
        <f>[13]Data!$EY$159/1000</f>
        <v>1968.1443700000002</v>
      </c>
      <c r="T6" s="55">
        <f>M6*gasfaktor+N6*fjernvarmefaktor+O6*Fjernvarmefaktor_nye_kedler+P6*Kraftv._foreg.år_Virum_Skole+Q6*el_foreg.år+S6*el_foreg.år</f>
        <v>2999707.0185003905</v>
      </c>
      <c r="U6" s="76">
        <f t="shared" si="4"/>
        <v>2999.7070185003904</v>
      </c>
      <c r="W6" t="s">
        <v>46</v>
      </c>
      <c r="X6" s="5">
        <f t="shared" si="5"/>
        <v>5739.0748485121085</v>
      </c>
      <c r="Y6" s="5">
        <f>'[14]2011, ny beregning'!$E$13</f>
        <v>1144.6848651993414</v>
      </c>
      <c r="Z6"/>
      <c r="AA6" s="5">
        <f>'[14]2011, ny beregning'!$D$14</f>
        <v>1721.2902862885494</v>
      </c>
      <c r="AB6"/>
      <c r="AC6" s="5">
        <f>'[15]Årsopgørelse (Varme)'!$H$13</f>
        <v>8605.0499999999993</v>
      </c>
      <c r="AD6" s="5">
        <f>[16]El!$E$17</f>
        <v>1751.1440187990424</v>
      </c>
      <c r="AE6" s="76">
        <f>X6*gasfaktor+Y6*fjernvarmefaktor+Z6*Fjernvarmefaktor_nye_kedler+AA6*Kraftv._foreg.år_Virum_Skole+AB6*el_foreg.år+AD6*el_foreg.år</f>
        <v>2445236.6302004899</v>
      </c>
      <c r="AF6" s="55">
        <f t="shared" si="6"/>
        <v>2445.2366302004898</v>
      </c>
      <c r="AG6" s="11"/>
      <c r="AS6" s="56"/>
      <c r="AT6" s="56"/>
      <c r="AU6" s="56"/>
      <c r="AV6" s="56"/>
      <c r="AW6" s="56"/>
      <c r="AX6" s="56"/>
      <c r="AY6" s="55"/>
      <c r="AZ6" s="6"/>
      <c r="BA6" s="55"/>
      <c r="BB6" s="55"/>
      <c r="BC6" s="56"/>
      <c r="BD6" s="56"/>
      <c r="BE6" s="56"/>
      <c r="BF6" s="56"/>
      <c r="BG6" s="56"/>
      <c r="BH6" s="56"/>
      <c r="BI6" s="56"/>
      <c r="BK6" s="56"/>
    </row>
    <row r="7" spans="1:64">
      <c r="A7" t="s">
        <v>47</v>
      </c>
      <c r="B7" s="5">
        <f t="shared" si="0"/>
        <v>3366.1138330692388</v>
      </c>
      <c r="D7" s="5"/>
      <c r="F7" s="5">
        <f>[13]Data!$X$207</f>
        <v>39.926166930761624</v>
      </c>
      <c r="G7" s="5">
        <f>[13]Data!$X$230</f>
        <v>3406.0400000000004</v>
      </c>
      <c r="H7" s="5">
        <f>[13]Data!$J$230/1000</f>
        <v>807.21230000000003</v>
      </c>
      <c r="I7" s="76">
        <f>(B7*gasfaktor+C7*fjernvarmefaktor+D7*Fjernvarmefaktor_nye_kedler+F7*el_foreg.år+H7*el_foreg.år)</f>
        <v>943676.1877746064</v>
      </c>
      <c r="J7" s="55">
        <f t="shared" si="1"/>
        <v>943.67618777460643</v>
      </c>
      <c r="K7" s="55">
        <f>B7*gasfaktor+C7*fjernvarmefaktor+D7*Fjernvarmefaktor_nye_kedler+F7*El_opgør.år+H7*El_opgør.år</f>
        <v>1006364.4343274827</v>
      </c>
      <c r="L7" s="55">
        <f t="shared" si="2"/>
        <v>1006.3644343274827</v>
      </c>
      <c r="M7" s="5">
        <f t="shared" si="3"/>
        <v>3287.4405310865168</v>
      </c>
      <c r="O7" s="5">
        <f>'[14]Forbr. v.arter grdkor 290413'!$C$5</f>
        <v>104.64319569825722</v>
      </c>
      <c r="Q7" s="5">
        <f>[13]Data!$X$276</f>
        <v>38.956273215226325</v>
      </c>
      <c r="R7" s="5">
        <f>[13]Data!$X$299</f>
        <v>3431.0400000000004</v>
      </c>
      <c r="S7" s="5">
        <f>[13]Data!$J$299/1000</f>
        <v>790.51891000000001</v>
      </c>
      <c r="T7" s="55">
        <f>M7*gasfaktor+N7*fjernvarmefaktor+O7*Fjernvarmefaktor_nye_kedler+Q7*el_foreg.år+S7*el_foreg.år</f>
        <v>950521.36992449127</v>
      </c>
      <c r="U7" s="76">
        <f t="shared" si="4"/>
        <v>950.5213699244913</v>
      </c>
      <c r="W7" t="s">
        <v>47</v>
      </c>
      <c r="X7" s="5">
        <f t="shared" si="5"/>
        <v>3298.9817281769851</v>
      </c>
      <c r="Y7"/>
      <c r="Z7" s="5">
        <f>'[14]2011, ny beregning'!$C$6</f>
        <v>117.21515116356845</v>
      </c>
      <c r="AA7"/>
      <c r="AB7" s="5">
        <f>'[14]2011, ny beregning'!$B$7+'[14]2011, ny beregning'!$B$8</f>
        <v>49.023120659446164</v>
      </c>
      <c r="AC7" s="5">
        <f>'[15]Årsopgørelse (Varme)'!$H$16</f>
        <v>3465.22</v>
      </c>
      <c r="AD7" s="5">
        <f>[16]El!$E$20</f>
        <v>836.43102360410512</v>
      </c>
      <c r="AE7" s="76">
        <f>(X7*gasfaktor+Y7*fjernvarmefaktor+Z7*Fjernvarmefaktor_nye_kedler+AB7*el_foreg.år+AD7*el_foreg.år)</f>
        <v>973232.87650395883</v>
      </c>
      <c r="AF7" s="55">
        <f t="shared" si="6"/>
        <v>973.23287650395878</v>
      </c>
      <c r="AG7" s="11"/>
      <c r="AS7" s="56"/>
      <c r="AT7" s="56"/>
      <c r="AU7" s="56"/>
      <c r="AV7" s="56"/>
      <c r="AW7" s="56"/>
      <c r="AX7" s="56"/>
      <c r="AY7" s="55"/>
      <c r="AZ7" s="6"/>
      <c r="BA7" s="55"/>
      <c r="BB7" s="55"/>
      <c r="BC7" s="56"/>
      <c r="BD7" s="56"/>
      <c r="BE7" s="56"/>
      <c r="BF7" s="56"/>
      <c r="BG7" s="56"/>
      <c r="BH7" s="56"/>
      <c r="BI7" s="56"/>
      <c r="BK7" s="56"/>
    </row>
    <row r="8" spans="1:64">
      <c r="A8" t="s">
        <v>48</v>
      </c>
      <c r="B8" s="5">
        <f t="shared" si="0"/>
        <v>964.50356512112069</v>
      </c>
      <c r="F8" s="100">
        <f>[13]Data!$HS$49</f>
        <v>61.716434878879376</v>
      </c>
      <c r="G8" s="5">
        <f>[13]Data!$HS$90</f>
        <v>1026.22</v>
      </c>
      <c r="H8" s="5">
        <f>[13]Data!$HE$90/1000</f>
        <v>272.16871000000003</v>
      </c>
      <c r="I8" s="76">
        <f>(B8*gasfaktor+C8*fjernvarmefaktor+D8*Fjernvarmefaktor_nye_kedler+F8*el_foreg.år+H8*el_foreg.år)</f>
        <v>298013.60832529282</v>
      </c>
      <c r="J8" s="55">
        <f t="shared" si="1"/>
        <v>298.01360832529281</v>
      </c>
      <c r="K8" s="55">
        <f>B8*gasfaktor+C8*fjernvarmefaktor+D8*Fjernvarmefaktor_nye_kedler+F8*El_opgør.år+H8*El_opgør.år</f>
        <v>322721.10904632992</v>
      </c>
      <c r="L8" s="55">
        <f t="shared" si="2"/>
        <v>322.7211090463299</v>
      </c>
      <c r="M8" s="5">
        <f t="shared" si="3"/>
        <v>963.87115928114258</v>
      </c>
      <c r="Q8" s="100">
        <f>[13]Data!$HS$118</f>
        <v>80.668840718857382</v>
      </c>
      <c r="R8" s="5">
        <f>[13]Data!$HS$159</f>
        <v>1044.54</v>
      </c>
      <c r="S8" s="5">
        <f>[13]Data!$HE$159/1000</f>
        <v>300.07728000000003</v>
      </c>
      <c r="T8" s="55">
        <f>M8*gasfaktor+N8*fjernvarmefaktor+O8*Fjernvarmefaktor_nye_kedler+Q8*el_foreg.år+S8*el_foreg.år</f>
        <v>312083.41572201066</v>
      </c>
      <c r="U8" s="76">
        <f t="shared" si="4"/>
        <v>312.08341572201067</v>
      </c>
      <c r="W8" t="s">
        <v>48</v>
      </c>
      <c r="X8" s="5">
        <f t="shared" si="5"/>
        <v>1067.5429763468537</v>
      </c>
      <c r="Y8"/>
      <c r="Z8"/>
      <c r="AA8"/>
      <c r="AB8" s="100">
        <f>'[14]2011, ny beregning'!$B$15</f>
        <v>59.007023653146149</v>
      </c>
      <c r="AC8" s="5">
        <f>'[15]Årsopgørelse (Varme)'!$H$15</f>
        <v>1126.55</v>
      </c>
      <c r="AD8" s="5">
        <f>[16]El!$E$19</f>
        <v>311.78121487316804</v>
      </c>
      <c r="AE8" s="76">
        <f>(X8*gasfaktor+Y8*fjernvarmefaktor+Z8*Fjernvarmefaktor_nye_kedler+AB8*el_foreg.år+AD8*el_foreg.år)</f>
        <v>330224.65280971746</v>
      </c>
      <c r="AF8" s="55">
        <f t="shared" si="6"/>
        <v>330.22465280971744</v>
      </c>
      <c r="AG8" s="11"/>
      <c r="AS8" s="56"/>
      <c r="AT8" s="56"/>
      <c r="AU8" s="56"/>
      <c r="AV8" s="56"/>
      <c r="AW8" s="56"/>
      <c r="AX8" s="56"/>
      <c r="AY8" s="55"/>
      <c r="AZ8" s="6"/>
      <c r="BA8" s="55"/>
      <c r="BB8" s="55"/>
      <c r="BC8" s="56"/>
      <c r="BD8" s="56"/>
      <c r="BE8" s="56"/>
      <c r="BF8" s="56"/>
      <c r="BG8" s="56"/>
      <c r="BH8" s="56"/>
      <c r="BI8" s="56"/>
      <c r="BK8" s="56"/>
    </row>
    <row r="9" spans="1:64">
      <c r="A9" t="s">
        <v>49</v>
      </c>
      <c r="B9" s="5">
        <f t="shared" si="0"/>
        <v>4240.1383864971913</v>
      </c>
      <c r="E9" s="114">
        <f>0.7*(292.967+[13]Data!$DG$174)+[13]Data!$DG$184</f>
        <v>761.75161350280905</v>
      </c>
      <c r="G9" s="5">
        <f>[13]Data!$DG$230</f>
        <v>5001.8900000000003</v>
      </c>
      <c r="H9" s="5">
        <f>[13]Data!$CS$230/1000</f>
        <v>2083.5329699999998</v>
      </c>
      <c r="I9" s="76">
        <f>(B9*gasfaktor+C9*fjernvarmefaktor+D9*Fjernvarmefaktor_nye_kedler+E9*kraftv_foreg.år_bau_solg+F9*el_foreg.år+H9*el_foreg.år)</f>
        <v>1677219.3202816381</v>
      </c>
      <c r="J9" s="55">
        <f t="shared" si="1"/>
        <v>1677.2193202816381</v>
      </c>
      <c r="K9" s="55">
        <f>B9*gasfaktor+C9*fjernvarmefaktor+D9*Fjernvarmefaktor_nye_kedler+E9*kraftv_opgør.år_bau_solg+F9*El_opgør.år+H9*El_opgør.år</f>
        <v>1832924.2632886437</v>
      </c>
      <c r="L9" s="55">
        <f t="shared" si="2"/>
        <v>1832.9242632886437</v>
      </c>
      <c r="M9" s="5">
        <f t="shared" si="3"/>
        <v>4658.4634614954275</v>
      </c>
      <c r="P9" s="114">
        <f>0.58*(364.207+[13]Data!$DG$243)+[13]Data!$DG$253</f>
        <v>681.46653850457278</v>
      </c>
      <c r="R9" s="5">
        <f>[13]Data!$DG$299</f>
        <v>5339.93</v>
      </c>
      <c r="S9" s="5">
        <f>[13]Data!$CS$299/1000</f>
        <v>2130.9375299999997</v>
      </c>
      <c r="T9" s="55">
        <f>M9*gasfaktor+N9*fjernvarmefaktor+O9*Fjernvarmefaktor_nye_kedler+P9*kraftv_foreg.år_bau_solg+Q9*el_foreg.år+S9*el_foreg.år</f>
        <v>1757931.6840389688</v>
      </c>
      <c r="U9" s="76">
        <f t="shared" si="4"/>
        <v>1757.9316840389688</v>
      </c>
      <c r="W9" t="s">
        <v>49</v>
      </c>
      <c r="X9" s="5">
        <f t="shared" si="5"/>
        <v>5680.1936640021922</v>
      </c>
      <c r="Y9"/>
      <c r="Z9"/>
      <c r="AA9" s="114">
        <f>'[14]2011, ny beregning'!$D$3+'[14]2011, ny beregning'!$D$4</f>
        <v>800.38433599780763</v>
      </c>
      <c r="AB9"/>
      <c r="AC9" s="5">
        <f>'[15]Årsopgørelse (Varme)'!$H$20-274.402</f>
        <v>6480.5779999999995</v>
      </c>
      <c r="AD9" s="5">
        <f>[16]El!$E$24-185.079</f>
        <v>2581.8236113195685</v>
      </c>
      <c r="AE9" s="76">
        <f>(X9*gasfaktor+Y9*fjernvarmefaktor+Z9*Fjernvarmefaktor_nye_kedler+AA9*kraftv_foreg.år_bau_solg+AB9*el_foreg.år+AD9*el_foreg.år)</f>
        <v>2131259.5305599393</v>
      </c>
      <c r="AF9" s="55">
        <f t="shared" si="6"/>
        <v>2131.2595305599393</v>
      </c>
      <c r="AG9" s="11"/>
      <c r="AS9" s="56"/>
      <c r="AT9" s="56"/>
      <c r="AU9" s="56"/>
      <c r="AV9" s="56"/>
      <c r="AW9" s="56"/>
      <c r="AX9" s="56"/>
      <c r="AY9" s="55"/>
      <c r="AZ9" s="6"/>
      <c r="BA9" s="55"/>
      <c r="BB9" s="55"/>
      <c r="BC9" s="56"/>
      <c r="BD9" s="56"/>
      <c r="BE9" s="56"/>
      <c r="BF9" s="56"/>
      <c r="BG9" s="56"/>
      <c r="BH9" s="56"/>
      <c r="BI9" s="56"/>
      <c r="BK9" s="56"/>
    </row>
    <row r="10" spans="1:64">
      <c r="A10" s="106" t="s">
        <v>115</v>
      </c>
      <c r="B10" s="5">
        <f t="shared" si="0"/>
        <v>1374.83</v>
      </c>
      <c r="E10" s="144"/>
      <c r="G10" s="5">
        <f>[13]Data!$FM$230</f>
        <v>1374.83</v>
      </c>
      <c r="H10" s="5">
        <f>[13]Data!$EY$230/1000</f>
        <v>406.26934</v>
      </c>
      <c r="I10" s="76">
        <f>(B10*gasfaktor+C10*fjernvarmefaktor+D10*Fjernvarmefaktor_nye_kedler+F10*el_foreg.år+H10*el_foreg.år)</f>
        <v>403689.91456545459</v>
      </c>
      <c r="J10" s="55">
        <f t="shared" si="1"/>
        <v>403.68991456545461</v>
      </c>
      <c r="K10" s="55">
        <f>B10*gasfaktor+C10*fjernvarmefaktor+D10*Fjernvarmefaktor_nye_kedler+F10*El_opgør.år+H10*El_opgør.år</f>
        <v>433753.84572545456</v>
      </c>
      <c r="L10" s="55">
        <f t="shared" si="2"/>
        <v>433.75384572545454</v>
      </c>
      <c r="M10" s="5">
        <f t="shared" si="3"/>
        <v>1316.1</v>
      </c>
      <c r="P10" s="144"/>
      <c r="R10" s="5">
        <f>[13]Data!$FM$299</f>
        <v>1316.1</v>
      </c>
      <c r="S10" s="5">
        <f>[13]Data!$EY$299/1000</f>
        <v>438.29838000000001</v>
      </c>
      <c r="T10" s="55">
        <f>M10*gasfaktor+N10*fjernvarmefaktor+O10*Fjernvarmefaktor_nye_kedler+Q10*el_foreg.år+S10*el_foreg.år</f>
        <v>401408.45459454547</v>
      </c>
      <c r="U10" s="76">
        <f>T10/1000</f>
        <v>401.40845459454545</v>
      </c>
      <c r="W10" t="s">
        <v>50</v>
      </c>
      <c r="X10" s="5">
        <f t="shared" si="5"/>
        <v>1097.4880184686363</v>
      </c>
      <c r="Y10"/>
      <c r="Z10" s="99">
        <f>'[14]2011, ny beregning'!$C$5</f>
        <v>245.03198153136367</v>
      </c>
      <c r="AA10"/>
      <c r="AB10"/>
      <c r="AC10" s="5">
        <f>'[15]Årsopgørelse (Varme)'!$H$11+'[15]Årsopgørelse (Varme)'!$H$17</f>
        <v>1342.52</v>
      </c>
      <c r="AD10" s="5">
        <f>[16]El!$E$14+[16]El!$E$21</f>
        <v>605.04573115713276</v>
      </c>
      <c r="AE10" s="76">
        <f>(X10*gasfaktor+Y10*fjernvarmefaktor+Z10*Fjernvarmefaktor_nye_kedler+AB10*el_foreg.år+AD10*el_foreg.år)</f>
        <v>473474.81895972381</v>
      </c>
      <c r="AF10" s="55">
        <f t="shared" si="6"/>
        <v>473.47481895972379</v>
      </c>
      <c r="AG10" s="11"/>
      <c r="AS10" s="56"/>
      <c r="AT10" s="56"/>
      <c r="AU10" s="56"/>
      <c r="AV10" s="56"/>
      <c r="AW10" s="56"/>
      <c r="AX10" s="56"/>
      <c r="AY10" s="55"/>
      <c r="AZ10" s="6"/>
      <c r="BA10" s="55"/>
      <c r="BB10" s="55"/>
      <c r="BC10" s="56"/>
      <c r="BD10" s="56"/>
      <c r="BE10" s="56"/>
      <c r="BF10" s="56"/>
      <c r="BG10" s="56"/>
      <c r="BH10" s="56"/>
      <c r="BI10" s="56"/>
      <c r="BK10" s="56"/>
    </row>
    <row r="11" spans="1:64" ht="13.5" thickBot="1">
      <c r="A11" t="s">
        <v>50</v>
      </c>
      <c r="B11" s="5">
        <f t="shared" si="0"/>
        <v>1092.2397269102444</v>
      </c>
      <c r="D11" s="145">
        <f>[13]Data!$EJ$33+10</f>
        <v>89.900273089755828</v>
      </c>
      <c r="G11" s="5">
        <f>'[13]Årsopgørelse (Varme)'!$G$11</f>
        <v>1182.1400000000001</v>
      </c>
      <c r="H11" s="5">
        <f>[13]Data!$DV$90/1000</f>
        <v>619.37970999999993</v>
      </c>
      <c r="I11" s="76">
        <f>(B11*gasfaktor+C11*fjernvarmefaktor+D11*Fjernvarmefaktor_nye_kedler+E11*kraftv_foreg.år_bau_solg+F11*el_foreg.år+H11*el_foreg.år)</f>
        <v>434861.32467455213</v>
      </c>
      <c r="J11" s="55">
        <f t="shared" si="1"/>
        <v>434.86132467455212</v>
      </c>
      <c r="K11" s="55">
        <f>B11*gasfaktor+C11*fjernvarmefaktor+D11*Fjernvarmefaktor_nye_kedler+F11*El_opgør.år+H11*El_opgør.år</f>
        <v>480695.42321455211</v>
      </c>
      <c r="L11" s="55">
        <f t="shared" si="2"/>
        <v>480.69542321455214</v>
      </c>
      <c r="M11" s="5">
        <f t="shared" si="3"/>
        <v>1109.8148099494401</v>
      </c>
      <c r="O11" s="145">
        <f>[13]Data!$EJ$102</f>
        <v>122.67519005055986</v>
      </c>
      <c r="R11" s="5">
        <f>[13]Data!$EJ$159</f>
        <v>1232.49</v>
      </c>
      <c r="S11" s="5">
        <f>[13]Data!$DV$159/1000</f>
        <v>582.14211999999998</v>
      </c>
      <c r="T11" s="55">
        <f>M11*gasfaktor+N11*fjernvarmefaktor+O11*Fjernvarmefaktor_nye_kedler+Q11*el_foreg.år+S11*el_foreg.år</f>
        <v>436014.47715878696</v>
      </c>
      <c r="U11" s="76">
        <f t="shared" si="4"/>
        <v>436.01447715878697</v>
      </c>
      <c r="W11" s="59" t="s">
        <v>59</v>
      </c>
      <c r="X11" s="5">
        <f t="shared" si="5"/>
        <v>1843.5448563324562</v>
      </c>
      <c r="Y11" s="11">
        <f>'[14]2011, ny beregning'!$E$23</f>
        <v>539.12571274260097</v>
      </c>
      <c r="Z11" s="11">
        <f>'[14]2011, ny beregning'!$C$8</f>
        <v>488.50076029053355</v>
      </c>
      <c r="AA11" s="11">
        <f>'[14]2011, ny beregning'!$D$9</f>
        <v>3047.8068525464696</v>
      </c>
      <c r="AB11" s="11">
        <f>'[14]2011, ny beregning'!$B$10</f>
        <v>39.981818087939509</v>
      </c>
      <c r="AC11" s="11">
        <f>'[15]Årsopgørelse (Varme)'!$H$14</f>
        <v>5958.96</v>
      </c>
      <c r="AD11" s="11">
        <f>[16]El!$E$18+[16]El!$E$31</f>
        <v>2249.2394923683505</v>
      </c>
      <c r="AE11" s="76">
        <f>(X11*gasfaktor+Y11*fjernvarmefaktor+Z11*Fjernvarmefaktor_nye_kedler+AA11*kraftv_foreg.år_stadion+AB11*el_foreg.år+AD11*el_foreg.år)</f>
        <v>2098743.5298896069</v>
      </c>
      <c r="AF11" s="55">
        <f t="shared" si="6"/>
        <v>2098.7435298896071</v>
      </c>
      <c r="AG11" s="11"/>
      <c r="AS11" s="56"/>
      <c r="AT11" s="56"/>
      <c r="AU11" s="56"/>
      <c r="AV11" s="56"/>
      <c r="AW11" s="56"/>
      <c r="AX11" s="56"/>
      <c r="AY11" s="55"/>
      <c r="AZ11" s="6"/>
      <c r="BA11" s="55"/>
      <c r="BB11" s="55"/>
      <c r="BC11" s="56"/>
      <c r="BD11" s="56"/>
      <c r="BE11" s="56"/>
      <c r="BF11" s="56"/>
      <c r="BG11" s="56"/>
      <c r="BH11" s="56"/>
      <c r="BI11" s="56"/>
      <c r="BK11" s="56"/>
    </row>
    <row r="12" spans="1:64" ht="13.5" thickBot="1">
      <c r="A12" s="59" t="s">
        <v>59</v>
      </c>
      <c r="B12" s="5">
        <f t="shared" si="0"/>
        <v>1383.0244650067739</v>
      </c>
      <c r="C12" s="11">
        <f>[13]Data!$GP$44</f>
        <v>528.20708115697107</v>
      </c>
      <c r="D12" s="11">
        <f>[13]Data!$GP$40</f>
        <v>456.72009639213718</v>
      </c>
      <c r="E12" s="11">
        <f>[13]Data!$GP$33+[13]Data!$GP$38</f>
        <v>2537.5206121963001</v>
      </c>
      <c r="F12" s="11">
        <f>[13]Data!$CD$174</f>
        <v>35.757745247818107</v>
      </c>
      <c r="G12" s="11">
        <f>'[13]Årsopgørelse (Varme)'!$G$14+'[13]Årsopgørelse (Varme)'!$G$25</f>
        <v>4941.2300000000005</v>
      </c>
      <c r="H12" s="11">
        <f>'[13]Årsopgørelse (EL)'!$G$14/1000+'[13]Årsopgørelse (EL)'!$G$26/1000</f>
        <v>2018.3644300000001</v>
      </c>
      <c r="I12" s="76">
        <f>(B12*gasfaktor+C12*fjernvarmefaktor+D12*Fjernvarmefaktor_nye_kedler+E12*kraftv_året_før_stadion+F12*el_foreg.år+H12*el_foreg.år)</f>
        <v>1797773.7277833894</v>
      </c>
      <c r="J12" s="55">
        <f t="shared" si="1"/>
        <v>1797.7737277833894</v>
      </c>
      <c r="K12" s="55">
        <f>B12*gasfaktor+C12*fjernvarmefaktor+D12*Fjernvarmefaktor_nye_kedler+E12*kraftv_opgør.år_stadion+F12*El_opgør.år+H12*El_opgør.år</f>
        <v>1934553.6450785499</v>
      </c>
      <c r="L12" s="55">
        <f t="shared" si="2"/>
        <v>1934.5536450785498</v>
      </c>
      <c r="M12" s="5">
        <f t="shared" si="3"/>
        <v>1232.8991603209461</v>
      </c>
      <c r="N12" s="11">
        <f>[13]Data!$GP$113</f>
        <v>618.62306754479334</v>
      </c>
      <c r="O12" s="11">
        <f>[13]Data!$GP$109</f>
        <v>461.28549058247904</v>
      </c>
      <c r="P12" s="11">
        <f>[17]Data!$GP$40-41.423</f>
        <v>2642.5665704389248</v>
      </c>
      <c r="Q12" s="11">
        <f>[13]Data!$CD$243</f>
        <v>40.215711112856539</v>
      </c>
      <c r="R12" s="11">
        <f>'[13]Årsopgørelse (Varme)'!$H$14</f>
        <v>4995.59</v>
      </c>
      <c r="S12" s="11">
        <f>'[13]Årsopgørelse (EL)'!$H$14/1000+'[13]Årsopgørelse (EL)'!$H$26/1000</f>
        <v>2166.3315299999999</v>
      </c>
      <c r="T12" s="55">
        <f>M12*gasfaktor+N12*fjernvarmefaktor+O12*Fjernvarmefaktor_nye_kedler+P12*kraftv_foreg.år_stadion+Q12*el_foreg.år+S12*el_foreg.år</f>
        <v>1866298.7731664339</v>
      </c>
      <c r="U12" s="76">
        <f t="shared" si="4"/>
        <v>1866.2987731664339</v>
      </c>
      <c r="W12" t="s">
        <v>51</v>
      </c>
      <c r="X12" s="5">
        <f t="shared" si="5"/>
        <v>2525.2081459804658</v>
      </c>
      <c r="Y12"/>
      <c r="Z12" s="5">
        <f>'[14]2011, ny beregning'!$C$11</f>
        <v>1848.2545739540496</v>
      </c>
      <c r="AA12"/>
      <c r="AB12" s="5">
        <f>'[14]2011, ny beregning'!$B$12+'[14]2011, ny beregning'!$B$16+'[14]2011, ny beregning'!$B$17</f>
        <v>29.92728006548364</v>
      </c>
      <c r="AC12" s="5">
        <f>'[15]Årsopgørelse (Varme)'!$H$10+'[15]Årsopgørelse (Varme)'!$H$18+'[15]Årsopgørelse (Varme)'!$H$21+'[15]Årsopgørelse (Varme)'!$H$23</f>
        <v>4403.3899999999994</v>
      </c>
      <c r="AD12" s="5">
        <f>[16]El!$E$13+[16]El!$E$16+[16]El!$E$22+[16]El!$E$25</f>
        <v>889.83435033315186</v>
      </c>
      <c r="AE12" s="76">
        <f>(X12*gasfaktor+Y12*fjernvarmefaktor+Z12*Fjernvarmefaktor_nye_kedler+AA12*kraftv_foreg.år_bau_solg+AB12*el_foreg.år+AD12*el_foreg.år)</f>
        <v>1293088.5351353022</v>
      </c>
      <c r="AF12" s="55">
        <f t="shared" si="6"/>
        <v>1293.0885351353022</v>
      </c>
      <c r="AG12" s="11"/>
      <c r="AS12" s="56"/>
      <c r="AT12" s="60"/>
      <c r="AU12" s="60"/>
      <c r="AV12" s="60"/>
      <c r="AW12" s="60"/>
      <c r="AX12" s="60"/>
      <c r="AY12" s="61"/>
      <c r="AZ12" s="77"/>
      <c r="BA12" s="55"/>
      <c r="BB12" s="55"/>
      <c r="BC12" s="56"/>
      <c r="BD12" s="56"/>
      <c r="BE12" s="56"/>
      <c r="BF12" s="56"/>
      <c r="BG12" s="56"/>
      <c r="BH12" s="56"/>
      <c r="BI12" s="56"/>
      <c r="BK12" s="56"/>
    </row>
    <row r="13" spans="1:64" ht="13.5" thickBot="1">
      <c r="A13" t="s">
        <v>51</v>
      </c>
      <c r="B13" s="5">
        <f t="shared" si="0"/>
        <v>2767.3205426172062</v>
      </c>
      <c r="F13" s="5">
        <f>[13]Data!$CD$193+[13]Data!$EJ$179+12.012</f>
        <v>27.869457382793549</v>
      </c>
      <c r="G13" s="5">
        <f>'[13]Årsopgørelse (Varme)'!$G$18+'[13]Årsopgørelse (Varme)'!$G$23+'[13]Årsopgørelse (Varme)'!$G$17</f>
        <v>2795.1899999999996</v>
      </c>
      <c r="H13" s="5">
        <f>('[13]Årsopgørelse (EL)'!$G$18+'[13]Årsopgørelse (EL)'!$G$23)/1000+'[13]Årsopgørelse (EL)'!$G$17/1000</f>
        <v>605.94825000000003</v>
      </c>
      <c r="I13" s="76">
        <f>(B13*gasfaktor+C13*fjernvarmefaktor+F13*el_foreg.år+H13*el_foreg.år)</f>
        <v>756831.73062568007</v>
      </c>
      <c r="J13" s="55">
        <f t="shared" si="1"/>
        <v>756.83173062568005</v>
      </c>
      <c r="K13" s="55">
        <f>B13*gasfaktor+C13*fjernvarmefaktor+D6*Fjernvarmefaktor_nye_kedler+F13*El_opgør.år+H13*El_opgør.år</f>
        <v>1309923.0695153221</v>
      </c>
      <c r="L13" s="55">
        <f t="shared" si="2"/>
        <v>1309.9230695153221</v>
      </c>
      <c r="M13" s="5">
        <f t="shared" si="3"/>
        <v>2821.1843750804105</v>
      </c>
      <c r="Q13" s="5">
        <f>[13]Data!$CD$262+[13]Data!$EJ$248+11.053</f>
        <v>33.955624919589368</v>
      </c>
      <c r="R13" s="5">
        <f>'[13]Årsopgørelse (Varme)'!$H$18+'[13]Årsopgørelse (Varme)'!$H$23+'[13]Årsopgørelse (Varme)'!$H$17</f>
        <v>2855.14</v>
      </c>
      <c r="S13" s="5">
        <f>('[13]Årsopgørelse (EL)'!$H$18+'[13]Årsopgørelse (EL)'!$H$23)/1000+'[13]Årsopgørelse (EL)'!$H$17/1000</f>
        <v>646.12757000000011</v>
      </c>
      <c r="T13" s="55">
        <f>M13*gasfaktor+N13*fjernvarmefaktor+O13*Fjernvarmefaktor_nye_kedler+Q13*el_foreg.år+S13*el_foreg.år</f>
        <v>781843.29188386491</v>
      </c>
      <c r="U13" s="76">
        <f t="shared" si="4"/>
        <v>781.84329188386494</v>
      </c>
      <c r="W13" s="63" t="s">
        <v>60</v>
      </c>
      <c r="X13" s="93">
        <f t="shared" ref="X13:AE13" si="7">SUM(X5:X12)</f>
        <v>22272.31768861465</v>
      </c>
      <c r="Y13" s="93">
        <f t="shared" si="7"/>
        <v>1683.8105779419425</v>
      </c>
      <c r="Z13" s="93">
        <f t="shared" si="7"/>
        <v>3710.099016144562</v>
      </c>
      <c r="AA13" s="93">
        <f t="shared" si="7"/>
        <v>5569.4814748328263</v>
      </c>
      <c r="AB13" s="93">
        <f t="shared" si="7"/>
        <v>177.93924246601546</v>
      </c>
      <c r="AC13" s="93">
        <f t="shared" si="7"/>
        <v>33413.648000000001</v>
      </c>
      <c r="AD13" s="93">
        <f t="shared" si="7"/>
        <v>10139.173593122458</v>
      </c>
      <c r="AE13" s="76">
        <f t="shared" si="7"/>
        <v>10503391.08699964</v>
      </c>
      <c r="AF13" s="55">
        <f t="shared" si="6"/>
        <v>10503.39108699964</v>
      </c>
      <c r="AG13" s="11"/>
      <c r="AS13" s="62"/>
      <c r="AT13" s="62"/>
      <c r="AU13" s="62"/>
      <c r="AV13" s="62"/>
      <c r="AW13" s="62"/>
      <c r="AX13" s="62"/>
      <c r="AY13" s="57"/>
      <c r="AZ13" s="62"/>
      <c r="BA13" s="50"/>
      <c r="BB13" s="50"/>
      <c r="BK13" s="56"/>
    </row>
    <row r="14" spans="1:64" s="26" customFormat="1" ht="13.5" thickBot="1">
      <c r="A14" s="63" t="s">
        <v>60</v>
      </c>
      <c r="B14" s="93">
        <f t="shared" ref="B14:I14" si="8">SUM(B5:B13)</f>
        <v>21852.97634994586</v>
      </c>
      <c r="C14" s="93">
        <f t="shared" si="8"/>
        <v>1656.4240358030468</v>
      </c>
      <c r="D14" s="93">
        <f>SUM(D5:D12)</f>
        <v>3260.7501390269454</v>
      </c>
      <c r="E14" s="93">
        <f t="shared" si="8"/>
        <v>4807.1296707838947</v>
      </c>
      <c r="F14" s="93">
        <f t="shared" si="8"/>
        <v>165.26980444025264</v>
      </c>
      <c r="G14" s="93">
        <f t="shared" si="8"/>
        <v>31742.549999999996</v>
      </c>
      <c r="H14" s="93">
        <f t="shared" si="8"/>
        <v>9581.0119299999988</v>
      </c>
      <c r="I14" s="76">
        <f t="shared" si="8"/>
        <v>9931413.2535972726</v>
      </c>
      <c r="J14" s="55">
        <f t="shared" si="1"/>
        <v>9931.4132535972731</v>
      </c>
      <c r="K14" s="55">
        <f>SUM(K5:K13)</f>
        <v>11143617.452597911</v>
      </c>
      <c r="L14" s="55">
        <f t="shared" si="2"/>
        <v>11143.617452597911</v>
      </c>
      <c r="M14" s="93">
        <f t="shared" ref="M14:S14" si="9">SUM(M5:M13)</f>
        <v>22281.241620157107</v>
      </c>
      <c r="N14" s="93">
        <f t="shared" si="9"/>
        <v>1737.5611987179082</v>
      </c>
      <c r="O14" s="93">
        <f>SUM(O5:O12)</f>
        <v>3339.8888178728484</v>
      </c>
      <c r="P14" s="93">
        <f t="shared" si="9"/>
        <v>4851.5419132856068</v>
      </c>
      <c r="Q14" s="93">
        <f t="shared" si="9"/>
        <v>193.79644996652962</v>
      </c>
      <c r="R14" s="93">
        <f t="shared" si="9"/>
        <v>32404.03</v>
      </c>
      <c r="S14" s="93">
        <f t="shared" si="9"/>
        <v>9934.5108099999998</v>
      </c>
      <c r="T14" s="55">
        <f>SUM(T5:T13)</f>
        <v>10190664.536635792</v>
      </c>
      <c r="U14" s="76">
        <f t="shared" si="4"/>
        <v>10190.664536635792</v>
      </c>
      <c r="V14" s="67"/>
      <c r="W14" s="59" t="s">
        <v>66</v>
      </c>
      <c r="X14" s="5">
        <f>AC14-SUM(Y14:AB14)</f>
        <v>4661.2159877485647</v>
      </c>
      <c r="Y14" s="10"/>
      <c r="Z14" s="10"/>
      <c r="AA14" s="11">
        <f>'[14]2011, ny beregning'!$D$18+'[14]2011, ny beregning'!$D$19+'[14]2011, ny beregning'!$D$20+'[14]2011, ny beregning'!$D$21</f>
        <v>280.04401225143596</v>
      </c>
      <c r="AB14" s="10"/>
      <c r="AC14" s="11">
        <f>'[15]Årsopgørelse (Varme)'!$H$8+'[15]Årsopgørelse (Varme)'!$H$9</f>
        <v>4941.26</v>
      </c>
      <c r="AD14" s="11">
        <f>[16]El!$E$11+[16]El!$E$12</f>
        <v>317.82001117792186</v>
      </c>
      <c r="AE14" s="76">
        <f>(X14*gasfaktor+Y14*fjernvarmefaktor+Z14*Fjernvarmefaktor_nye_kedler+AA14*Kraftv._Beboelse+AB14*el_foreg.år+AD14*el_foreg.år)</f>
        <v>1114821.8347359395</v>
      </c>
      <c r="AF14" s="55">
        <f t="shared" si="6"/>
        <v>1114.8218347359395</v>
      </c>
      <c r="AG14" s="11"/>
      <c r="AS14" s="64"/>
      <c r="AT14" s="64"/>
      <c r="AU14" s="64"/>
      <c r="AV14" s="64"/>
      <c r="AW14" s="64"/>
      <c r="AX14" s="64"/>
      <c r="AY14" s="64"/>
      <c r="AZ14" s="64"/>
      <c r="BA14" s="55"/>
      <c r="BB14" s="67"/>
      <c r="BC14" s="57"/>
      <c r="BD14" s="57"/>
      <c r="BE14" s="57"/>
      <c r="BF14" s="57"/>
      <c r="BG14" s="57"/>
      <c r="BH14" s="57"/>
      <c r="BI14" s="62"/>
      <c r="BJ14" s="50"/>
      <c r="BK14" s="56"/>
      <c r="BL14" s="50"/>
    </row>
    <row r="15" spans="1:64" ht="13.5" thickBot="1">
      <c r="A15" s="59" t="s">
        <v>66</v>
      </c>
      <c r="B15" s="5">
        <f>G15-SUM(C15:F15)</f>
        <v>3402.4741384922254</v>
      </c>
      <c r="C15" s="10"/>
      <c r="D15" s="10"/>
      <c r="E15" s="11">
        <f>[13]Data!$BA$50+[13]Data!$BA$51+[13]Data!$BA$52+[13]Data!$BA$53</f>
        <v>265.78586150777505</v>
      </c>
      <c r="F15" s="10"/>
      <c r="G15" s="11">
        <f>'[13]Årsopgørelse (Varme)'!$G$8+'[13]Årsopgørelse (Varme)'!$G$9</f>
        <v>3668.26</v>
      </c>
      <c r="H15" s="11">
        <f>('[13]Årsopgørelse (EL)'!$G$8+'[13]Årsopgørelse (EL)'!$G$9)/1000</f>
        <v>193.7962</v>
      </c>
      <c r="I15" s="76">
        <f>B15*gasfaktor+E15*Kraftv._Beboelse+H15*el_foreg.år</f>
        <v>816922.89544505219</v>
      </c>
      <c r="J15" s="55">
        <f t="shared" si="1"/>
        <v>816.92289544505218</v>
      </c>
      <c r="K15" s="55">
        <f>B15*gasfaktor+E15*Kraftv._Beboelse+H15*El_opgør.år</f>
        <v>831263.81424505217</v>
      </c>
      <c r="L15" s="55">
        <f t="shared" si="2"/>
        <v>831.26381424505212</v>
      </c>
      <c r="M15" s="5">
        <f>R15-SUM(N15:Q15)</f>
        <v>3301.7130086688294</v>
      </c>
      <c r="N15" s="10"/>
      <c r="O15" s="10"/>
      <c r="P15" s="11">
        <f>[13]Data!$BA$119+[13]Data!$BA$120+[13]Data!$BA$121+[13]Data!$BA$122</f>
        <v>273.21699133117085</v>
      </c>
      <c r="Q15" s="10"/>
      <c r="R15" s="11">
        <f>'[13]Årsopgørelse (Varme)'!$H$8+'[13]Årsopgørelse (Varme)'!$H$9</f>
        <v>3574.9300000000003</v>
      </c>
      <c r="S15" s="11">
        <f>('[13]Årsopgørelse (EL)'!$H$8+'[13]Årsopgørelse (EL)'!$H$9)/1000</f>
        <v>190.81865999999999</v>
      </c>
      <c r="T15" s="55">
        <f>M15*gasfaktor+N15*fjernvarmefaktor+O15*Fjernvarmefaktor_nye_kedler+P15*Kraftv._Beboelse+Q15*el_foreg.år+S15*el_foreg.år</f>
        <v>797239.74139598303</v>
      </c>
      <c r="U15" s="76">
        <f t="shared" si="4"/>
        <v>797.23974139598306</v>
      </c>
      <c r="W15" t="s">
        <v>63</v>
      </c>
      <c r="X15" s="5">
        <f t="shared" ref="X15:AD15" si="10">SUM(X13:X14)</f>
        <v>26933.533676363215</v>
      </c>
      <c r="Y15" s="5">
        <f t="shared" si="10"/>
        <v>1683.8105779419425</v>
      </c>
      <c r="Z15" s="5">
        <f t="shared" si="10"/>
        <v>3710.099016144562</v>
      </c>
      <c r="AA15" s="5">
        <f t="shared" si="10"/>
        <v>5849.5254870842618</v>
      </c>
      <c r="AB15" s="5">
        <f t="shared" si="10"/>
        <v>177.93924246601546</v>
      </c>
      <c r="AC15" s="5">
        <f t="shared" si="10"/>
        <v>38354.908000000003</v>
      </c>
      <c r="AD15" s="5">
        <f t="shared" si="10"/>
        <v>10456.99360430038</v>
      </c>
      <c r="AE15" s="76" t="e">
        <f>(X15*gasfaktor+Y15*fjernvarmefaktor+Z15*Fjernvarmefaktor_nye_kedler+AA6*Kraftv._foreg.år_Virum_Skole+AA9*BAU_Solg_kraftv_foreg_år+AA11*kraftv_foreg.år_stadion+AA14*Kraftv._Beboelse+AB15*el_foreg.år+AD15*el_foreg.år)</f>
        <v>#REF!</v>
      </c>
      <c r="AF15" s="55" t="e">
        <f t="shared" si="6"/>
        <v>#REF!</v>
      </c>
      <c r="AG15" s="11"/>
      <c r="AS15" s="56"/>
      <c r="AT15" s="68"/>
      <c r="AU15" s="68"/>
      <c r="AV15" s="68"/>
      <c r="AW15" s="68"/>
      <c r="AX15" s="68"/>
      <c r="AY15" s="61"/>
      <c r="AZ15" s="78"/>
      <c r="BA15" s="55"/>
      <c r="BB15" s="80"/>
      <c r="BC15" s="56"/>
      <c r="BD15" s="74"/>
      <c r="BE15" s="74"/>
      <c r="BF15" s="74"/>
      <c r="BG15" s="74"/>
      <c r="BH15" s="74"/>
      <c r="BI15" s="74"/>
      <c r="BK15" s="56"/>
    </row>
    <row r="16" spans="1:64" ht="13.5" thickBot="1">
      <c r="A16" t="s">
        <v>63</v>
      </c>
      <c r="B16" s="5">
        <f t="shared" ref="B16:H16" si="11">SUM(B14:B15)</f>
        <v>25255.450488438088</v>
      </c>
      <c r="C16" s="5">
        <f t="shared" si="11"/>
        <v>1656.4240358030468</v>
      </c>
      <c r="D16" s="5">
        <f t="shared" si="11"/>
        <v>3260.7501390269454</v>
      </c>
      <c r="E16" s="5">
        <f t="shared" si="11"/>
        <v>5072.9155322916695</v>
      </c>
      <c r="F16" s="5">
        <f t="shared" si="11"/>
        <v>165.26980444025264</v>
      </c>
      <c r="G16" s="5">
        <f t="shared" si="11"/>
        <v>35410.81</v>
      </c>
      <c r="H16" s="5">
        <f t="shared" si="11"/>
        <v>9774.8081299999994</v>
      </c>
      <c r="I16" s="76" t="e">
        <f>(B16*gasfaktor+C16*fjernvarmefaktor+D16*Fjernvarmefaktor_nye_kedler+E6*Kraftv._foreg.år_Virum_Skole+E9*BAU_Solg_kraftv_foreg_år+E12*kraftv_året_før_stadion+E15*Kraftv._Beboelse+F16*el_foreg.år+H16*el_foreg.år)</f>
        <v>#REF!</v>
      </c>
      <c r="J16" s="55" t="e">
        <f t="shared" si="1"/>
        <v>#REF!</v>
      </c>
      <c r="K16" s="55" t="e">
        <f>B16*gasfaktor+C16*fjernvarmefaktor+D16*Fjernvarmefaktor_nye_kedler+E6*kraftv_opgør.år_virum_sk+E9*BAU_Solg_kraftv_faktor+E12*kraftv_opgør.år_stadion+E15*Kraftv._Beboelse+F16*El_opgør.år+H16*El_opgør.år</f>
        <v>#REF!</v>
      </c>
      <c r="L16" s="55" t="e">
        <f t="shared" si="2"/>
        <v>#REF!</v>
      </c>
      <c r="M16" s="5">
        <f t="shared" ref="M16:S16" si="12">SUM(M14:M15)</f>
        <v>25582.954628825937</v>
      </c>
      <c r="N16" s="5">
        <f t="shared" si="12"/>
        <v>1737.5611987179082</v>
      </c>
      <c r="O16" s="5">
        <f t="shared" si="12"/>
        <v>3339.8888178728484</v>
      </c>
      <c r="P16" s="5">
        <f t="shared" si="12"/>
        <v>5124.7589046167777</v>
      </c>
      <c r="Q16" s="5">
        <f t="shared" si="12"/>
        <v>193.79644996652962</v>
      </c>
      <c r="R16" s="5">
        <f t="shared" si="12"/>
        <v>35978.959999999999</v>
      </c>
      <c r="S16" s="5">
        <f t="shared" si="12"/>
        <v>10125.329470000001</v>
      </c>
      <c r="T16" s="55">
        <f>M16*gasfaktor+N16*fjernvarmefaktor+O16*Fjernvarmefaktor_nye_kedler+P6*Kraftv._foreg.år_Virum_Skole+P9*kraftv_foreg.år_bau_solg+P12*kraftv_foreg.år_stadion+P15*Kraftv._Beboelse+Q16*el_foreg.år+S16*el_foreg.år</f>
        <v>10987904.278031776</v>
      </c>
      <c r="U16" s="76">
        <f t="shared" si="4"/>
        <v>10987.904278031776</v>
      </c>
      <c r="V16" s="11"/>
      <c r="W16" t="s">
        <v>90</v>
      </c>
      <c r="X16" s="5">
        <f>X15*gasfaktor</f>
        <v>5496889.3730395846</v>
      </c>
      <c r="Y16" s="5">
        <f>Y15*fjernvarmefaktor</f>
        <v>488305.0676031633</v>
      </c>
      <c r="Z16" s="5">
        <f>Z15*Fjernvarmefaktor_nye_kedler</f>
        <v>1001726.7343590318</v>
      </c>
      <c r="AA16" s="5" t="e">
        <f>AA6*Kraftv._foreg.år_Virum_Skole+AA9*BAU_Solg_kraftv_foreg_år+AA11*kraftv_foreg.år_stadion+AA14*Kraftv._Beboelse</f>
        <v>#REF!</v>
      </c>
      <c r="AB16" s="5">
        <f>AB15*el_foreg.år</f>
        <v>53915.590467202681</v>
      </c>
      <c r="AC16" s="5" t="e">
        <f>SUM(X16:AB16)</f>
        <v>#REF!</v>
      </c>
      <c r="AD16" s="5">
        <f>AD15*el_foreg.år</f>
        <v>3168469.0621030149</v>
      </c>
      <c r="AE16" s="5" t="e">
        <f>SUM(AC16:AD16)</f>
        <v>#REF!</v>
      </c>
      <c r="AF16" s="55" t="e">
        <f t="shared" si="6"/>
        <v>#REF!</v>
      </c>
      <c r="AG16" s="11"/>
      <c r="AS16" s="56"/>
      <c r="AT16" s="56"/>
      <c r="AU16" s="56"/>
      <c r="AV16" s="56"/>
      <c r="AW16" s="56"/>
      <c r="AX16" s="56"/>
      <c r="AY16" s="58"/>
      <c r="AZ16" s="56"/>
      <c r="BA16" s="65"/>
      <c r="BB16" s="67"/>
      <c r="BK16" s="81"/>
    </row>
    <row r="17" spans="1:63" ht="13.5" thickTop="1">
      <c r="A17" s="106" t="s">
        <v>120</v>
      </c>
      <c r="B17" s="5">
        <f>B16*gasfaktor</f>
        <v>5154407.8496857742</v>
      </c>
      <c r="C17" s="5">
        <f>C16*fjernvarmefaktor</f>
        <v>480362.97038288356</v>
      </c>
      <c r="D17" s="5">
        <f>D16*Fjernvarmefaktor_nye_kedler</f>
        <v>880402.53753727523</v>
      </c>
      <c r="E17" s="5" t="e">
        <f>E6*Kraftv._foreg.år_Virum_Skole+E9*BAU_Solg_kraftv_foreg_år+E12*kraftv_året_før_stadion+E15*Kraftv._Beboelse</f>
        <v>#REF!</v>
      </c>
      <c r="F17" s="5">
        <f>F16*el_foreg.år</f>
        <v>50076.750745396552</v>
      </c>
      <c r="G17" s="5" t="e">
        <f>SUM(B17:F17)</f>
        <v>#REF!</v>
      </c>
      <c r="H17" s="5">
        <f>H16*el_foreg.år</f>
        <v>2961766.8633899996</v>
      </c>
      <c r="I17" s="5" t="e">
        <f>SUM(G17:H17)</f>
        <v>#REF!</v>
      </c>
      <c r="J17" s="55" t="e">
        <f t="shared" si="1"/>
        <v>#REF!</v>
      </c>
      <c r="M17" s="5">
        <f>M16*gasfaktor</f>
        <v>5221248.4674285669</v>
      </c>
      <c r="N17" s="5">
        <f>N16*fjernvarmefaktor</f>
        <v>503892.74762819335</v>
      </c>
      <c r="O17" s="5">
        <f>O16*Fjernvarmefaktor_nye_kedler</f>
        <v>901769.98082566913</v>
      </c>
      <c r="P17" s="5" t="e">
        <f>P6*Kraftv._foreg.år_Virum_Skole+P9*BAU_Solg_kraftv_foreg_år+P12*kraftv_året_før_stadion+P15*Kraftv._Beboelse</f>
        <v>#REF!</v>
      </c>
      <c r="Q17" s="5">
        <f>Q16*el_foreg.år</f>
        <v>58720.324339858475</v>
      </c>
      <c r="R17" s="5" t="e">
        <f>SUM(M17:Q17)</f>
        <v>#REF!</v>
      </c>
      <c r="S17" s="5">
        <f>S16*el_foreg.år</f>
        <v>3067974.8294100002</v>
      </c>
      <c r="T17" s="55" t="e">
        <f>R17+S17</f>
        <v>#REF!</v>
      </c>
      <c r="U17" s="76" t="e">
        <f t="shared" si="4"/>
        <v>#REF!</v>
      </c>
      <c r="W17" t="s">
        <v>16</v>
      </c>
      <c r="X17"/>
      <c r="Y17"/>
      <c r="Z17"/>
      <c r="AA17"/>
      <c r="AB17"/>
      <c r="AC17" s="5"/>
      <c r="AD17" s="5">
        <f>[16]El!$E$30</f>
        <v>2643.623</v>
      </c>
      <c r="AE17" s="5">
        <f>AD17*el_foreg.år</f>
        <v>801017.76899999997</v>
      </c>
      <c r="AF17" s="55">
        <f t="shared" si="6"/>
        <v>801.01776899999993</v>
      </c>
      <c r="AG17" s="11"/>
      <c r="AS17" s="56"/>
      <c r="AT17" s="56"/>
      <c r="AU17" s="56"/>
      <c r="AV17" s="56"/>
      <c r="AW17" s="56"/>
      <c r="AX17" s="56"/>
      <c r="AY17" s="66"/>
      <c r="AZ17" s="56"/>
      <c r="BA17" s="67"/>
      <c r="BB17" s="67"/>
    </row>
    <row r="18" spans="1:63">
      <c r="A18" s="106" t="s">
        <v>121</v>
      </c>
      <c r="B18" s="5">
        <f>B16*gasfaktor</f>
        <v>5154407.8496857742</v>
      </c>
      <c r="C18" s="5">
        <f>C16*fjernvarmefaktor</f>
        <v>480362.97038288356</v>
      </c>
      <c r="D18" s="5">
        <f>D16*Fjernvarmefaktor_nye_kedler</f>
        <v>880402.53753727523</v>
      </c>
      <c r="E18" s="5" t="e">
        <f>E6*kraftv_opgør.år_virum_sk+E9*BAU_Solg_kraftv_faktor+E12*kraftv_opgør.år_stadion+E15*Kraftv._Beboelse</f>
        <v>#REF!</v>
      </c>
      <c r="F18" s="5">
        <f>F16*El_opgør.år</f>
        <v>62306.716273975246</v>
      </c>
      <c r="G18" s="5" t="e">
        <f>SUM(B18:F18)</f>
        <v>#REF!</v>
      </c>
      <c r="H18" s="5">
        <f>H16*El_opgør.år</f>
        <v>3685102.6650099996</v>
      </c>
      <c r="I18" s="5"/>
      <c r="J18" s="55"/>
      <c r="K18" s="55" t="e">
        <f>G18+H18</f>
        <v>#REF!</v>
      </c>
      <c r="L18" s="55" t="e">
        <f>K18/1000</f>
        <v>#REF!</v>
      </c>
      <c r="M18" s="5"/>
      <c r="N18" s="5"/>
      <c r="O18" s="5"/>
      <c r="P18" s="5"/>
      <c r="Q18" s="5"/>
      <c r="R18" s="5"/>
      <c r="S18" s="5"/>
      <c r="T18" s="55"/>
      <c r="U18" s="76"/>
      <c r="W18" t="s">
        <v>68</v>
      </c>
      <c r="X18" s="5"/>
      <c r="Y18"/>
      <c r="Z18"/>
      <c r="AA18"/>
      <c r="AB18"/>
      <c r="AC18" s="48"/>
      <c r="AD18" s="5">
        <f>[16]El!$E$28</f>
        <v>802.50199999999995</v>
      </c>
      <c r="AE18" s="5">
        <f>AD18*el_foreg.år</f>
        <v>243158.106</v>
      </c>
      <c r="AF18" s="55">
        <f t="shared" si="6"/>
        <v>243.158106</v>
      </c>
      <c r="AG18" s="11"/>
      <c r="AS18" s="83"/>
      <c r="AT18" s="83"/>
      <c r="AU18" s="83"/>
      <c r="AV18" s="83"/>
      <c r="AW18" s="11"/>
      <c r="AX18" s="83"/>
      <c r="AY18" s="66"/>
      <c r="AZ18" s="6"/>
      <c r="BA18" s="67"/>
      <c r="BB18" s="67"/>
    </row>
    <row r="19" spans="1:63" ht="13.5" thickBot="1">
      <c r="A19" t="s">
        <v>16</v>
      </c>
      <c r="F19" s="5">
        <f>'[13]Årsopgørelse (EL)'!$G$25/1000</f>
        <v>2195.373</v>
      </c>
      <c r="G19" s="5"/>
      <c r="H19" s="5"/>
      <c r="I19" s="5">
        <f>F19*el_foreg.år</f>
        <v>665198.01899999997</v>
      </c>
      <c r="J19" s="55">
        <f t="shared" ref="J19:J31" si="13">I19/1000</f>
        <v>665.19801899999993</v>
      </c>
      <c r="K19" s="55">
        <f>F19*El_opgør.år</f>
        <v>827655.62100000004</v>
      </c>
      <c r="L19" s="55">
        <f>K19/1000</f>
        <v>827.655621</v>
      </c>
      <c r="R19" s="5"/>
      <c r="S19" s="5">
        <f>[18]Ark1!$G$2/1000</f>
        <v>2560</v>
      </c>
      <c r="T19" s="55">
        <f>S19*el_foreg.år</f>
        <v>775680</v>
      </c>
      <c r="U19" s="76">
        <f>T19/1000</f>
        <v>775.68</v>
      </c>
      <c r="W19" t="s">
        <v>71</v>
      </c>
      <c r="X19"/>
      <c r="Y19"/>
      <c r="Z19"/>
      <c r="AA19"/>
      <c r="AB19"/>
      <c r="AC19"/>
      <c r="AD19" s="5">
        <f>[19]Ark1!$L$29</f>
        <v>2760.3201600000002</v>
      </c>
      <c r="AE19" s="5">
        <f>AD19*el_foreg.år</f>
        <v>836377.00848000008</v>
      </c>
      <c r="AF19" s="55">
        <f t="shared" si="6"/>
        <v>836.37700848000009</v>
      </c>
      <c r="AG19" s="11"/>
      <c r="AS19" s="68"/>
      <c r="AT19" s="68"/>
      <c r="AU19" s="68"/>
      <c r="AV19" s="68"/>
      <c r="AX19" s="68"/>
      <c r="AY19" s="69"/>
      <c r="AZ19" s="6"/>
      <c r="BA19" s="50"/>
      <c r="BB19" s="50"/>
      <c r="BC19"/>
      <c r="BJ19" s="6"/>
    </row>
    <row r="20" spans="1:63">
      <c r="A20" t="s">
        <v>68</v>
      </c>
      <c r="B20" s="5"/>
      <c r="F20" s="5">
        <f>'[13]Årsopgørelse (EL)'!$G$28/1000</f>
        <v>725.95799999999997</v>
      </c>
      <c r="G20" s="48"/>
      <c r="H20" s="5"/>
      <c r="I20" s="5">
        <f>F20*el_foreg.år</f>
        <v>219965.274</v>
      </c>
      <c r="J20" s="55">
        <f t="shared" si="13"/>
        <v>219.96527399999999</v>
      </c>
      <c r="K20" s="55">
        <f>F20*El_opgør.år</f>
        <v>273686.16599999997</v>
      </c>
      <c r="L20" s="55">
        <f>K20/1000</f>
        <v>273.68616599999996</v>
      </c>
      <c r="M20" s="5"/>
      <c r="R20" s="48"/>
      <c r="S20" s="5">
        <f>[18]Ark1!$G$12/1000</f>
        <v>704.29</v>
      </c>
      <c r="T20" s="55">
        <f>S20*el_foreg.år</f>
        <v>213399.87</v>
      </c>
      <c r="U20" s="76">
        <f>T20/1000</f>
        <v>213.39986999999999</v>
      </c>
      <c r="W20" s="5" t="s">
        <v>75</v>
      </c>
      <c r="X20" s="5">
        <f>2045*0.011</f>
        <v>22.494999999999997</v>
      </c>
      <c r="Y20" s="5"/>
      <c r="Z20" s="5"/>
      <c r="AA20" s="5"/>
      <c r="AB20" s="5"/>
      <c r="AC20" s="5"/>
      <c r="AD20" s="5">
        <v>36.564999999999998</v>
      </c>
      <c r="AE20" s="5">
        <f>X20*gasfaktor+AD20*el_foreg.år</f>
        <v>15670.220000000001</v>
      </c>
      <c r="AF20" s="55">
        <f t="shared" si="6"/>
        <v>15.67022</v>
      </c>
      <c r="AG20" s="11"/>
      <c r="AS20" s="56"/>
      <c r="AT20" s="56"/>
      <c r="AU20" s="56"/>
      <c r="AV20" s="56"/>
      <c r="AW20" s="56"/>
      <c r="AX20" s="56"/>
      <c r="AY20" s="66"/>
      <c r="AZ20" s="6"/>
      <c r="BA20" s="50"/>
      <c r="BB20" s="50"/>
      <c r="BC20"/>
      <c r="BJ20" s="6"/>
    </row>
    <row r="21" spans="1:63">
      <c r="A21" t="s">
        <v>71</v>
      </c>
      <c r="F21" s="5">
        <f>'[13]Årsopgørelse (EL)'!$G$29/1000</f>
        <v>3276.8961200000003</v>
      </c>
      <c r="H21" s="5"/>
      <c r="I21" s="5">
        <f>F21*el_foreg.år</f>
        <v>992899.52436000016</v>
      </c>
      <c r="J21" s="55">
        <f t="shared" si="13"/>
        <v>992.8995243600001</v>
      </c>
      <c r="K21" s="55">
        <f>F21*El_opgør.år</f>
        <v>1235389.83724</v>
      </c>
      <c r="L21" s="55">
        <f>K21/1000</f>
        <v>1235.3898372400001</v>
      </c>
      <c r="S21" s="5">
        <f>([18]Ark1!$G$24*0.52+[18]Ark1!$N$59)/1000</f>
        <v>2894.45892</v>
      </c>
      <c r="T21" s="55">
        <f>S21*el_foreg.år</f>
        <v>877021.05275999999</v>
      </c>
      <c r="U21" s="76">
        <f>T21/1000</f>
        <v>877.02105275999998</v>
      </c>
      <c r="W21"/>
      <c r="X21"/>
      <c r="Y21"/>
      <c r="Z21"/>
      <c r="AA21"/>
      <c r="AB21"/>
      <c r="AC21"/>
      <c r="AD21"/>
      <c r="AE21"/>
      <c r="AF21" s="55">
        <f t="shared" si="6"/>
        <v>0</v>
      </c>
      <c r="AG21" s="11"/>
      <c r="AS21" s="56"/>
      <c r="AT21" s="56"/>
      <c r="AU21" s="56"/>
      <c r="AV21" s="56"/>
      <c r="AW21" s="56"/>
      <c r="AX21" s="56"/>
      <c r="AY21" s="66"/>
      <c r="AZ21" s="6"/>
      <c r="BA21" s="50"/>
      <c r="BB21" s="50"/>
      <c r="BC21"/>
      <c r="BJ21" s="6"/>
    </row>
    <row r="22" spans="1:63" s="5" customFormat="1" ht="13.5" thickBot="1">
      <c r="A22" s="5" t="s">
        <v>75</v>
      </c>
      <c r="B22" s="5">
        <f>'[13]Årsopgørelse (Varme)'!$G$26</f>
        <v>18.798999999999999</v>
      </c>
      <c r="H22" s="5">
        <f>'[13]Årsopgørelse (EL)'!$G$30/1000</f>
        <v>42.917000000000002</v>
      </c>
      <c r="I22" s="5">
        <f>B22*gasfaktor+H22*el_foreg.år</f>
        <v>16840.556</v>
      </c>
      <c r="J22" s="55">
        <f t="shared" si="13"/>
        <v>16.840555999999999</v>
      </c>
      <c r="K22" s="55">
        <f>B22*gasfaktor+H22*El_opgør.år</f>
        <v>20016.414000000001</v>
      </c>
      <c r="L22" s="55">
        <f>K22/1000</f>
        <v>20.016414000000001</v>
      </c>
      <c r="M22" s="5">
        <f>[20]Ark1!$B$5*0.011</f>
        <v>23.407999999999998</v>
      </c>
      <c r="S22" s="5">
        <f>[20]Ark1!$B$3/1000</f>
        <v>43</v>
      </c>
      <c r="T22" s="55">
        <f>M22*gasfaktor+S22*el_foreg.år</f>
        <v>17806.36</v>
      </c>
      <c r="U22" s="76">
        <f>T22/1000</f>
        <v>17.806360000000002</v>
      </c>
      <c r="V22" s="11"/>
      <c r="W22" s="70" t="s">
        <v>97</v>
      </c>
      <c r="X22" s="69" t="s">
        <v>64</v>
      </c>
      <c r="Y22" s="69"/>
      <c r="Z22" s="69" t="s">
        <v>65</v>
      </c>
      <c r="AA22" s="70"/>
      <c r="AB22" s="70" t="s">
        <v>93</v>
      </c>
      <c r="AC22" s="70" t="s">
        <v>72</v>
      </c>
      <c r="AD22" s="70" t="s">
        <v>73</v>
      </c>
      <c r="AE22" s="26"/>
      <c r="AF22" s="55">
        <f t="shared" si="6"/>
        <v>0</v>
      </c>
      <c r="AG22" s="11"/>
      <c r="AS22" s="83"/>
      <c r="AT22" s="83"/>
      <c r="AU22" s="83"/>
      <c r="AV22" s="83"/>
      <c r="AW22" s="83"/>
      <c r="AX22" s="83"/>
      <c r="AY22" s="66"/>
      <c r="AZ22" s="84"/>
      <c r="BA22" s="50"/>
      <c r="BB22" s="50"/>
      <c r="BJ22" s="11"/>
    </row>
    <row r="23" spans="1:63" ht="13.5" thickBot="1">
      <c r="J23" s="55">
        <f t="shared" si="13"/>
        <v>0</v>
      </c>
      <c r="K23" s="55"/>
      <c r="L23" s="55"/>
      <c r="T23" s="55"/>
      <c r="U23" s="76"/>
      <c r="W23" s="119" t="s">
        <v>91</v>
      </c>
      <c r="X23" s="122">
        <v>49450</v>
      </c>
      <c r="Y23" s="122"/>
      <c r="Z23" s="122"/>
      <c r="AA23" s="122"/>
      <c r="AB23" s="122"/>
      <c r="AC23" s="122">
        <f>X23*benzinfaktor</f>
        <v>118680</v>
      </c>
      <c r="AD23" s="122">
        <f>AC23/1000</f>
        <v>118.68</v>
      </c>
      <c r="AE23" s="26"/>
      <c r="AF23" s="55"/>
      <c r="AG23" s="11"/>
      <c r="AS23" s="83"/>
      <c r="AT23" s="83"/>
      <c r="AU23" s="83"/>
      <c r="AV23" s="83"/>
      <c r="AW23" s="83"/>
      <c r="AX23" s="83"/>
      <c r="AY23" s="66"/>
      <c r="AZ23" s="84"/>
      <c r="BA23" s="50"/>
      <c r="BB23" s="50"/>
      <c r="BC23"/>
      <c r="BJ23" s="11"/>
    </row>
    <row r="24" spans="1:63" s="26" customFormat="1" ht="13.5" thickBot="1">
      <c r="A24" s="70" t="s">
        <v>97</v>
      </c>
      <c r="B24" s="66" t="s">
        <v>64</v>
      </c>
      <c r="C24" s="66"/>
      <c r="D24" s="66" t="s">
        <v>65</v>
      </c>
      <c r="E24" s="150" t="s">
        <v>118</v>
      </c>
      <c r="F24" s="151" t="s">
        <v>93</v>
      </c>
      <c r="G24" s="151" t="s">
        <v>72</v>
      </c>
      <c r="H24" s="70"/>
      <c r="J24" s="55">
        <f t="shared" si="13"/>
        <v>0</v>
      </c>
      <c r="K24" s="55"/>
      <c r="L24" s="55"/>
      <c r="M24" s="66" t="s">
        <v>64</v>
      </c>
      <c r="N24" s="66"/>
      <c r="O24" s="66" t="s">
        <v>65</v>
      </c>
      <c r="P24" s="28"/>
      <c r="Q24" s="28" t="s">
        <v>93</v>
      </c>
      <c r="R24" s="28" t="s">
        <v>72</v>
      </c>
      <c r="S24" s="70"/>
      <c r="T24" s="55"/>
      <c r="U24" s="76"/>
      <c r="V24" s="28"/>
      <c r="W24" s="119" t="s">
        <v>100</v>
      </c>
      <c r="X24" s="122">
        <f>'[21]Drivmidler 1999'!$I$54-X23</f>
        <v>26800</v>
      </c>
      <c r="Y24" s="122"/>
      <c r="Z24" s="122">
        <f>'[21]Drivmidler 1999'!$H$54</f>
        <v>126764</v>
      </c>
      <c r="AA24" s="122"/>
      <c r="AB24" s="122"/>
      <c r="AC24" s="122">
        <f>X24*benzinfaktor+Z24*dieselfaktor</f>
        <v>400244.6</v>
      </c>
      <c r="AD24" s="122">
        <f t="shared" ref="AD24:AD30" si="14">AC24/1000</f>
        <v>400.24459999999999</v>
      </c>
      <c r="AF24" s="55"/>
      <c r="AG24" s="67"/>
      <c r="AS24" s="69"/>
      <c r="AT24" s="69"/>
      <c r="AU24" s="69"/>
      <c r="AV24" s="69"/>
      <c r="AW24" s="69"/>
      <c r="AX24" s="69"/>
      <c r="AY24" s="69"/>
      <c r="AZ24" s="69"/>
      <c r="BA24" s="50"/>
      <c r="BB24" s="50"/>
      <c r="BC24" s="69"/>
      <c r="BD24" s="69"/>
      <c r="BE24" s="69"/>
      <c r="BF24" s="50"/>
      <c r="BG24" s="50"/>
      <c r="BH24" s="50"/>
      <c r="BI24" s="50"/>
      <c r="BJ24" s="50"/>
      <c r="BK24" s="50"/>
    </row>
    <row r="25" spans="1:63" s="26" customFormat="1" ht="13.5" thickBot="1">
      <c r="A25" s="119" t="s">
        <v>91</v>
      </c>
      <c r="B25" s="141">
        <f>[22]Ark1!$F$7</f>
        <v>51226.521531860795</v>
      </c>
      <c r="C25" s="141"/>
      <c r="D25" s="141"/>
      <c r="E25" s="141"/>
      <c r="F25" s="141"/>
      <c r="G25" s="141">
        <f>B25*benzinfaktor+D25*dieselfaktor</f>
        <v>122943.6516764659</v>
      </c>
      <c r="H25" s="122"/>
      <c r="I25" s="50">
        <f>G25</f>
        <v>122943.6516764659</v>
      </c>
      <c r="J25" s="55">
        <f t="shared" si="13"/>
        <v>122.9436516764659</v>
      </c>
      <c r="K25" s="55">
        <f>G25</f>
        <v>122943.6516764659</v>
      </c>
      <c r="L25" s="55">
        <f t="shared" ref="L25:L31" si="15">K25/1000</f>
        <v>122.9436516764659</v>
      </c>
      <c r="M25" s="141">
        <f>[23]Ark1!$E$8</f>
        <v>54783</v>
      </c>
      <c r="N25" s="141"/>
      <c r="O25" s="141"/>
      <c r="P25" s="141"/>
      <c r="Q25" s="141"/>
      <c r="R25" s="141">
        <f>M25*benzinfaktor+O25*dieselfaktor</f>
        <v>131479.19999999998</v>
      </c>
      <c r="S25" s="122"/>
      <c r="T25" s="55">
        <f>R25</f>
        <v>131479.19999999998</v>
      </c>
      <c r="U25" s="76">
        <f t="shared" ref="U25:U31" si="16">T25/1000</f>
        <v>131.47919999999999</v>
      </c>
      <c r="V25" s="28"/>
      <c r="W25" s="105" t="s">
        <v>92</v>
      </c>
      <c r="X25" s="67"/>
      <c r="Y25" s="122"/>
      <c r="Z25" s="122"/>
      <c r="AA25" s="122"/>
      <c r="AB25" s="122">
        <f>[24]Ark1!$I$23</f>
        <v>286175</v>
      </c>
      <c r="AC25" s="122">
        <f>AB25*Kørsel_i_privatbiler</f>
        <v>37775.1</v>
      </c>
      <c r="AD25" s="122">
        <f t="shared" si="14"/>
        <v>37.775100000000002</v>
      </c>
      <c r="AF25" s="55"/>
      <c r="AG25" s="67"/>
      <c r="AS25" s="118"/>
      <c r="AT25" s="69"/>
      <c r="AU25" s="118"/>
      <c r="AV25" s="69"/>
      <c r="AW25" s="69"/>
      <c r="AX25" s="69"/>
      <c r="AY25" s="69"/>
      <c r="AZ25" s="69"/>
      <c r="BA25" s="50"/>
      <c r="BB25" s="50"/>
      <c r="BC25" s="67"/>
      <c r="BD25" s="67"/>
      <c r="BE25" s="67"/>
      <c r="BF25" s="50"/>
      <c r="BG25" s="50"/>
      <c r="BH25" s="50"/>
      <c r="BI25" s="50"/>
      <c r="BJ25" s="50"/>
      <c r="BK25" s="50"/>
    </row>
    <row r="26" spans="1:63" s="26" customFormat="1" ht="13.5" thickBot="1">
      <c r="A26" s="119" t="s">
        <v>102</v>
      </c>
      <c r="B26" s="55">
        <f>[25]AccountReport!$B$4</f>
        <v>19739.66</v>
      </c>
      <c r="C26" s="141"/>
      <c r="D26" s="141">
        <f>[25]AccountReport!$B$5</f>
        <v>122336.84</v>
      </c>
      <c r="E26" s="141"/>
      <c r="F26" s="141"/>
      <c r="G26" s="141">
        <f>B26*benzinfaktor+D26*dieselfaktor</f>
        <v>371567.81</v>
      </c>
      <c r="H26" s="122"/>
      <c r="I26" s="50">
        <f>G26</f>
        <v>371567.81</v>
      </c>
      <c r="J26" s="55">
        <f t="shared" si="13"/>
        <v>371.56781000000001</v>
      </c>
      <c r="K26" s="55">
        <f>G26</f>
        <v>371567.81</v>
      </c>
      <c r="L26" s="55">
        <f t="shared" si="15"/>
        <v>371.56781000000001</v>
      </c>
      <c r="M26" s="55">
        <f>[23]Ark1!$C$47+[23]Ark1!$D$47</f>
        <v>22938</v>
      </c>
      <c r="N26" s="141"/>
      <c r="O26" s="141">
        <f>[23]Ark1!$B$47</f>
        <v>130589</v>
      </c>
      <c r="P26" s="141"/>
      <c r="Q26" s="141"/>
      <c r="R26" s="141">
        <f>M26*benzinfaktor+O26*dieselfaktor</f>
        <v>401112.05</v>
      </c>
      <c r="S26" s="122"/>
      <c r="T26" s="55">
        <f t="shared" ref="T26:T31" si="17">R26</f>
        <v>401112.05</v>
      </c>
      <c r="U26" s="76">
        <f t="shared" si="16"/>
        <v>401.11205000000001</v>
      </c>
      <c r="V26" s="28"/>
      <c r="W26" s="123" t="s">
        <v>96</v>
      </c>
      <c r="X26" s="124">
        <f>SUM(X23:X25)</f>
        <v>76250</v>
      </c>
      <c r="Y26" s="124"/>
      <c r="Z26" s="124">
        <f>SUM(Z23:Z25)</f>
        <v>126764</v>
      </c>
      <c r="AA26" s="124"/>
      <c r="AB26" s="124"/>
      <c r="AC26" s="124">
        <f>SUM(AC23:AC25)</f>
        <v>556699.69999999995</v>
      </c>
      <c r="AD26" s="122">
        <f t="shared" si="14"/>
        <v>556.69970000000001</v>
      </c>
      <c r="AE26" s="55" t="e">
        <f>X26*#REF!+X45*Z26</f>
        <v>#REF!</v>
      </c>
      <c r="AF26" s="55" t="e">
        <f t="shared" si="6"/>
        <v>#REF!</v>
      </c>
      <c r="AG26" s="67"/>
      <c r="AS26" s="118"/>
      <c r="AT26" s="69"/>
      <c r="AU26" s="118"/>
      <c r="AV26" s="69"/>
      <c r="AW26" s="69"/>
      <c r="AX26" s="69"/>
      <c r="AY26" s="69"/>
      <c r="AZ26" s="69"/>
      <c r="BA26" s="50"/>
      <c r="BB26" s="50"/>
      <c r="BC26" s="67"/>
      <c r="BD26" s="67"/>
      <c r="BE26" s="67"/>
      <c r="BF26" s="50"/>
      <c r="BG26" s="50"/>
      <c r="BH26" s="50"/>
      <c r="BI26" s="50"/>
      <c r="BJ26" s="50"/>
      <c r="BK26" s="50"/>
    </row>
    <row r="27" spans="1:63" s="26" customFormat="1" ht="13.5" thickBot="1">
      <c r="A27" s="119" t="s">
        <v>92</v>
      </c>
      <c r="B27" s="61"/>
      <c r="C27" s="149"/>
      <c r="D27" s="149"/>
      <c r="E27" s="149"/>
      <c r="F27" s="149">
        <f>[26]Ark1!$B$32+[26]Ark1!$D$32</f>
        <v>288711.5171</v>
      </c>
      <c r="G27" s="149">
        <f>F27*Kørsel_i_privatbiler</f>
        <v>38109.920257199999</v>
      </c>
      <c r="H27" s="148"/>
      <c r="I27" s="50">
        <f>G27</f>
        <v>38109.920257199999</v>
      </c>
      <c r="J27" s="55">
        <f t="shared" si="13"/>
        <v>38.109920257200002</v>
      </c>
      <c r="K27" s="55">
        <f>G27</f>
        <v>38109.920257199999</v>
      </c>
      <c r="L27" s="55">
        <f t="shared" si="15"/>
        <v>38.109920257200002</v>
      </c>
      <c r="M27" s="55"/>
      <c r="N27" s="141"/>
      <c r="O27" s="141"/>
      <c r="P27" s="141"/>
      <c r="Q27" s="141">
        <f>[24]Ark1!$I$21</f>
        <v>212453.20857142858</v>
      </c>
      <c r="R27" s="141">
        <f>Q27*Kørsel_i_privatbiler</f>
        <v>28043.823531428574</v>
      </c>
      <c r="S27" s="122"/>
      <c r="T27" s="55">
        <f t="shared" si="17"/>
        <v>28043.823531428574</v>
      </c>
      <c r="U27" s="76">
        <f t="shared" si="16"/>
        <v>28.043823531428576</v>
      </c>
      <c r="V27" s="28"/>
      <c r="W27"/>
      <c r="X27"/>
      <c r="Y27"/>
      <c r="Z27"/>
      <c r="AA27"/>
      <c r="AB27"/>
      <c r="AC27"/>
      <c r="AD27" s="122">
        <f t="shared" si="14"/>
        <v>0</v>
      </c>
      <c r="AE27" s="65" t="e">
        <f>SUM(AE16:AE26)</f>
        <v>#REF!</v>
      </c>
      <c r="AF27" s="58" t="e">
        <f t="shared" si="6"/>
        <v>#REF!</v>
      </c>
      <c r="AG27" s="67"/>
      <c r="AS27" s="118"/>
      <c r="AT27" s="69"/>
      <c r="AU27" s="118"/>
      <c r="AV27" s="69"/>
      <c r="AW27" s="69"/>
      <c r="AX27" s="69"/>
      <c r="AY27" s="69"/>
      <c r="AZ27" s="69"/>
      <c r="BA27" s="50"/>
      <c r="BB27" s="50"/>
      <c r="BC27" s="67"/>
      <c r="BD27" s="67"/>
      <c r="BE27" s="67"/>
      <c r="BF27" s="50"/>
      <c r="BG27" s="50"/>
      <c r="BH27" s="50"/>
      <c r="BI27" s="50"/>
      <c r="BJ27" s="50"/>
      <c r="BK27" s="50"/>
    </row>
    <row r="28" spans="1:63" s="26" customFormat="1" ht="13.5" thickBot="1">
      <c r="A28" s="147" t="s">
        <v>116</v>
      </c>
      <c r="C28" s="142"/>
      <c r="D28" s="142"/>
      <c r="E28" s="80">
        <f>'[13]Årsopgørelse (EL)'!$G$27</f>
        <v>3595.96</v>
      </c>
      <c r="F28" s="142"/>
      <c r="G28" s="142"/>
      <c r="H28" s="122"/>
      <c r="I28" s="162">
        <f>E28*el_foreg.år/1000</f>
        <v>1089.5758800000001</v>
      </c>
      <c r="J28" s="55">
        <f t="shared" si="13"/>
        <v>1.0895758800000002</v>
      </c>
      <c r="K28" s="55">
        <f>E28*El_opgør.år/1000</f>
        <v>1355.6769199999999</v>
      </c>
      <c r="L28" s="55">
        <f t="shared" si="15"/>
        <v>1.3556769199999998</v>
      </c>
      <c r="M28" s="80"/>
      <c r="N28" s="142"/>
      <c r="O28" s="142"/>
      <c r="P28" s="142"/>
      <c r="Q28" s="142"/>
      <c r="R28" s="142"/>
      <c r="S28" s="122"/>
      <c r="T28" s="55"/>
      <c r="U28" s="76"/>
      <c r="V28" s="28"/>
      <c r="W28" s="70" t="s">
        <v>98</v>
      </c>
      <c r="X28" s="5">
        <f>'[21]Drivmidler 1999'!$I$55</f>
        <v>2470.6916268378991</v>
      </c>
      <c r="Y28"/>
      <c r="Z28" s="5">
        <f>'[21]Drivmidler 1999'!$H$55</f>
        <v>48357.308373162101</v>
      </c>
      <c r="AA28"/>
      <c r="AB28"/>
      <c r="AC28" s="124">
        <f>X28*benzinfaktor+Z28*dieselfaktor</f>
        <v>134076.52709329053</v>
      </c>
      <c r="AD28" s="122">
        <f t="shared" si="14"/>
        <v>134.07652709329054</v>
      </c>
      <c r="AE28" s="67"/>
      <c r="AF28" s="67"/>
      <c r="AG28" s="67"/>
      <c r="AS28" s="118"/>
      <c r="AT28" s="69"/>
      <c r="AU28" s="118"/>
      <c r="AV28" s="69"/>
      <c r="AW28" s="69"/>
      <c r="AX28" s="69"/>
      <c r="AY28" s="69"/>
      <c r="AZ28" s="69"/>
      <c r="BA28" s="50"/>
      <c r="BB28" s="50"/>
      <c r="BC28" s="67"/>
      <c r="BD28" s="67"/>
      <c r="BE28" s="67"/>
      <c r="BF28" s="50"/>
      <c r="BG28" s="50"/>
      <c r="BH28" s="50"/>
      <c r="BI28" s="50"/>
      <c r="BJ28" s="50"/>
      <c r="BK28" s="50"/>
    </row>
    <row r="29" spans="1:63" ht="13.5" thickBot="1">
      <c r="A29" s="123" t="s">
        <v>96</v>
      </c>
      <c r="B29" s="58"/>
      <c r="C29" s="58"/>
      <c r="D29" s="58"/>
      <c r="E29" s="58"/>
      <c r="F29" s="58"/>
      <c r="G29" s="58">
        <f>SUM(G25:G27)</f>
        <v>532621.38193366595</v>
      </c>
      <c r="H29" s="67"/>
      <c r="I29" s="55">
        <f>SUM(I25:I28)</f>
        <v>533710.95781366597</v>
      </c>
      <c r="J29" s="55">
        <f t="shared" si="13"/>
        <v>533.71095781366591</v>
      </c>
      <c r="K29" s="55">
        <f>SUM(K25:K28)</f>
        <v>533977.05885366595</v>
      </c>
      <c r="L29" s="55">
        <f t="shared" si="15"/>
        <v>533.97705885366599</v>
      </c>
      <c r="M29" s="58">
        <f>SUM(M25:M27)</f>
        <v>77721</v>
      </c>
      <c r="N29" s="58"/>
      <c r="O29" s="58">
        <f>SUM(O25:O27)</f>
        <v>130589</v>
      </c>
      <c r="P29" s="58"/>
      <c r="Q29" s="58">
        <f>SUM(Q25:Q27)</f>
        <v>212453.20857142858</v>
      </c>
      <c r="R29" s="58">
        <f>SUM(R25:R27)</f>
        <v>560635.07353142858</v>
      </c>
      <c r="S29" s="67"/>
      <c r="T29" s="55">
        <f t="shared" si="17"/>
        <v>560635.07353142858</v>
      </c>
      <c r="U29" s="76">
        <f>T29/1000</f>
        <v>560.63507353142859</v>
      </c>
      <c r="V29" s="28"/>
      <c r="AD29" s="122">
        <f t="shared" si="14"/>
        <v>0</v>
      </c>
      <c r="AE29" s="67"/>
      <c r="AG29" s="11"/>
      <c r="AS29" s="6"/>
      <c r="AT29" s="68"/>
      <c r="AU29" s="6"/>
      <c r="AV29" s="68"/>
      <c r="AW29" s="68"/>
      <c r="AX29" s="68"/>
      <c r="AY29" s="69"/>
      <c r="AZ29" s="68"/>
      <c r="BA29" s="50"/>
      <c r="BB29" s="50"/>
    </row>
    <row r="30" spans="1:63" ht="14.25" thickTop="1" thickBot="1">
      <c r="B30" s="137"/>
      <c r="C30" s="137"/>
      <c r="D30" s="137"/>
      <c r="E30" s="137"/>
      <c r="F30" s="137"/>
      <c r="G30" s="137"/>
      <c r="I30" s="65" t="e">
        <f>SUM(I17:I29)</f>
        <v>#REF!</v>
      </c>
      <c r="J30" s="58" t="e">
        <f t="shared" si="13"/>
        <v>#REF!</v>
      </c>
      <c r="K30" s="58" t="e">
        <f>SUM(K18:K29)</f>
        <v>#REF!</v>
      </c>
      <c r="L30" s="58" t="e">
        <f t="shared" si="15"/>
        <v>#REF!</v>
      </c>
      <c r="M30" s="137"/>
      <c r="N30" s="137"/>
      <c r="O30" s="137"/>
      <c r="P30" s="137"/>
      <c r="Q30" s="137"/>
      <c r="R30" s="137"/>
      <c r="T30" s="55"/>
      <c r="U30" s="76"/>
      <c r="W30" s="125" t="s">
        <v>101</v>
      </c>
      <c r="AC30" s="11">
        <f>AC26+AC28</f>
        <v>690776.22709329054</v>
      </c>
      <c r="AD30" s="122">
        <f t="shared" si="14"/>
        <v>690.77622709329057</v>
      </c>
      <c r="AG30" s="11"/>
      <c r="AS30" s="56"/>
      <c r="AT30" s="56"/>
      <c r="AU30" s="56"/>
      <c r="AV30" s="56"/>
      <c r="AW30" s="56"/>
      <c r="AX30" s="56"/>
      <c r="AY30" s="66"/>
      <c r="AZ30" s="56"/>
      <c r="BA30" s="65"/>
      <c r="BB30" s="67"/>
      <c r="BK30" s="82"/>
    </row>
    <row r="31" spans="1:63" ht="14.25" thickTop="1" thickBot="1">
      <c r="A31" s="123" t="s">
        <v>98</v>
      </c>
      <c r="B31" s="81">
        <f>[25]AccountReport!$B$48</f>
        <v>3510.5603999999998</v>
      </c>
      <c r="C31" s="81"/>
      <c r="D31" s="81">
        <f>[25]AccountReport!$B$47</f>
        <v>39665.027199999997</v>
      </c>
      <c r="E31" s="81"/>
      <c r="F31" s="81"/>
      <c r="G31" s="58">
        <f>B31*benzinfaktor+D31*dieselfaktor</f>
        <v>113537.66703999999</v>
      </c>
      <c r="I31" s="67">
        <f>G31</f>
        <v>113537.66703999999</v>
      </c>
      <c r="J31" s="58">
        <f t="shared" si="13"/>
        <v>113.53766703999999</v>
      </c>
      <c r="K31" s="67">
        <f>G31</f>
        <v>113537.66703999999</v>
      </c>
      <c r="L31" s="58">
        <f t="shared" si="15"/>
        <v>113.53766703999999</v>
      </c>
      <c r="M31" s="81">
        <f>[27]SAPBW_DOWNLOAD!$G$9+[27]SAPBW_DOWNLOAD!$G$22+0.52*[27]SAPBW_DOWNLOAD!$G$41</f>
        <v>1734.5839999999998</v>
      </c>
      <c r="N31" s="81"/>
      <c r="O31" s="81">
        <f>[27]SAPBW_DOWNLOAD!$I$9+[27]SAPBW_DOWNLOAD!$I$19+[27]SAPBW_DOWNLOAD!$I$22+0.52*[27]SAPBW_DOWNLOAD!$I$41</f>
        <v>43177.289599999996</v>
      </c>
      <c r="P31" s="81"/>
      <c r="Q31" s="81"/>
      <c r="R31" s="58">
        <f>M31*benzinfaktor+O31*dieselfaktor</f>
        <v>118582.81903999999</v>
      </c>
      <c r="T31" s="55">
        <f t="shared" si="17"/>
        <v>118582.81903999999</v>
      </c>
      <c r="U31" s="76">
        <f t="shared" si="16"/>
        <v>118.58281903999999</v>
      </c>
      <c r="AD31" s="122"/>
      <c r="AE31" s="67"/>
      <c r="AG31" s="11"/>
      <c r="AS31" s="74"/>
      <c r="AT31" s="74"/>
      <c r="AU31" s="74"/>
      <c r="AV31" s="74"/>
      <c r="AW31" s="74"/>
      <c r="AX31" s="74"/>
      <c r="AY31" s="66"/>
      <c r="AZ31" s="74"/>
      <c r="BA31" s="67"/>
      <c r="BB31" s="67"/>
      <c r="BK31" s="11"/>
    </row>
    <row r="32" spans="1:63" ht="13.5" thickTop="1">
      <c r="T32" s="67"/>
      <c r="U32" s="67"/>
      <c r="W32" s="125"/>
      <c r="AC32" s="11"/>
      <c r="AD32" s="122"/>
      <c r="AG32" s="11"/>
      <c r="AS32" s="74"/>
      <c r="AT32" s="74"/>
      <c r="AU32" s="74"/>
      <c r="AV32" s="74"/>
      <c r="AW32" s="74"/>
      <c r="AX32" s="74"/>
      <c r="AY32" s="66"/>
      <c r="AZ32" s="74"/>
      <c r="BA32" s="67"/>
      <c r="BB32" s="67"/>
      <c r="BK32" s="11"/>
    </row>
    <row r="33" spans="1:63">
      <c r="W33" s="28"/>
      <c r="X33" s="28"/>
      <c r="Y33" s="28"/>
      <c r="Z33" s="28"/>
      <c r="AA33" s="28"/>
      <c r="AB33" s="28"/>
      <c r="AC33" s="88"/>
      <c r="AD33" s="98"/>
      <c r="AE33" s="98"/>
      <c r="AF33" s="28"/>
      <c r="AG33" s="11"/>
      <c r="AS33" s="74"/>
      <c r="AT33" s="74"/>
      <c r="AU33" s="74"/>
      <c r="AV33" s="74"/>
      <c r="AW33" s="74"/>
      <c r="AX33" s="74"/>
      <c r="AY33" s="66"/>
      <c r="AZ33" s="74"/>
      <c r="BA33" s="67"/>
      <c r="BB33" s="67"/>
      <c r="BK33" s="11"/>
    </row>
    <row r="34" spans="1:63" s="28" customFormat="1">
      <c r="A34" s="28" t="s">
        <v>122</v>
      </c>
      <c r="I34" s="67">
        <f>I14+I15</f>
        <v>10748336.149042325</v>
      </c>
      <c r="M34" s="11"/>
      <c r="N34" s="11"/>
      <c r="S34" s="67"/>
      <c r="T34" s="67"/>
      <c r="U34" s="67"/>
      <c r="V34" s="67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67"/>
      <c r="AS34" s="67"/>
      <c r="AT34" s="67"/>
      <c r="AU34" s="67"/>
      <c r="AV34" s="67"/>
      <c r="AW34" s="67"/>
      <c r="AX34" s="67"/>
      <c r="AZ34" s="67"/>
      <c r="BA34" s="67"/>
      <c r="BB34" s="67"/>
      <c r="BC34" s="67"/>
      <c r="BD34" s="67"/>
      <c r="BE34" s="67"/>
      <c r="BF34" s="67"/>
      <c r="BG34" s="67"/>
    </row>
    <row r="35" spans="1:63" s="10" customFormat="1">
      <c r="A35" s="95" t="s">
        <v>0</v>
      </c>
      <c r="B35" s="112">
        <f>2.245/0.011</f>
        <v>204.09090909090912</v>
      </c>
      <c r="C35" s="56" t="s">
        <v>61</v>
      </c>
      <c r="H35" s="11"/>
      <c r="I35" s="89" t="e">
        <f>I34-I16</f>
        <v>#REF!</v>
      </c>
      <c r="J35" s="11"/>
      <c r="K35" s="11"/>
      <c r="L35" s="11"/>
      <c r="M35" s="11"/>
      <c r="T35" s="88"/>
      <c r="V35" s="11"/>
      <c r="AH35" s="11"/>
      <c r="AI35" s="11"/>
      <c r="AJ35" s="67"/>
      <c r="AK35" s="11"/>
      <c r="AL35" s="11"/>
      <c r="AM35" s="11"/>
      <c r="AO35" s="11"/>
      <c r="AP35" s="11"/>
      <c r="AQ35" s="11"/>
      <c r="AR35" s="11"/>
      <c r="AS35" s="11"/>
      <c r="AT35" s="11"/>
      <c r="AU35" s="11"/>
      <c r="AV35" s="11"/>
    </row>
    <row r="36" spans="1:63" s="10" customFormat="1">
      <c r="A36" s="95" t="s">
        <v>1</v>
      </c>
      <c r="B36" s="112">
        <v>290</v>
      </c>
      <c r="C36" s="56" t="s">
        <v>61</v>
      </c>
      <c r="H36" s="11"/>
      <c r="I36" s="88"/>
      <c r="J36" s="94"/>
      <c r="K36" s="94"/>
      <c r="L36" s="94"/>
      <c r="M36" s="11"/>
      <c r="T36" s="88"/>
      <c r="U36" s="85"/>
      <c r="V36" s="11"/>
      <c r="AH36" s="11"/>
      <c r="AI36" s="11"/>
      <c r="AJ36" s="67"/>
      <c r="AK36" s="11"/>
      <c r="AL36" s="11"/>
      <c r="AM36" s="11"/>
      <c r="AO36" s="11"/>
      <c r="AQ36" s="11"/>
      <c r="AR36" s="11"/>
      <c r="AS36" s="11"/>
      <c r="AT36" s="11"/>
      <c r="AU36" s="11"/>
      <c r="AV36" s="11"/>
    </row>
    <row r="37" spans="1:63" s="10" customFormat="1">
      <c r="A37" s="95" t="s">
        <v>26</v>
      </c>
      <c r="B37" s="112">
        <v>270</v>
      </c>
      <c r="C37" s="56" t="s">
        <v>61</v>
      </c>
      <c r="H37" s="11"/>
      <c r="I37" s="88"/>
      <c r="J37" s="163" t="e">
        <f>(U17-J16)/U17</f>
        <v>#REF!</v>
      </c>
      <c r="K37" s="94"/>
      <c r="L37" s="94"/>
      <c r="M37" s="11"/>
      <c r="T37" s="88"/>
      <c r="U37" s="85"/>
      <c r="V37" s="11"/>
      <c r="AH37" s="11"/>
      <c r="AI37" s="11"/>
      <c r="AJ37" s="67"/>
      <c r="AK37" s="11"/>
      <c r="AL37" s="11"/>
      <c r="AM37" s="11"/>
      <c r="AO37" s="11"/>
      <c r="AQ37" s="11"/>
      <c r="AR37" s="11"/>
      <c r="AS37" s="11"/>
      <c r="AT37" s="11"/>
      <c r="AU37" s="11"/>
      <c r="AV37" s="11"/>
    </row>
    <row r="38" spans="1:63" s="10" customFormat="1">
      <c r="A38" s="152" t="s">
        <v>85</v>
      </c>
      <c r="B38" s="112">
        <v>243</v>
      </c>
      <c r="C38" s="56" t="s">
        <v>61</v>
      </c>
      <c r="H38" s="11"/>
      <c r="I38" s="88"/>
      <c r="J38" s="94"/>
      <c r="K38" s="94"/>
      <c r="L38" s="94"/>
      <c r="M38" s="11"/>
      <c r="T38" s="88"/>
      <c r="U38" s="85"/>
      <c r="V38" s="11"/>
      <c r="AH38" s="11"/>
      <c r="AI38" s="11"/>
      <c r="AJ38" s="67"/>
      <c r="AK38" s="11"/>
      <c r="AL38" s="11"/>
      <c r="AM38" s="11"/>
      <c r="AO38" s="11"/>
      <c r="AQ38" s="11"/>
      <c r="AR38" s="11"/>
      <c r="AS38" s="11"/>
      <c r="AT38" s="11"/>
      <c r="AU38" s="11"/>
      <c r="AV38" s="11"/>
    </row>
    <row r="39" spans="1:63" s="10" customFormat="1">
      <c r="A39" s="152" t="s">
        <v>123</v>
      </c>
      <c r="B39" s="116">
        <v>237</v>
      </c>
      <c r="C39" s="56" t="s">
        <v>61</v>
      </c>
      <c r="H39" s="11"/>
      <c r="I39" s="88"/>
      <c r="J39" s="94"/>
      <c r="K39" s="94"/>
      <c r="L39" s="94"/>
      <c r="M39" s="11"/>
      <c r="T39" s="88"/>
      <c r="U39" s="85"/>
      <c r="V39" s="11"/>
      <c r="AH39" s="11"/>
      <c r="AI39" s="11"/>
      <c r="AJ39" s="67"/>
      <c r="AK39" s="11"/>
      <c r="AL39" s="11"/>
      <c r="AM39" s="11"/>
      <c r="AO39" s="11"/>
      <c r="AQ39" s="11"/>
      <c r="AR39" s="11"/>
      <c r="AS39" s="11"/>
      <c r="AT39" s="11"/>
      <c r="AU39" s="11"/>
      <c r="AV39" s="11"/>
    </row>
    <row r="40" spans="1:63" s="10" customFormat="1">
      <c r="A40" s="152" t="s">
        <v>86</v>
      </c>
      <c r="B40" s="112">
        <f>[28]Ark1!$C$8</f>
        <v>237</v>
      </c>
      <c r="C40" s="56" t="s">
        <v>61</v>
      </c>
      <c r="H40" s="11"/>
      <c r="I40" s="89" t="e">
        <f>I14+I15-I16</f>
        <v>#REF!</v>
      </c>
      <c r="J40" s="94"/>
      <c r="K40" s="94"/>
      <c r="L40" s="94"/>
      <c r="M40" s="11"/>
      <c r="T40" s="88"/>
      <c r="U40" s="85"/>
      <c r="V40" s="11"/>
      <c r="AH40" s="11"/>
      <c r="AI40" s="11"/>
      <c r="AJ40" s="67"/>
      <c r="AK40" s="11"/>
      <c r="AL40" s="11"/>
      <c r="AM40" s="11"/>
      <c r="AO40" s="11"/>
      <c r="AQ40" s="11"/>
      <c r="AR40" s="11"/>
      <c r="AS40" s="11"/>
      <c r="AT40" s="11"/>
      <c r="AU40" s="11"/>
      <c r="AV40" s="11"/>
    </row>
    <row r="41" spans="1:63" s="10" customFormat="1">
      <c r="A41" s="152" t="s">
        <v>124</v>
      </c>
      <c r="B41" s="117">
        <v>239</v>
      </c>
      <c r="C41" s="56" t="s">
        <v>61</v>
      </c>
      <c r="H41" s="11"/>
      <c r="I41" s="88"/>
      <c r="J41" s="11"/>
      <c r="K41" s="11"/>
      <c r="L41" s="11"/>
      <c r="M41" s="11"/>
      <c r="T41" s="88"/>
      <c r="U41" s="85"/>
      <c r="V41" s="11"/>
      <c r="AH41" s="11"/>
      <c r="AI41" s="11"/>
      <c r="AJ41" s="67"/>
      <c r="AK41" s="11"/>
      <c r="AL41" s="11"/>
      <c r="AM41" s="11"/>
      <c r="AO41" s="11"/>
      <c r="AQ41" s="11"/>
      <c r="AR41" s="11"/>
      <c r="AS41" s="11"/>
      <c r="AT41" s="11"/>
      <c r="AU41" s="11"/>
      <c r="AV41" s="11"/>
    </row>
    <row r="42" spans="1:63" s="10" customFormat="1">
      <c r="A42" s="152" t="s">
        <v>87</v>
      </c>
      <c r="B42" s="112">
        <v>239</v>
      </c>
      <c r="C42" s="56" t="s">
        <v>61</v>
      </c>
      <c r="H42" s="11"/>
      <c r="I42" s="88"/>
      <c r="J42" s="11"/>
      <c r="K42" s="11"/>
      <c r="L42" s="11"/>
      <c r="M42" s="11"/>
      <c r="T42" s="88"/>
      <c r="U42" s="85"/>
      <c r="V42" s="11"/>
      <c r="AH42" s="11"/>
      <c r="AI42" s="11"/>
      <c r="AJ42" s="67"/>
      <c r="AK42" s="11"/>
      <c r="AL42" s="11"/>
      <c r="AM42" s="11"/>
      <c r="AO42" s="11"/>
      <c r="AQ42" s="11"/>
      <c r="AR42" s="11"/>
      <c r="AS42" s="11"/>
      <c r="AT42" s="11"/>
      <c r="AU42" s="11"/>
      <c r="AV42" s="11"/>
    </row>
    <row r="43" spans="1:63" s="10" customFormat="1">
      <c r="A43" s="152" t="s">
        <v>125</v>
      </c>
      <c r="B43" s="116">
        <v>238</v>
      </c>
      <c r="C43" s="56" t="s">
        <v>61</v>
      </c>
      <c r="H43" s="11"/>
      <c r="I43" s="88"/>
      <c r="J43" s="11"/>
      <c r="K43" s="11"/>
      <c r="L43" s="11"/>
      <c r="M43" s="11"/>
      <c r="T43" s="88"/>
      <c r="U43" s="85"/>
      <c r="V43" s="11"/>
      <c r="AH43" s="11"/>
      <c r="AI43" s="11"/>
      <c r="AJ43" s="67"/>
      <c r="AK43" s="11"/>
      <c r="AL43" s="11"/>
      <c r="AM43" s="11"/>
      <c r="AO43" s="11"/>
      <c r="AQ43" s="11"/>
      <c r="AR43" s="11"/>
      <c r="AS43" s="11"/>
      <c r="AT43" s="11"/>
      <c r="AU43" s="11"/>
      <c r="AV43" s="11"/>
    </row>
    <row r="44" spans="1:63" s="10" customFormat="1">
      <c r="A44" s="95" t="s">
        <v>81</v>
      </c>
      <c r="B44" s="112">
        <v>240</v>
      </c>
      <c r="C44" s="56" t="s">
        <v>61</v>
      </c>
      <c r="H44" s="11"/>
      <c r="I44" s="88"/>
      <c r="J44" s="11"/>
      <c r="K44" s="11"/>
      <c r="L44" s="11"/>
      <c r="M44" s="11"/>
      <c r="V44" s="11"/>
      <c r="AH44" s="11"/>
      <c r="AI44" s="11"/>
      <c r="AJ44" s="67"/>
      <c r="AK44" s="11"/>
      <c r="AL44" s="11"/>
      <c r="AM44" s="11"/>
      <c r="AO44" s="11"/>
      <c r="AQ44" s="11"/>
      <c r="AR44" s="11"/>
      <c r="AS44" s="11"/>
      <c r="AT44" s="11"/>
      <c r="AU44" s="11"/>
      <c r="AV44" s="11"/>
    </row>
    <row r="45" spans="1:63" s="10" customFormat="1">
      <c r="A45" s="95" t="s">
        <v>88</v>
      </c>
      <c r="B45" s="112">
        <v>303</v>
      </c>
      <c r="C45" s="56" t="s">
        <v>61</v>
      </c>
      <c r="H45" s="11"/>
      <c r="I45" s="89"/>
      <c r="J45" s="11"/>
      <c r="K45" s="11"/>
      <c r="L45" s="11"/>
      <c r="M45" s="11"/>
      <c r="V45" s="11"/>
      <c r="AH45" s="11"/>
      <c r="AI45" s="11"/>
      <c r="AJ45" s="67"/>
      <c r="AK45" s="11"/>
      <c r="AL45" s="11"/>
      <c r="AM45" s="11"/>
      <c r="AO45" s="11"/>
      <c r="AQ45" s="11"/>
      <c r="AR45" s="11"/>
      <c r="AS45" s="11"/>
      <c r="AT45" s="11"/>
      <c r="AU45" s="11"/>
      <c r="AV45" s="11"/>
    </row>
    <row r="46" spans="1:63" s="10" customFormat="1">
      <c r="A46" s="95" t="s">
        <v>117</v>
      </c>
      <c r="B46" s="112">
        <v>377</v>
      </c>
      <c r="C46" s="56" t="s">
        <v>61</v>
      </c>
      <c r="H46" s="11"/>
      <c r="I46" s="89"/>
      <c r="J46" s="11"/>
      <c r="K46" s="11"/>
      <c r="L46" s="11"/>
      <c r="M46" s="11"/>
      <c r="V46" s="11"/>
      <c r="AH46" s="11"/>
      <c r="AI46" s="11"/>
      <c r="AJ46" s="67"/>
      <c r="AK46" s="11"/>
      <c r="AL46" s="11"/>
      <c r="AM46" s="11"/>
      <c r="AO46" s="11"/>
      <c r="AQ46" s="11"/>
      <c r="AR46" s="11"/>
      <c r="AS46" s="11"/>
      <c r="AT46" s="11"/>
      <c r="AU46" s="11"/>
      <c r="AV46" s="11"/>
    </row>
    <row r="47" spans="1:63" s="10" customFormat="1">
      <c r="A47" s="96" t="s">
        <v>3</v>
      </c>
      <c r="B47" s="97">
        <v>2.4</v>
      </c>
      <c r="C47" s="56" t="s">
        <v>27</v>
      </c>
      <c r="D47" s="71"/>
      <c r="E47" s="71"/>
      <c r="H47" s="11"/>
      <c r="I47" s="88"/>
      <c r="J47" s="11"/>
      <c r="K47" s="11"/>
      <c r="L47" s="11"/>
      <c r="M47" s="11"/>
      <c r="Q47" s="71"/>
      <c r="R47" s="71"/>
      <c r="S47" s="71"/>
      <c r="T47" s="71"/>
      <c r="V47" s="11"/>
      <c r="AH47" s="11"/>
      <c r="AI47" s="11"/>
      <c r="AJ47" s="67"/>
      <c r="AK47" s="11"/>
      <c r="AL47" s="11"/>
      <c r="AM47" s="11"/>
      <c r="AN47" s="71"/>
      <c r="AO47" s="11"/>
      <c r="AQ47" s="11"/>
      <c r="AR47" s="11"/>
      <c r="AS47" s="11"/>
      <c r="AT47" s="11"/>
      <c r="AU47" s="11"/>
      <c r="AV47" s="11"/>
    </row>
    <row r="48" spans="1:63" s="10" customFormat="1">
      <c r="A48" s="96" t="s">
        <v>7</v>
      </c>
      <c r="B48" s="97">
        <v>2.65</v>
      </c>
      <c r="C48" s="7" t="s">
        <v>27</v>
      </c>
      <c r="D48" s="71"/>
      <c r="E48" s="71"/>
      <c r="H48" s="11"/>
      <c r="I48" s="11"/>
      <c r="J48" s="11"/>
      <c r="K48" s="11"/>
      <c r="L48" s="11"/>
      <c r="M48" s="11"/>
      <c r="V48" s="11"/>
      <c r="AH48" s="11"/>
      <c r="AI48" s="11"/>
      <c r="AJ48" s="67"/>
      <c r="AK48" s="11"/>
      <c r="AL48" s="11"/>
      <c r="AM48" s="11"/>
      <c r="AN48" s="71"/>
      <c r="AO48" s="11"/>
      <c r="AQ48" s="11"/>
      <c r="AR48" s="11"/>
      <c r="AS48" s="11"/>
      <c r="AT48" s="11"/>
      <c r="AU48" s="11"/>
      <c r="AV48" s="11"/>
    </row>
    <row r="49" spans="1:63">
      <c r="A49" s="120" t="s">
        <v>94</v>
      </c>
      <c r="B49" s="121">
        <v>0.13200000000000001</v>
      </c>
      <c r="C49" s="7" t="s">
        <v>95</v>
      </c>
      <c r="M49" s="10"/>
      <c r="N49" s="10"/>
      <c r="O49" s="10"/>
      <c r="P49" s="10"/>
      <c r="Q49" s="10"/>
      <c r="R49" s="10"/>
      <c r="S49" s="10"/>
      <c r="T49" s="10"/>
      <c r="U49" s="10"/>
      <c r="V49" s="5"/>
      <c r="W49"/>
      <c r="X49"/>
      <c r="Y49"/>
      <c r="Z49"/>
      <c r="AA49"/>
      <c r="AB49"/>
      <c r="AC49"/>
      <c r="AD49"/>
      <c r="AE49"/>
      <c r="AF49"/>
      <c r="AG49"/>
      <c r="AH49" s="5"/>
      <c r="AI49" s="5"/>
      <c r="AJ49" s="5"/>
      <c r="AK49" s="5"/>
      <c r="AL49" s="5"/>
      <c r="AM49" s="5"/>
      <c r="AN49" s="50"/>
      <c r="AO49" s="5"/>
      <c r="AP49" s="5"/>
      <c r="AQ49" s="5"/>
      <c r="AR49" s="5"/>
      <c r="AY49" s="5"/>
      <c r="BA49"/>
      <c r="BB49"/>
      <c r="BC49"/>
      <c r="BD49"/>
      <c r="BE49"/>
      <c r="BF49"/>
      <c r="BG49"/>
      <c r="BH49"/>
      <c r="BI49"/>
      <c r="BJ49"/>
      <c r="BK49"/>
    </row>
    <row r="50" spans="1:63">
      <c r="M50" s="127"/>
      <c r="X50" s="88"/>
      <c r="Y50" s="88"/>
      <c r="Z50" s="88"/>
      <c r="AA50" s="88"/>
      <c r="AB50" s="88"/>
      <c r="AC50" s="88"/>
      <c r="AD50" s="88"/>
      <c r="AE50" s="88"/>
    </row>
    <row r="51" spans="1:63">
      <c r="A51" s="72" t="s">
        <v>67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88"/>
    </row>
    <row r="52" spans="1:63">
      <c r="A52" s="88" t="s">
        <v>70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T52" s="101"/>
      <c r="U52" s="101"/>
    </row>
    <row r="53" spans="1:63">
      <c r="A53" s="72" t="s">
        <v>99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Q53" s="72"/>
      <c r="W53" s="28"/>
      <c r="X53" s="28"/>
      <c r="Y53" s="28"/>
      <c r="Z53" s="28"/>
      <c r="AA53" s="28"/>
      <c r="AB53" s="28"/>
      <c r="AC53" s="28"/>
    </row>
  </sheetData>
  <mergeCells count="14">
    <mergeCell ref="AE2:AF2"/>
    <mergeCell ref="AS2:AX2"/>
    <mergeCell ref="BC2:BH2"/>
    <mergeCell ref="B1:H1"/>
    <mergeCell ref="M1:S1"/>
    <mergeCell ref="X1:AD1"/>
    <mergeCell ref="AS1:AZ1"/>
    <mergeCell ref="BC1:BJ1"/>
    <mergeCell ref="B2:G2"/>
    <mergeCell ref="I2:J2"/>
    <mergeCell ref="K2:L2"/>
    <mergeCell ref="M2:R2"/>
    <mergeCell ref="T2:U2"/>
    <mergeCell ref="X2:AC2"/>
  </mergeCells>
  <pageMargins left="0.75" right="0.75" top="1" bottom="1" header="0" footer="0"/>
  <pageSetup paperSize="9" orientation="landscape" r:id="rId1"/>
  <headerFooter alignWithMargins="0">
    <oddHeader>&amp;LBeregnet forår 2013&amp;CCO2-forbrug 2012 2011  graddagekorr.&amp;R&amp;D
&amp;T</oddHeader>
    <oddFooter>&amp;L&amp;8&amp;Z&amp;F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Normal="100" workbookViewId="0">
      <selection activeCell="A4" sqref="A4:XFD4"/>
    </sheetView>
  </sheetViews>
  <sheetFormatPr defaultRowHeight="12.75"/>
  <sheetData>
    <row r="1" spans="1:1">
      <c r="A1" s="106" t="s">
        <v>138</v>
      </c>
    </row>
    <row r="2" spans="1:1">
      <c r="A2" s="106" t="s">
        <v>139</v>
      </c>
    </row>
    <row r="3" spans="1:1">
      <c r="A3" s="106" t="s">
        <v>140</v>
      </c>
    </row>
    <row r="4" spans="1:1">
      <c r="A4" s="106"/>
    </row>
    <row r="5" spans="1:1">
      <c r="A5" s="106"/>
    </row>
    <row r="6" spans="1:1">
      <c r="A6" s="106"/>
    </row>
  </sheetData>
  <pageMargins left="0.7" right="0.7" top="0.75" bottom="0.75" header="0.3" footer="0.3"/>
  <pageSetup paperSize="9" orientation="portrait" r:id="rId1"/>
  <headerFooter>
    <oddHeader>&amp;CKommentarer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64</vt:i4>
      </vt:variant>
    </vt:vector>
  </HeadingPairs>
  <TitlesOfParts>
    <vt:vector size="70" baseType="lpstr">
      <vt:lpstr>Overordnet</vt:lpstr>
      <vt:lpstr>2016 2015 </vt:lpstr>
      <vt:lpstr>Præsentationsark DN 2016</vt:lpstr>
      <vt:lpstr>2013 2012 incl. varme udlejn.ej</vt:lpstr>
      <vt:lpstr>Kommentarer 31.03.16</vt:lpstr>
      <vt:lpstr>Ark2</vt:lpstr>
      <vt:lpstr>'2013 2012 incl. varme udlejn.ej'!_gas07</vt:lpstr>
      <vt:lpstr>'2016 2015 '!_gas07</vt:lpstr>
      <vt:lpstr>'2013 2012 incl. varme udlejn.ej'!benzin07</vt:lpstr>
      <vt:lpstr>'2016 2015 '!benzin07</vt:lpstr>
      <vt:lpstr>'2013 2012 incl. varme udlejn.ej'!benzinfaktor</vt:lpstr>
      <vt:lpstr>'2016 2015 '!benzinfaktor</vt:lpstr>
      <vt:lpstr>'2013 2012 incl. varme udlejn.ej'!diesel07</vt:lpstr>
      <vt:lpstr>'2016 2015 '!diesel07</vt:lpstr>
      <vt:lpstr>'2013 2012 incl. varme udlejn.ej'!dieselfaktor</vt:lpstr>
      <vt:lpstr>'2016 2015 '!dieselfaktor</vt:lpstr>
      <vt:lpstr>'2013 2012 incl. varme udlejn.ej'!el_foreg.år</vt:lpstr>
      <vt:lpstr>'2016 2015 '!el_foreg.år</vt:lpstr>
      <vt:lpstr>'2013 2012 incl. varme udlejn.ej'!El_opgør.år</vt:lpstr>
      <vt:lpstr>el_opgør.år</vt:lpstr>
      <vt:lpstr>'2013 2012 incl. varme udlejn.ej'!elfaktor_foreg_år</vt:lpstr>
      <vt:lpstr>'2013 2012 incl. varme udlejn.ej'!elfaktor11</vt:lpstr>
      <vt:lpstr>'2016 2015 '!elfaktor11</vt:lpstr>
      <vt:lpstr>'2013 2012 incl. varme udlejn.ej'!fjernv07</vt:lpstr>
      <vt:lpstr>'2016 2015 '!fjernv07</vt:lpstr>
      <vt:lpstr>'2013 2012 incl. varme udlejn.ej'!fjernvarmefaktor</vt:lpstr>
      <vt:lpstr>'2016 2015 '!fjernvarmefaktor</vt:lpstr>
      <vt:lpstr>'2013 2012 incl. varme udlejn.ej'!Fjernvarmefaktor_nye_kedler</vt:lpstr>
      <vt:lpstr>'2016 2015 '!Fjernvarmefaktor_nye_kedler</vt:lpstr>
      <vt:lpstr>'2013 2012 incl. varme udlejn.ej'!fjvny07</vt:lpstr>
      <vt:lpstr>'2016 2015 '!fjvny07</vt:lpstr>
      <vt:lpstr>'2013 2012 incl. varme udlejn.ej'!gasfaktor</vt:lpstr>
      <vt:lpstr>'2016 2015 '!gasfaktor</vt:lpstr>
      <vt:lpstr>'2013 2012 incl. varme udlejn.ej'!Kraftv._Beboelse</vt:lpstr>
      <vt:lpstr>'2016 2015 '!Kraftv._Beboelse</vt:lpstr>
      <vt:lpstr>'2013 2012 incl. varme udlejn.ej'!Kraftv._foreg.år_Virum_Skole</vt:lpstr>
      <vt:lpstr>'2016 2015 '!Kraftv._foreg.år_Virum_Skole</vt:lpstr>
      <vt:lpstr>Kraftv._foreg.år_Virum_Skole_Solg.</vt:lpstr>
      <vt:lpstr>kraftv_foreg.år_bau</vt:lpstr>
      <vt:lpstr>'2013 2012 incl. varme udlejn.ej'!kraftv_foreg.år_bau_solg</vt:lpstr>
      <vt:lpstr>'2016 2015 '!kraftv_foreg.år_bau_solg</vt:lpstr>
      <vt:lpstr>'2013 2012 incl. varme udlejn.ej'!kraftv_foreg.år_stadion</vt:lpstr>
      <vt:lpstr>kraftv_foreg.år_stadion</vt:lpstr>
      <vt:lpstr>'2013 2012 incl. varme udlejn.ej'!kraftv_foreg.år_virum_sk</vt:lpstr>
      <vt:lpstr>'2016 2015 '!kraftv_foreg.år_virum_sk</vt:lpstr>
      <vt:lpstr>'2013 2012 incl. varme udlejn.ej'!kraftv_opgør.år_bau_solg</vt:lpstr>
      <vt:lpstr>'2013 2012 incl. varme udlejn.ej'!kraftv_opgør.år_stadion</vt:lpstr>
      <vt:lpstr>'2016 2015 '!kraftv_opgør.år_stadion</vt:lpstr>
      <vt:lpstr>kraftv_opgør.år_stadion</vt:lpstr>
      <vt:lpstr>'2013 2012 incl. varme udlejn.ej'!kraftv_opgør.år_virum_sk</vt:lpstr>
      <vt:lpstr>'2016 2015 '!kraftv_opgør.år_virum_sk</vt:lpstr>
      <vt:lpstr>kraftv_opgør.år_virum_sk_Solg.</vt:lpstr>
      <vt:lpstr>'2013 2012 incl. varme udlejn.ej'!kraftv_året_før_stadion</vt:lpstr>
      <vt:lpstr>'2013 2012 incl. varme udlejn.ej'!kraftv07</vt:lpstr>
      <vt:lpstr>'2013 2012 incl. varme udlejn.ej'!Kraftvarme__Stadion_2011</vt:lpstr>
      <vt:lpstr>'2016 2015 '!Kraftvarme__Stadion_2011</vt:lpstr>
      <vt:lpstr>'2013 2012 incl. varme udlejn.ej'!kraftvarmefaktor</vt:lpstr>
      <vt:lpstr>'2016 2015 '!kraftvarmefaktor</vt:lpstr>
      <vt:lpstr>'2013 2012 incl. varme udlejn.ej'!Kørsel_i_privatbiler</vt:lpstr>
      <vt:lpstr>'2016 2015 '!Kørsel_i_privatbiler</vt:lpstr>
      <vt:lpstr>'2013 2012 incl. varme udlejn.ej'!stadion_kraftv_faktor</vt:lpstr>
      <vt:lpstr>'2016 2015 '!stadion_kraftv_faktor</vt:lpstr>
      <vt:lpstr>'2013 2012 incl. varme udlejn.ej'!stadion_kraftv_foreg_år</vt:lpstr>
      <vt:lpstr>'2016 2015 '!stadion_kraftv_foreg_år</vt:lpstr>
      <vt:lpstr>'2013 2012 incl. varme udlejn.ej'!Udskriftstitler</vt:lpstr>
      <vt:lpstr>'2016 2015 '!Udskriftstitler</vt:lpstr>
      <vt:lpstr>'2013 2012 incl. varme udlejn.ej'!virum_sk_kraftv_faktor</vt:lpstr>
      <vt:lpstr>'2016 2015 '!virum_sk_kraftv_faktor</vt:lpstr>
      <vt:lpstr>'2013 2012 incl. varme udlejn.ej'!virum_sk_kraftv_foreg_år</vt:lpstr>
      <vt:lpstr>'2016 2015 '!virum_sk_kraftv_foreg_år</vt:lpstr>
    </vt:vector>
  </TitlesOfParts>
  <Company>Lyngby-Taarbæk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</dc:creator>
  <cp:lastModifiedBy>Signe Krøll Olesen</cp:lastModifiedBy>
  <cp:lastPrinted>2017-06-01T07:42:27Z</cp:lastPrinted>
  <dcterms:created xsi:type="dcterms:W3CDTF">2008-02-27T14:36:33Z</dcterms:created>
  <dcterms:modified xsi:type="dcterms:W3CDTF">2017-08-10T10:37:55Z</dcterms:modified>
</cp:coreProperties>
</file>