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56" windowHeight="6048" tabRatio="952" activeTab="10"/>
  </bookViews>
  <sheets>
    <sheet name="Vejledning" sheetId="1" r:id="rId1"/>
    <sheet name="Årlig CO2-opgørelse" sheetId="2" r:id="rId2"/>
    <sheet name="Grafdata" sheetId="3" state="hidden" r:id="rId3"/>
    <sheet name="Figur_CO2-udledning" sheetId="4" r:id="rId4"/>
    <sheet name="Figur_CO2-udledning,bygninger" sheetId="5" r:id="rId5"/>
    <sheet name="Forudsætninger" sheetId="6" r:id="rId6"/>
    <sheet name="Bygninger" sheetId="7" r:id="rId7"/>
    <sheet name="Transport" sheetId="8" r:id="rId8"/>
    <sheet name="Offentlig transport" sheetId="9" r:id="rId9"/>
    <sheet name="Vejbelysning" sheetId="10" r:id="rId10"/>
    <sheet name="sammenligning 2009-2010 " sheetId="11" r:id="rId11"/>
  </sheets>
  <definedNames>
    <definedName name="A_administrationsbygninger">'Bygninger'!$G$4</definedName>
    <definedName name="A_andreKommunaleBygninger">'Bygninger'!$G$10</definedName>
    <definedName name="A_daginstitutioner">'Bygninger'!$G$57</definedName>
    <definedName name="A_kulturinstitutioner">'Bygninger'!$G$106</definedName>
    <definedName name="A_materialegårde">'Bygninger'!$G$114</definedName>
    <definedName name="A_plejeOGældrecentre">'Bygninger'!$G$86</definedName>
    <definedName name="A_skoler">'Bygninger'!$G$38</definedName>
    <definedName name="A_sportsanlæg_andre">'Bygninger'!$G$128</definedName>
    <definedName name="A_sportsanlæg_stadions">'Bygninger'!$G$122</definedName>
    <definedName name="Antal_borgere">'Forudsætninger'!$C$1</definedName>
    <definedName name="CO2_el">'Forudsætninger'!$B$12</definedName>
    <definedName name="CO2_fjernvarme">'Forudsætninger'!#REF!</definedName>
    <definedName name="CO2_kmBenzin">'Forudsætninger'!$B$29</definedName>
    <definedName name="CO2_kmDiesel">'Forudsætninger'!$B$30</definedName>
    <definedName name="CO2_LiterBenzin">'Forudsætninger'!$B$15</definedName>
    <definedName name="CO2_LiterDiesel">'Forudsætninger'!$B$16</definedName>
    <definedName name="CO2_naturgas">'Forudsætninger'!$B$13</definedName>
    <definedName name="CO2_olie">'Forudsætninger'!$B$14</definedName>
    <definedName name="energiindhold_naturgas">'Forudsætninger'!$B$6</definedName>
    <definedName name="energiindhold_olie">'Forudsætninger'!$B$7</definedName>
    <definedName name="_xlnm.Print_Area" localSheetId="6">'Bygninger'!$A$1:$AE$135</definedName>
    <definedName name="_xlnm.Print_Area" localSheetId="5">'Forudsætninger'!$A$1:$I$42</definedName>
    <definedName name="_xlnm.Print_Area" localSheetId="8">'Offentlig transport'!$A$1:$K$18</definedName>
    <definedName name="_xlnm.Print_Area" localSheetId="7">'Transport'!$A$1:$K$28</definedName>
    <definedName name="_xlnm.Print_Area" localSheetId="9">'Vejbelysning'!$A$1:$D$10</definedName>
    <definedName name="_xlnm.Print_Area" localSheetId="0">'Vejledning'!$A$1:$S$45</definedName>
    <definedName name="_xlnm.Print_Area" localSheetId="1">'Årlig CO2-opgørelse'!$A$1:$G$58</definedName>
    <definedName name="_xlnm.Print_Titles" localSheetId="6">'Bygninger'!$1:$1</definedName>
  </definedNames>
  <calcPr fullCalcOnLoad="1"/>
</workbook>
</file>

<file path=xl/comments6.xml><?xml version="1.0" encoding="utf-8"?>
<comments xmlns="http://schemas.openxmlformats.org/spreadsheetml/2006/main">
  <authors>
    <author>dkm</author>
  </authors>
  <commentList>
    <comment ref="B12" authorId="0">
      <text>
        <r>
          <rPr>
            <b/>
            <sz val="8"/>
            <rFont val="Tahoma"/>
            <family val="2"/>
          </rPr>
          <t>dkm: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Værdi fra energinet.dk:</t>
        </r>
        <r>
          <rPr>
            <sz val="8"/>
            <rFont val="Tahoma"/>
            <family val="2"/>
          </rPr>
          <t xml:space="preserve">
Tabet i distributionsnettet er ikke indregnet i miljødeklarationen, og bør derfor indregnes med værdier fra det lokale netselskab eller alternativt med en gennemsnitsværdi på 5 %.
</t>
        </r>
      </text>
    </comment>
  </commentList>
</comments>
</file>

<file path=xl/comments7.xml><?xml version="1.0" encoding="utf-8"?>
<comments xmlns="http://schemas.openxmlformats.org/spreadsheetml/2006/main">
  <authors>
    <author>Mads Brix Nielsen</author>
    <author>Karina Sund Jensen</author>
    <author>dcemtok</author>
  </authors>
  <commentList>
    <comment ref="O37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Ingen gasforbrug</t>
        </r>
      </text>
    </comment>
    <comment ref="P110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Ingen reg. Olieforbrug.</t>
        </r>
      </text>
    </comment>
    <comment ref="A121" authorId="1">
      <text>
        <r>
          <rPr>
            <sz val="12"/>
            <rFont val="Tahoma"/>
            <family val="2"/>
          </rPr>
          <t>Profitcenter 5063000001</t>
        </r>
      </text>
    </comment>
    <comment ref="H43" authorId="1">
      <text>
        <r>
          <rPr>
            <b/>
            <sz val="14"/>
            <rFont val="Tahoma"/>
            <family val="2"/>
          </rPr>
          <t>Skole : 41.647
Børnehave : 5.920</t>
        </r>
        <r>
          <rPr>
            <sz val="8"/>
            <rFont val="Tahoma"/>
            <family val="0"/>
          </rPr>
          <t xml:space="preserve">
</t>
        </r>
      </text>
    </comment>
    <comment ref="H41" authorId="1">
      <text>
        <r>
          <rPr>
            <b/>
            <sz val="14"/>
            <rFont val="Tahoma"/>
            <family val="2"/>
          </rPr>
          <t xml:space="preserve">Skole: 80.679
</t>
        </r>
        <r>
          <rPr>
            <sz val="8"/>
            <rFont val="Tahoma"/>
            <family val="0"/>
          </rPr>
          <t xml:space="preserve">
</t>
        </r>
      </text>
    </comment>
    <comment ref="H40" authorId="1">
      <text>
        <r>
          <rPr>
            <b/>
            <sz val="14"/>
            <rFont val="Tahoma"/>
            <family val="2"/>
          </rPr>
          <t>Skole: 76.020</t>
        </r>
        <r>
          <rPr>
            <sz val="8"/>
            <rFont val="Tahoma"/>
            <family val="0"/>
          </rPr>
          <t xml:space="preserve">
</t>
        </r>
      </text>
    </comment>
    <comment ref="H45" authorId="1">
      <text>
        <r>
          <rPr>
            <b/>
            <sz val="14"/>
            <rFont val="Tahoma"/>
            <family val="2"/>
          </rPr>
          <t xml:space="preserve">Skole: 52.629
</t>
        </r>
        <r>
          <rPr>
            <sz val="8"/>
            <rFont val="Tahoma"/>
            <family val="0"/>
          </rPr>
          <t xml:space="preserve">
</t>
        </r>
      </text>
    </comment>
    <comment ref="H46" authorId="1">
      <text>
        <r>
          <rPr>
            <b/>
            <sz val="14"/>
            <rFont val="Tahoma"/>
            <family val="2"/>
          </rPr>
          <t xml:space="preserve">Skole: 52.171
SFO/BH: 2.775
</t>
        </r>
        <r>
          <rPr>
            <sz val="8"/>
            <rFont val="Tahoma"/>
            <family val="0"/>
          </rPr>
          <t xml:space="preserve">
</t>
        </r>
      </text>
    </comment>
    <comment ref="H47" authorId="1">
      <text>
        <r>
          <rPr>
            <b/>
            <sz val="14"/>
            <rFont val="Tahoma"/>
            <family val="2"/>
          </rPr>
          <t>SFO: 4.706
Skole: 143.001</t>
        </r>
        <r>
          <rPr>
            <sz val="8"/>
            <rFont val="Tahoma"/>
            <family val="0"/>
          </rPr>
          <t xml:space="preserve">
</t>
        </r>
      </text>
    </comment>
    <comment ref="H48" authorId="1">
      <text>
        <r>
          <rPr>
            <b/>
            <sz val="14"/>
            <rFont val="Tahoma"/>
            <family val="2"/>
          </rPr>
          <t>Skole: 79.136
SFO: 1.384</t>
        </r>
        <r>
          <rPr>
            <sz val="8"/>
            <rFont val="Tahoma"/>
            <family val="0"/>
          </rPr>
          <t xml:space="preserve">
</t>
        </r>
      </text>
    </comment>
    <comment ref="H49" authorId="1">
      <text>
        <r>
          <rPr>
            <b/>
            <sz val="14"/>
            <rFont val="Tahoma"/>
            <family val="2"/>
          </rPr>
          <t>SFO Værksted: 980
SFO: 31.203
Skole: 109.901
I alt: 142.084</t>
        </r>
      </text>
    </comment>
    <comment ref="H52" authorId="1">
      <text>
        <r>
          <rPr>
            <b/>
            <sz val="14"/>
            <rFont val="Tahoma"/>
            <family val="2"/>
          </rPr>
          <t xml:space="preserve">SFO Pilebo: 2.743
Skole: 117.736
</t>
        </r>
        <r>
          <rPr>
            <sz val="8"/>
            <rFont val="Tahoma"/>
            <family val="0"/>
          </rPr>
          <t xml:space="preserve">
</t>
        </r>
      </text>
    </comment>
    <comment ref="H53" authorId="1">
      <text>
        <r>
          <rPr>
            <b/>
            <sz val="14"/>
            <rFont val="Tahoma"/>
            <family val="2"/>
          </rPr>
          <t>Skole: 60.428</t>
        </r>
        <r>
          <rPr>
            <sz val="8"/>
            <rFont val="Tahoma"/>
            <family val="0"/>
          </rPr>
          <t xml:space="preserve">
</t>
        </r>
      </text>
    </comment>
    <comment ref="H54" authorId="1">
      <text>
        <r>
          <rPr>
            <b/>
            <sz val="14"/>
            <rFont val="Tahoma"/>
            <family val="2"/>
          </rPr>
          <t xml:space="preserve">Skole: 49.605
</t>
        </r>
        <r>
          <rPr>
            <sz val="8"/>
            <rFont val="Tahoma"/>
            <family val="0"/>
          </rPr>
          <t xml:space="preserve">
</t>
        </r>
      </text>
    </comment>
    <comment ref="H55" authorId="1">
      <text>
        <r>
          <rPr>
            <b/>
            <sz val="14"/>
            <rFont val="Tahoma"/>
            <family val="2"/>
          </rPr>
          <t xml:space="preserve">Søndersøvej 14 (2 målere): 164.717 
Søndersøvej 16: 2.570
Søndersøvej 18: 8.230
Søndersøvej 20: 7.540
Søndersøvej 22: 2.947
I alt : 186.004
</t>
        </r>
        <r>
          <rPr>
            <sz val="8"/>
            <rFont val="Tahoma"/>
            <family val="0"/>
          </rPr>
          <t xml:space="preserve">
</t>
        </r>
      </text>
    </comment>
    <comment ref="H56" authorId="1">
      <text>
        <r>
          <rPr>
            <b/>
            <sz val="14"/>
            <rFont val="Tahoma"/>
            <family val="2"/>
          </rPr>
          <t xml:space="preserve">Møllebakken 31 : 3.460
Møllebakken 31: 54.571
Møllebakken 31: 152.476
I alt: 210.507
</t>
        </r>
        <r>
          <rPr>
            <sz val="8"/>
            <rFont val="Tahoma"/>
            <family val="0"/>
          </rPr>
          <t xml:space="preserve">
</t>
        </r>
      </text>
    </comment>
    <comment ref="H42" authorId="1">
      <text>
        <r>
          <rPr>
            <b/>
            <sz val="14"/>
            <rFont val="Tahoma"/>
            <family val="2"/>
          </rPr>
          <t>Skole: 117.168</t>
        </r>
        <r>
          <rPr>
            <sz val="8"/>
            <rFont val="Tahoma"/>
            <family val="0"/>
          </rPr>
          <t xml:space="preserve">
</t>
        </r>
      </text>
    </comment>
    <comment ref="H39" authorId="1">
      <text>
        <r>
          <rPr>
            <b/>
            <sz val="14"/>
            <rFont val="Tahoma"/>
            <family val="2"/>
          </rPr>
          <t>Skelvej 29: 241.489
Niels Kjærsby Vej 9: 39.353</t>
        </r>
        <r>
          <rPr>
            <sz val="8"/>
            <rFont val="Tahoma"/>
            <family val="0"/>
          </rPr>
          <t xml:space="preserve">
</t>
        </r>
      </text>
    </comment>
    <comment ref="H44" authorId="1">
      <text>
        <r>
          <rPr>
            <b/>
            <sz val="14"/>
            <rFont val="Tahoma"/>
            <family val="2"/>
          </rPr>
          <t>Skole: 141.928</t>
        </r>
        <r>
          <rPr>
            <sz val="8"/>
            <rFont val="Tahoma"/>
            <family val="0"/>
          </rPr>
          <t xml:space="preserve">
</t>
        </r>
      </text>
    </comment>
    <comment ref="H103" authorId="1">
      <text>
        <r>
          <rPr>
            <b/>
            <sz val="14"/>
            <rFont val="Tahoma"/>
            <family val="2"/>
          </rPr>
          <t>Lindebjerg nr. 12: 316.496</t>
        </r>
        <r>
          <rPr>
            <sz val="8"/>
            <rFont val="Tahoma"/>
            <family val="0"/>
          </rPr>
          <t xml:space="preserve">
</t>
        </r>
      </text>
    </comment>
    <comment ref="P36" authorId="1">
      <text>
        <r>
          <rPr>
            <b/>
            <sz val="14"/>
            <rFont val="Tahoma"/>
            <family val="2"/>
          </rPr>
          <t xml:space="preserve">Der er installeret energitag i 2011
</t>
        </r>
        <r>
          <rPr>
            <sz val="8"/>
            <rFont val="Tahoma"/>
            <family val="0"/>
          </rPr>
          <t xml:space="preserve">
</t>
        </r>
      </text>
    </comment>
    <comment ref="H25" authorId="1">
      <text>
        <r>
          <rPr>
            <b/>
            <sz val="14"/>
            <rFont val="Tahoma"/>
            <family val="2"/>
          </rPr>
          <t>Sportsvej 12: 695
Sportsvej 8: 2</t>
        </r>
        <r>
          <rPr>
            <sz val="8"/>
            <rFont val="Tahoma"/>
            <family val="0"/>
          </rPr>
          <t xml:space="preserve">
</t>
        </r>
      </text>
    </comment>
    <comment ref="L23" authorId="1">
      <text>
        <r>
          <rPr>
            <b/>
            <sz val="14"/>
            <rFont val="Tahoma"/>
            <family val="2"/>
          </rPr>
          <t xml:space="preserve">Opgørelse 01.10.09-30.09.10
</t>
        </r>
        <r>
          <rPr>
            <sz val="8"/>
            <rFont val="Tahoma"/>
            <family val="0"/>
          </rPr>
          <t xml:space="preserve">
</t>
        </r>
      </text>
    </comment>
    <comment ref="P123" authorId="1">
      <text>
        <r>
          <rPr>
            <b/>
            <sz val="12"/>
            <rFont val="Tahoma"/>
            <family val="2"/>
          </rPr>
          <t>Muligheder for VE undersøges pt.
Olieforbrug: 13/11/09  - 3/11/10</t>
        </r>
        <r>
          <rPr>
            <sz val="8"/>
            <rFont val="Tahoma"/>
            <family val="0"/>
          </rPr>
          <t xml:space="preserve">
</t>
        </r>
      </text>
    </comment>
    <comment ref="P124" authorId="1">
      <text>
        <r>
          <rPr>
            <b/>
            <sz val="12"/>
            <rFont val="Tahoma"/>
            <family val="2"/>
          </rPr>
          <t>Muligheder for VE undersøges pt.
29/11-09: 1.558
23/3-10: 1.834</t>
        </r>
        <r>
          <rPr>
            <sz val="8"/>
            <rFont val="Tahoma"/>
            <family val="0"/>
          </rPr>
          <t xml:space="preserve">
</t>
        </r>
      </text>
    </comment>
    <comment ref="H107" authorId="1">
      <text>
        <r>
          <rPr>
            <b/>
            <sz val="14"/>
            <rFont val="Tahoma"/>
            <family val="2"/>
          </rPr>
          <t xml:space="preserve">Måler 49095815: 6.747
Måler 49095814: 13.573
</t>
        </r>
        <r>
          <rPr>
            <sz val="8"/>
            <rFont val="Tahoma"/>
            <family val="0"/>
          </rPr>
          <t xml:space="preserve">
</t>
        </r>
      </text>
    </comment>
    <comment ref="O72" authorId="1">
      <text>
        <r>
          <rPr>
            <sz val="12"/>
            <rFont val="Tahoma"/>
            <family val="2"/>
          </rPr>
          <t xml:space="preserve">
Specifikation af afregning
Antal Pris Beløb
Naturgas Fyn Distribution A/S CVR: 29 21 48 24
Distribution -973,00 m3 1,559 Kr. -1.516,91
</t>
        </r>
        <r>
          <rPr>
            <b/>
            <sz val="12"/>
            <rFont val="Tahoma"/>
            <family val="2"/>
          </rPr>
          <t>CO2-afgift -696,00 m3 0,351 Kr. -244,30</t>
        </r>
        <r>
          <rPr>
            <sz val="12"/>
            <rFont val="Tahoma"/>
            <family val="2"/>
          </rPr>
          <t xml:space="preserve">
CO2-afgift 2011 -277,00 m3 0,357 Kr. -98,89
Naturgasafgift -696,00 m3 2,270 Kr. -1.579,92
Naturgasafgift 2011 -277,00 m3 2,311 Kr. -640,15
NOx-afgift -973,00 m3 0,008 Kr. -7,78
Energisparebidrag -973,00 m3 0,108 Kr. -105,08
Moms 25% af -4.193,03 Kr. -1.048,27
I alt Kr. -5.241,30
NGF Gazelle Forsyning A/S CVR: 10 12 69 16
Gasforbrug -973,00 m3 3,422 Kr. -3.329,61
Transmission &amp; Lager -973,00 m3 0,333 Kr. -324,01
Moms 25% af -3.653,62 Kr. -913,40
I alt Kr. -4.567,02
----------------
Afregningsbeløb i alt overført til forsiden Kr. -9.808,32
heraf moms kr. -1.961,67 (25% af -7.846,65) --------------------------------</t>
        </r>
      </text>
    </comment>
    <comment ref="P12" authorId="1">
      <text>
        <r>
          <rPr>
            <b/>
            <sz val="12"/>
            <rFont val="Tahoma"/>
            <family val="2"/>
          </rPr>
          <t>Bygning nedrevet i 2010</t>
        </r>
        <r>
          <rPr>
            <sz val="12"/>
            <rFont val="Tahoma"/>
            <family val="2"/>
          </rPr>
          <t xml:space="preserve">
11/1-11 : 895
29/1-10 : 1045
16/2-10 : 1020
8/3-10 : 1010
26/3-10 : 754
13/4-10 : 587
21/5-10 : 956
28/6-10 : 407
6/9-10 : 114
12/10-10 : 12
27/12-10 : 999
I alt = 7.799
</t>
        </r>
        <r>
          <rPr>
            <sz val="8"/>
            <rFont val="Tahoma"/>
            <family val="0"/>
          </rPr>
          <t xml:space="preserve">
</t>
        </r>
      </text>
    </comment>
    <comment ref="L31" authorId="1">
      <text>
        <r>
          <rPr>
            <b/>
            <sz val="12"/>
            <rFont val="Tahoma"/>
            <family val="2"/>
          </rPr>
          <t>Opgørelse 01.06.10-30.04.11</t>
        </r>
        <r>
          <rPr>
            <sz val="8"/>
            <rFont val="Tahoma"/>
            <family val="0"/>
          </rPr>
          <t xml:space="preserve">
</t>
        </r>
      </text>
    </comment>
    <comment ref="P32" authorId="1">
      <text>
        <r>
          <rPr>
            <b/>
            <sz val="12"/>
            <rFont val="Tahoma"/>
            <family val="2"/>
          </rPr>
          <t>Nedrevet i 2010</t>
        </r>
        <r>
          <rPr>
            <sz val="12"/>
            <rFont val="Tahoma"/>
            <family val="2"/>
          </rPr>
          <t xml:space="preserve">
4/1-10 : 976
1/3-10 : 1045
</t>
        </r>
        <r>
          <rPr>
            <sz val="8"/>
            <rFont val="Tahoma"/>
            <family val="0"/>
          </rPr>
          <t xml:space="preserve">
</t>
        </r>
      </text>
    </comment>
    <comment ref="L25" authorId="1">
      <text>
        <r>
          <rPr>
            <b/>
            <sz val="12"/>
            <rFont val="Tahoma"/>
            <family val="2"/>
          </rPr>
          <t>Opgørelse: Sportsvej 12  - 16/9-09 til 23/9-10 = 15787</t>
        </r>
        <r>
          <rPr>
            <sz val="8"/>
            <rFont val="Tahoma"/>
            <family val="0"/>
          </rPr>
          <t xml:space="preserve">
</t>
        </r>
      </text>
    </comment>
    <comment ref="L107" authorId="1">
      <text>
        <r>
          <rPr>
            <b/>
            <sz val="12"/>
            <rFont val="Tahoma"/>
            <family val="2"/>
          </rPr>
          <t>Opgørelse 25/5-09 til 25/5-10</t>
        </r>
        <r>
          <rPr>
            <sz val="8"/>
            <rFont val="Tahoma"/>
            <family val="0"/>
          </rPr>
          <t xml:space="preserve">
</t>
        </r>
      </text>
    </comment>
    <comment ref="L52" authorId="1">
      <text>
        <r>
          <rPr>
            <sz val="12"/>
            <rFont val="Tahoma"/>
            <family val="2"/>
          </rPr>
          <t>Skole 1/6-10 til 30/4-11: 861,2
SFO 1/6-10 til 30/4-11 : 16,48</t>
        </r>
      </text>
    </comment>
    <comment ref="L44" authorId="1">
      <text>
        <r>
          <rPr>
            <b/>
            <sz val="12"/>
            <rFont val="Tahoma"/>
            <family val="2"/>
          </rPr>
          <t>Opgørelse 29/5-09 til 28/5-10</t>
        </r>
        <r>
          <rPr>
            <sz val="8"/>
            <rFont val="Tahoma"/>
            <family val="0"/>
          </rPr>
          <t xml:space="preserve">
</t>
        </r>
      </text>
    </comment>
    <comment ref="L29" authorId="1">
      <text>
        <r>
          <rPr>
            <b/>
            <sz val="12"/>
            <rFont val="Tahoma"/>
            <family val="2"/>
          </rPr>
          <t>Opgørelse 1/6-10 til 30/4-11</t>
        </r>
        <r>
          <rPr>
            <sz val="8"/>
            <rFont val="Tahoma"/>
            <family val="0"/>
          </rPr>
          <t xml:space="preserve">
</t>
        </r>
      </text>
    </comment>
    <comment ref="L98" authorId="1">
      <text>
        <r>
          <rPr>
            <b/>
            <sz val="12"/>
            <rFont val="Tahoma"/>
            <family val="2"/>
          </rPr>
          <t>Opgørelse 1/6-10 til 30/4-11</t>
        </r>
        <r>
          <rPr>
            <sz val="8"/>
            <rFont val="Tahoma"/>
            <family val="0"/>
          </rPr>
          <t xml:space="preserve">
</t>
        </r>
      </text>
    </comment>
    <comment ref="L93" authorId="1">
      <text>
        <r>
          <rPr>
            <b/>
            <sz val="12"/>
            <rFont val="Tahoma"/>
            <family val="2"/>
          </rPr>
          <t>Opgørelse 12/6-09 til 28/5-10</t>
        </r>
        <r>
          <rPr>
            <sz val="8"/>
            <rFont val="Tahoma"/>
            <family val="0"/>
          </rPr>
          <t xml:space="preserve">
</t>
        </r>
      </text>
    </comment>
    <comment ref="L94" authorId="1">
      <text>
        <r>
          <rPr>
            <b/>
            <sz val="12"/>
            <rFont val="Tahoma"/>
            <family val="2"/>
          </rPr>
          <t>Opgørelse 27/5-09 til 1/6-10</t>
        </r>
        <r>
          <rPr>
            <sz val="8"/>
            <rFont val="Tahoma"/>
            <family val="0"/>
          </rPr>
          <t xml:space="preserve">
</t>
        </r>
      </text>
    </comment>
    <comment ref="L101" authorId="1">
      <text>
        <r>
          <rPr>
            <b/>
            <sz val="12"/>
            <rFont val="Tahoma"/>
            <family val="2"/>
          </rPr>
          <t>Opgørelse 1/6-10 til 30/4-11</t>
        </r>
        <r>
          <rPr>
            <sz val="12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47" authorId="1">
      <text>
        <r>
          <rPr>
            <sz val="12"/>
            <rFont val="Tahoma"/>
            <family val="2"/>
          </rPr>
          <t xml:space="preserve">Sportsvej 18 : 60,963
Blok 316 : 66,22
Sportsvej 16 : 393,88 + 278,89
I alt : 800,0
</t>
        </r>
        <r>
          <rPr>
            <sz val="8"/>
            <rFont val="Tahoma"/>
            <family val="0"/>
          </rPr>
          <t xml:space="preserve">
</t>
        </r>
      </text>
    </comment>
    <comment ref="L77" authorId="1">
      <text>
        <r>
          <rPr>
            <b/>
            <sz val="12"/>
            <rFont val="Tahoma"/>
            <family val="2"/>
          </rPr>
          <t>Opgørelse 1/6-10 til 30/4-11</t>
        </r>
        <r>
          <rPr>
            <sz val="8"/>
            <rFont val="Tahoma"/>
            <family val="0"/>
          </rPr>
          <t xml:space="preserve">
</t>
        </r>
      </text>
    </comment>
    <comment ref="H14" authorId="1">
      <text>
        <r>
          <rPr>
            <b/>
            <sz val="12"/>
            <rFont val="Tahoma"/>
            <family val="2"/>
          </rPr>
          <t>Adelgade 26: 29.578
Adelgade 26: 3.422</t>
        </r>
        <r>
          <rPr>
            <sz val="8"/>
            <rFont val="Tahoma"/>
            <family val="0"/>
          </rPr>
          <t xml:space="preserve">
</t>
        </r>
      </text>
    </comment>
    <comment ref="L20" authorId="1">
      <text>
        <r>
          <rPr>
            <b/>
            <sz val="12"/>
            <rFont val="Tahoma"/>
            <family val="2"/>
          </rPr>
          <t>Opgørelse 28.05.10-30.05.11</t>
        </r>
        <r>
          <rPr>
            <sz val="8"/>
            <rFont val="Tahoma"/>
            <family val="0"/>
          </rPr>
          <t xml:space="preserve">
</t>
        </r>
      </text>
    </comment>
    <comment ref="L49" authorId="1">
      <text>
        <r>
          <rPr>
            <b/>
            <sz val="12"/>
            <rFont val="Tahoma"/>
            <family val="2"/>
          </rPr>
          <t>Opgørelse 01.04.10-30.04.11</t>
        </r>
        <r>
          <rPr>
            <sz val="8"/>
            <rFont val="Tahoma"/>
            <family val="0"/>
          </rPr>
          <t xml:space="preserve">
</t>
        </r>
      </text>
    </comment>
    <comment ref="L50" authorId="1">
      <text>
        <r>
          <rPr>
            <sz val="12"/>
            <rFont val="Tahoma"/>
            <family val="2"/>
          </rPr>
          <t>01.04.10-30.04.11</t>
        </r>
        <r>
          <rPr>
            <sz val="8"/>
            <rFont val="Tahoma"/>
            <family val="0"/>
          </rPr>
          <t xml:space="preserve">
</t>
        </r>
      </text>
    </comment>
    <comment ref="L51" authorId="1">
      <text>
        <r>
          <rPr>
            <b/>
            <sz val="12"/>
            <rFont val="Tahoma"/>
            <family val="2"/>
          </rPr>
          <t>Opgørelse 01.04.10-30.04.11</t>
        </r>
        <r>
          <rPr>
            <sz val="8"/>
            <rFont val="Tahoma"/>
            <family val="0"/>
          </rPr>
          <t xml:space="preserve">
</t>
        </r>
      </text>
    </comment>
    <comment ref="L30" authorId="1">
      <text>
        <r>
          <rPr>
            <b/>
            <sz val="12"/>
            <rFont val="Tahoma"/>
            <family val="2"/>
          </rPr>
          <t>Opgørelse 01.04.10-30.04.11</t>
        </r>
        <r>
          <rPr>
            <sz val="8"/>
            <rFont val="Tahoma"/>
            <family val="0"/>
          </rPr>
          <t xml:space="preserve">
</t>
        </r>
      </text>
    </comment>
    <comment ref="A16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
</t>
        </r>
      </text>
    </comment>
    <comment ref="A17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33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34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37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87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88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96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A105" authorId="2">
      <text>
        <r>
          <rPr>
            <b/>
            <sz val="8"/>
            <rFont val="Tahoma"/>
            <family val="0"/>
          </rPr>
          <t>dcemtok:</t>
        </r>
        <r>
          <rPr>
            <sz val="8"/>
            <rFont val="Tahoma"/>
            <family val="0"/>
          </rPr>
          <t xml:space="preserve">
Elforbrug overført fra 2009</t>
        </r>
      </text>
    </comment>
    <comment ref="P11" authorId="2">
      <text>
        <r>
          <rPr>
            <b/>
            <sz val="12"/>
            <rFont val="Tahoma"/>
            <family val="2"/>
          </rPr>
          <t>Bygning skal enten sælges eller der skal installeres nyt varmeanlæg (formodentligt jordvarme)</t>
        </r>
      </text>
    </comment>
    <comment ref="P15" authorId="2">
      <text>
        <r>
          <rPr>
            <b/>
            <sz val="12"/>
            <rFont val="Tahoma"/>
            <family val="2"/>
          </rPr>
          <t>Bygning sælges eller nedrives i 2011-12</t>
        </r>
      </text>
    </comment>
    <comment ref="P19" authorId="2">
      <text>
        <r>
          <rPr>
            <b/>
            <sz val="12"/>
            <rFont val="Tahoma"/>
            <family val="2"/>
          </rPr>
          <t>Der er opsat nyt oliefyr i 2009</t>
        </r>
      </text>
    </comment>
    <comment ref="P24" authorId="2">
      <text>
        <r>
          <rPr>
            <b/>
            <sz val="12"/>
            <rFont val="Tahoma"/>
            <family val="2"/>
          </rPr>
          <t>Muligheder for VE undersøges i 2012-13</t>
        </r>
      </text>
    </comment>
    <comment ref="P33" authorId="2">
      <text>
        <r>
          <rPr>
            <b/>
            <sz val="12"/>
            <rFont val="Tahoma"/>
            <family val="2"/>
          </rPr>
          <t>Muligheder for VE unedersøges i 2013</t>
        </r>
      </text>
    </comment>
    <comment ref="P34" authorId="2">
      <text>
        <r>
          <rPr>
            <b/>
            <sz val="11"/>
            <rFont val="Tahoma"/>
            <family val="2"/>
          </rPr>
          <t>Muligheder for VE undersøges i 2013</t>
        </r>
      </text>
    </comment>
    <comment ref="P41" authorId="2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 xml:space="preserve">Pt. undersøges mulighederne for VE </t>
        </r>
      </text>
    </comment>
    <comment ref="P59" authorId="2">
      <text>
        <r>
          <rPr>
            <b/>
            <sz val="12"/>
            <rFont val="Tahoma"/>
            <family val="2"/>
          </rPr>
          <t>Institution privatiseres</t>
        </r>
      </text>
    </comment>
    <comment ref="P74" authorId="2">
      <text>
        <r>
          <rPr>
            <b/>
            <sz val="12"/>
            <rFont val="Tahoma"/>
            <family val="2"/>
          </rPr>
          <t>Muligheder for VE undersøges 2012</t>
        </r>
      </text>
    </comment>
    <comment ref="P82" authorId="2">
      <text>
        <r>
          <rPr>
            <b/>
            <sz val="12"/>
            <rFont val="Tahoma"/>
            <family val="2"/>
          </rPr>
          <t>Institutionens fremtid planlægges.</t>
        </r>
      </text>
    </comment>
    <comment ref="P84" authorId="2">
      <text>
        <r>
          <rPr>
            <b/>
            <sz val="12"/>
            <rFont val="Tahoma"/>
            <family val="2"/>
          </rPr>
          <t>Institutionen privatiseres</t>
        </r>
      </text>
    </comment>
  </commentList>
</comments>
</file>

<file path=xl/sharedStrings.xml><?xml version="1.0" encoding="utf-8"?>
<sst xmlns="http://schemas.openxmlformats.org/spreadsheetml/2006/main" count="1336" uniqueCount="724">
  <si>
    <t>EJENDOM</t>
  </si>
  <si>
    <t>ADRESSE</t>
  </si>
  <si>
    <t>HUS NR.</t>
  </si>
  <si>
    <t>POST NR.</t>
  </si>
  <si>
    <t>BY</t>
  </si>
  <si>
    <t>Aarup Rådhus</t>
  </si>
  <si>
    <t xml:space="preserve">Indre Ringvej </t>
  </si>
  <si>
    <t>Aarup</t>
  </si>
  <si>
    <t>Møllebakken</t>
  </si>
  <si>
    <t>Tommerup</t>
  </si>
  <si>
    <t>Vestergade</t>
  </si>
  <si>
    <t>Vissenbjerg</t>
  </si>
  <si>
    <t>Haarby</t>
  </si>
  <si>
    <t>Willemoesgade</t>
  </si>
  <si>
    <t>Assens</t>
  </si>
  <si>
    <t>Andre Kommunale bygninger</t>
  </si>
  <si>
    <t>Glamsbjerg</t>
  </si>
  <si>
    <t>Tallerupvej</t>
  </si>
  <si>
    <t>Stadionvænget</t>
  </si>
  <si>
    <t>Skolevej</t>
  </si>
  <si>
    <t>Torpvej</t>
  </si>
  <si>
    <t>Stationsvej</t>
  </si>
  <si>
    <t>Linien</t>
  </si>
  <si>
    <t xml:space="preserve">Kaj Nielsens Vej </t>
  </si>
  <si>
    <t xml:space="preserve">Byvejen </t>
  </si>
  <si>
    <t xml:space="preserve">Langgade </t>
  </si>
  <si>
    <t>Bogensevej</t>
  </si>
  <si>
    <t>Orte Vejsmark</t>
  </si>
  <si>
    <t xml:space="preserve">Tobovej </t>
  </si>
  <si>
    <t xml:space="preserve">Langstedvej </t>
  </si>
  <si>
    <t xml:space="preserve">Søndersøvej </t>
  </si>
  <si>
    <t xml:space="preserve">Kelstrupvej </t>
  </si>
  <si>
    <t xml:space="preserve">Sportsvej </t>
  </si>
  <si>
    <t>Snavevej</t>
  </si>
  <si>
    <t>Stadionvej</t>
  </si>
  <si>
    <t>Skelvej</t>
  </si>
  <si>
    <t>Salbrovad</t>
  </si>
  <si>
    <t>Krengerupvej</t>
  </si>
  <si>
    <t>Kelstrupvej</t>
  </si>
  <si>
    <t>Fuglebakken</t>
  </si>
  <si>
    <t>Kertevej</t>
  </si>
  <si>
    <t>Bøllehuset</t>
  </si>
  <si>
    <t xml:space="preserve">Lindevej </t>
  </si>
  <si>
    <t>Bredgade</t>
  </si>
  <si>
    <t xml:space="preserve">Skolevej </t>
  </si>
  <si>
    <t>Mosevangen</t>
  </si>
  <si>
    <t>Jordløse Børnecenter</t>
  </si>
  <si>
    <t xml:space="preserve">Jordløse Møllevej </t>
  </si>
  <si>
    <t>Ryttergade</t>
  </si>
  <si>
    <t>Brylle Børnehave</t>
  </si>
  <si>
    <t>Fuglekilden</t>
  </si>
  <si>
    <t>Fuglekildevej</t>
  </si>
  <si>
    <t>Teglbakken</t>
  </si>
  <si>
    <t>Skovstrupvej</t>
  </si>
  <si>
    <t>Børnehuset i Ebberup</t>
  </si>
  <si>
    <t>Korsvang</t>
  </si>
  <si>
    <t>Kærumvej</t>
  </si>
  <si>
    <t>Barløsevej</t>
  </si>
  <si>
    <t>Pilehaven</t>
  </si>
  <si>
    <t>Østerled</t>
  </si>
  <si>
    <t>Pleje- og Ældrecentre</t>
  </si>
  <si>
    <t>Østergade</t>
  </si>
  <si>
    <t>4A</t>
  </si>
  <si>
    <t xml:space="preserve">Odensevej </t>
  </si>
  <si>
    <t>Fåborgvej</t>
  </si>
  <si>
    <t xml:space="preserve">Birkevej </t>
  </si>
  <si>
    <t xml:space="preserve">Østergade </t>
  </si>
  <si>
    <t xml:space="preserve">Dærupvej </t>
  </si>
  <si>
    <t>De Gamles Hjem</t>
  </si>
  <si>
    <t>Th. Bangsvej</t>
  </si>
  <si>
    <t>Sortebrovej</t>
  </si>
  <si>
    <t>Vestervangen</t>
  </si>
  <si>
    <t>Kildevangen</t>
  </si>
  <si>
    <t>Syrenvej</t>
  </si>
  <si>
    <t>Søndergade</t>
  </si>
  <si>
    <t>Industrien (bibliotek og biograf)</t>
  </si>
  <si>
    <t>Kærvangen</t>
  </si>
  <si>
    <t>Glamsbjerg Bibliotek</t>
  </si>
  <si>
    <t>Aarup Stadion</t>
  </si>
  <si>
    <t>Prinsehøjsvej</t>
  </si>
  <si>
    <t xml:space="preserve">Korsvang </t>
  </si>
  <si>
    <t xml:space="preserve">Lindebjerg </t>
  </si>
  <si>
    <t>Vestfynsværkstederne</t>
  </si>
  <si>
    <t xml:space="preserve">Pilevej </t>
  </si>
  <si>
    <t>Ellehaven</t>
  </si>
  <si>
    <t xml:space="preserve">Krabbeløkkevej </t>
  </si>
  <si>
    <t xml:space="preserve">Adelgade </t>
  </si>
  <si>
    <t>Assens Stadion</t>
  </si>
  <si>
    <t xml:space="preserve">Stadionvej </t>
  </si>
  <si>
    <t>Turup Klubhus</t>
  </si>
  <si>
    <t xml:space="preserve">Assensvej </t>
  </si>
  <si>
    <t xml:space="preserve">Barløsevej </t>
  </si>
  <si>
    <t>Kirkehelle</t>
  </si>
  <si>
    <t>Gl. Torø Huse Vej</t>
  </si>
  <si>
    <t>Højeløkkevej</t>
  </si>
  <si>
    <t>Industrivej</t>
  </si>
  <si>
    <t xml:space="preserve">Ingrid Marie Vej </t>
  </si>
  <si>
    <t xml:space="preserve">Trunderupvej </t>
  </si>
  <si>
    <t>Ebberup</t>
  </si>
  <si>
    <t xml:space="preserve">Skovvej </t>
  </si>
  <si>
    <t>Kirkebjerg</t>
  </si>
  <si>
    <t xml:space="preserve">Næsvej </t>
  </si>
  <si>
    <t xml:space="preserve">Sportsvej  </t>
  </si>
  <si>
    <t>3A</t>
  </si>
  <si>
    <t>11D</t>
  </si>
  <si>
    <t>29E</t>
  </si>
  <si>
    <t>89C</t>
  </si>
  <si>
    <t>101A</t>
  </si>
  <si>
    <t>43A</t>
  </si>
  <si>
    <t>Paletten Aktivitetshus</t>
  </si>
  <si>
    <t>Assens Sejlklub</t>
  </si>
  <si>
    <t>Glamsbjerg Stadion</t>
  </si>
  <si>
    <t>Naturskolen på Baagø</t>
  </si>
  <si>
    <t>Boldhus Kerte</t>
  </si>
  <si>
    <t>71-75</t>
  </si>
  <si>
    <t>003939 A</t>
  </si>
  <si>
    <t>EJENDOMSNR.</t>
  </si>
  <si>
    <t>009539 B</t>
  </si>
  <si>
    <t>000212 A</t>
  </si>
  <si>
    <t>009539 A</t>
  </si>
  <si>
    <t>000212 B</t>
  </si>
  <si>
    <t>012458 B</t>
  </si>
  <si>
    <t>017948 A</t>
  </si>
  <si>
    <t>003939 B</t>
  </si>
  <si>
    <t>012458 A</t>
  </si>
  <si>
    <t>Ebberup Skole + SFO</t>
  </si>
  <si>
    <t>Glamsbjergskolen + SFO + Musikskole m.m.</t>
  </si>
  <si>
    <t>Dreslette Skole + SFO + Børnehave</t>
  </si>
  <si>
    <t>Børnehaven Fuglereden</t>
  </si>
  <si>
    <t>Børnehaven Østerled</t>
  </si>
  <si>
    <t>Agerholm Gårdbørnehave</t>
  </si>
  <si>
    <t>Børnehuset Salbrohave</t>
  </si>
  <si>
    <t>Salbrovadskolen + SFO</t>
  </si>
  <si>
    <t>Strandgade</t>
  </si>
  <si>
    <t>Pilehaveskolen + SFO</t>
  </si>
  <si>
    <t>Gummerup Skole + SFO + Børnehave</t>
  </si>
  <si>
    <t>Flemløse Skole + SFO + Børnehave</t>
  </si>
  <si>
    <t>Verninge Skole + SFO</t>
  </si>
  <si>
    <t>Assens Vandrerhjem</t>
  </si>
  <si>
    <t>Tandklinik Ebberup Skole</t>
  </si>
  <si>
    <t>Linien 2 (legestue, mødelokaler m.m.)</t>
  </si>
  <si>
    <t>Assensskolen + SFO + Tandklinik</t>
  </si>
  <si>
    <t>Vissenbjerg Skole + Musik/Ungdomsskole</t>
  </si>
  <si>
    <t>Børnehaven Gustavsminde</t>
  </si>
  <si>
    <t>Uglebo</t>
  </si>
  <si>
    <t>Regnbuen, Haarby</t>
  </si>
  <si>
    <t>Spiloppen</t>
  </si>
  <si>
    <t>Gårdbørnehaven "Overmarksgården"</t>
  </si>
  <si>
    <t>Solbakken</t>
  </si>
  <si>
    <t>Mælkebøtten</t>
  </si>
  <si>
    <t>Børnehaven Bøgedal (Bred Gl. Skole)</t>
  </si>
  <si>
    <t>Skovbrynet</t>
  </si>
  <si>
    <t>Børnehaven 1000-ben</t>
  </si>
  <si>
    <t>Børnehaven Fuglebakken</t>
  </si>
  <si>
    <t>Børnehaven Gnisten</t>
  </si>
  <si>
    <t>Flemløse Plejehjem + (Rosenhaven Dagcenter)</t>
  </si>
  <si>
    <t>Æblehaven Ældrecenter</t>
  </si>
  <si>
    <t>Birkely Ældreboliger</t>
  </si>
  <si>
    <t>Aarup Materialegård</t>
  </si>
  <si>
    <t>Naturbørnehaven Krummeluren</t>
  </si>
  <si>
    <t>Draco Klub</t>
  </si>
  <si>
    <t>Skallebjergvej</t>
  </si>
  <si>
    <t>Lokalhistorisk arkiv (Brylle Bibliotek)</t>
  </si>
  <si>
    <t>Børnehuset Møllebakken + Solsikken</t>
  </si>
  <si>
    <t>Haarby Skole + Ungdomsskole + SFO</t>
  </si>
  <si>
    <t>AREAL</t>
  </si>
  <si>
    <t>Aarupskolen + Musik/Ungdomsskole + SFO</t>
  </si>
  <si>
    <t>31-33</t>
  </si>
  <si>
    <t>Nygade</t>
  </si>
  <si>
    <t>Vissenbjerg Bibliotek</t>
  </si>
  <si>
    <t>Hytten Dagplejen</t>
  </si>
  <si>
    <t>24-26</t>
  </si>
  <si>
    <t>89D</t>
  </si>
  <si>
    <t>Brylle Skole + SFO</t>
  </si>
  <si>
    <t>Tallerupskolen + SFO</t>
  </si>
  <si>
    <t>Lilleskovvej - Tallerupvej</t>
  </si>
  <si>
    <t>Tommerup Skole +SFO</t>
  </si>
  <si>
    <t>Stadionvænget - Nyholmsvej</t>
  </si>
  <si>
    <t>12556 - 13934</t>
  </si>
  <si>
    <t>Skallebølle Skole + SFO</t>
  </si>
  <si>
    <t>14 - 16</t>
  </si>
  <si>
    <t>43 - 45</t>
  </si>
  <si>
    <t>16 -18</t>
  </si>
  <si>
    <t>3 + 53</t>
  </si>
  <si>
    <t>7 + 30</t>
  </si>
  <si>
    <t>Savværksvej</t>
  </si>
  <si>
    <t>4</t>
  </si>
  <si>
    <t>2</t>
  </si>
  <si>
    <t>18132 B</t>
  </si>
  <si>
    <t>18132 A</t>
  </si>
  <si>
    <t>Haarby Bibliotek</t>
  </si>
  <si>
    <t>Sportsvej</t>
  </si>
  <si>
    <t>9539 B</t>
  </si>
  <si>
    <t>017948 C</t>
  </si>
  <si>
    <t>16B</t>
  </si>
  <si>
    <t>012472 A</t>
  </si>
  <si>
    <t>012472 B</t>
  </si>
  <si>
    <t>16A</t>
  </si>
  <si>
    <t>Byggeår</t>
  </si>
  <si>
    <t>Ingen</t>
  </si>
  <si>
    <t>1900 / 1990</t>
  </si>
  <si>
    <t>1950 / 1996</t>
  </si>
  <si>
    <t>1961 / 2004</t>
  </si>
  <si>
    <t>1900 / 1967</t>
  </si>
  <si>
    <t>1955 - 2005</t>
  </si>
  <si>
    <t>1984 - 2002</t>
  </si>
  <si>
    <t>1994 - 1998</t>
  </si>
  <si>
    <t>1935 - 1955</t>
  </si>
  <si>
    <t>1970 - 2004</t>
  </si>
  <si>
    <t>1966 - 1989</t>
  </si>
  <si>
    <t>1982 - 1988</t>
  </si>
  <si>
    <t>1950 / 1972</t>
  </si>
  <si>
    <t>1993 / 1994</t>
  </si>
  <si>
    <t>1964 - 2003</t>
  </si>
  <si>
    <t>1955 - 2002</t>
  </si>
  <si>
    <t>1991 - 1995</t>
  </si>
  <si>
    <t>(1998)</t>
  </si>
  <si>
    <t>1954 - 1982</t>
  </si>
  <si>
    <t>1974 - 1993</t>
  </si>
  <si>
    <t>1910</t>
  </si>
  <si>
    <t>1997</t>
  </si>
  <si>
    <t>1957 / 1987</t>
  </si>
  <si>
    <t>2001</t>
  </si>
  <si>
    <t>1952 - 2001</t>
  </si>
  <si>
    <t>2004</t>
  </si>
  <si>
    <t>1964 - 1974</t>
  </si>
  <si>
    <t>2003</t>
  </si>
  <si>
    <t>1909 - 2002</t>
  </si>
  <si>
    <t>1938 - 2001</t>
  </si>
  <si>
    <t>1927 - 2003</t>
  </si>
  <si>
    <t>1984 - 2005</t>
  </si>
  <si>
    <t>1953 /1983</t>
  </si>
  <si>
    <t>2002</t>
  </si>
  <si>
    <t>2006</t>
  </si>
  <si>
    <t>1954</t>
  </si>
  <si>
    <t>2005</t>
  </si>
  <si>
    <t>Bem.</t>
  </si>
  <si>
    <t>1954 - 1996</t>
  </si>
  <si>
    <t>2002 / 2004</t>
  </si>
  <si>
    <t>2000</t>
  </si>
  <si>
    <t>1980 / 2001</t>
  </si>
  <si>
    <t>1904 / 2004</t>
  </si>
  <si>
    <t>1995</t>
  </si>
  <si>
    <t>1980 - 1984</t>
  </si>
  <si>
    <t>1998</t>
  </si>
  <si>
    <t>Er under ombygning</t>
  </si>
  <si>
    <t>1967</t>
  </si>
  <si>
    <t>1997 / 1999</t>
  </si>
  <si>
    <t>1897</t>
  </si>
  <si>
    <t>1980</t>
  </si>
  <si>
    <t>1982</t>
  </si>
  <si>
    <t>1994</t>
  </si>
  <si>
    <t>007510 B</t>
  </si>
  <si>
    <t>007510 A</t>
  </si>
  <si>
    <t>1993</t>
  </si>
  <si>
    <t>1955</t>
  </si>
  <si>
    <t>1971</t>
  </si>
  <si>
    <t>1900 - 2000</t>
  </si>
  <si>
    <t>(1995)</t>
  </si>
  <si>
    <t>1985</t>
  </si>
  <si>
    <t>1827 / 1989</t>
  </si>
  <si>
    <t>1976 - 1987</t>
  </si>
  <si>
    <t>1937</t>
  </si>
  <si>
    <t>1850 - 2002</t>
  </si>
  <si>
    <t>1994 / 1998</t>
  </si>
  <si>
    <t>1790</t>
  </si>
  <si>
    <t>1992</t>
  </si>
  <si>
    <t>1930</t>
  </si>
  <si>
    <t>1972</t>
  </si>
  <si>
    <t>1996</t>
  </si>
  <si>
    <t>1965</t>
  </si>
  <si>
    <t>015143 A</t>
  </si>
  <si>
    <t>1969</t>
  </si>
  <si>
    <t>015143 B</t>
  </si>
  <si>
    <t>1900</t>
  </si>
  <si>
    <t>1975</t>
  </si>
  <si>
    <t>1900 -1993</t>
  </si>
  <si>
    <t>1980 / 1993</t>
  </si>
  <si>
    <t>1981 / 1999</t>
  </si>
  <si>
    <t>20A</t>
  </si>
  <si>
    <t>1999</t>
  </si>
  <si>
    <t>1974 / 1996</t>
  </si>
  <si>
    <t>(2002)</t>
  </si>
  <si>
    <t>1991</t>
  </si>
  <si>
    <t>1990</t>
  </si>
  <si>
    <t>1977</t>
  </si>
  <si>
    <t>1969 - 2004</t>
  </si>
  <si>
    <t>1989 - 1993</t>
  </si>
  <si>
    <t>1978</t>
  </si>
  <si>
    <t>1934 - 2000</t>
  </si>
  <si>
    <t>1974</t>
  </si>
  <si>
    <t>1994 / 2001</t>
  </si>
  <si>
    <t>1980 / 2005</t>
  </si>
  <si>
    <t>1937 - 1981</t>
  </si>
  <si>
    <t>2000 - 2005</t>
  </si>
  <si>
    <t>1951</t>
  </si>
  <si>
    <t>1914</t>
  </si>
  <si>
    <t>1961 - 1989</t>
  </si>
  <si>
    <t>1984 / 1986</t>
  </si>
  <si>
    <t>1981</t>
  </si>
  <si>
    <t>1970 / 1985</t>
  </si>
  <si>
    <t>1986</t>
  </si>
  <si>
    <t>1964</t>
  </si>
  <si>
    <t>1927</t>
  </si>
  <si>
    <t>1952</t>
  </si>
  <si>
    <t>(2004)</t>
  </si>
  <si>
    <t>1936</t>
  </si>
  <si>
    <t>1890 / 1954</t>
  </si>
  <si>
    <t>1964 - 1999</t>
  </si>
  <si>
    <t>(1987)</t>
  </si>
  <si>
    <t>Evt. om/tilbygn.</t>
  </si>
  <si>
    <t>Energimærket d. 14.12.2005</t>
  </si>
  <si>
    <t>Energimærket d. 15.12.2005</t>
  </si>
  <si>
    <t>Energimærket d. 17.06.2004</t>
  </si>
  <si>
    <t>Energimærket d. 14.06.2004</t>
  </si>
  <si>
    <t>Energimærket d. 14.12.1998</t>
  </si>
  <si>
    <t>Energimærket d. 28.01.2000</t>
  </si>
  <si>
    <t>Kontaktperson</t>
  </si>
  <si>
    <t>Tlf.nr.</t>
  </si>
  <si>
    <t>64 47 19 28</t>
  </si>
  <si>
    <t>Birgit Lundbæk</t>
  </si>
  <si>
    <t>64 74 14 40</t>
  </si>
  <si>
    <t>Grete Jørgensen</t>
  </si>
  <si>
    <t>64 79 17 66</t>
  </si>
  <si>
    <t>Vagn O de Roche</t>
  </si>
  <si>
    <t>64 71 49 61</t>
  </si>
  <si>
    <t>Gitte Jørgensen</t>
  </si>
  <si>
    <t>64 71 27 67</t>
  </si>
  <si>
    <t>Annette Lendal</t>
  </si>
  <si>
    <t>64 71 10 73</t>
  </si>
  <si>
    <t>Bodil Pedersen</t>
  </si>
  <si>
    <t>64 71 22 31</t>
  </si>
  <si>
    <t>Anni Lindtoft</t>
  </si>
  <si>
    <t>64 73 35 88</t>
  </si>
  <si>
    <t>Lisbeth Hansen</t>
  </si>
  <si>
    <t>64 73 35 00</t>
  </si>
  <si>
    <t>Jette Andersen</t>
  </si>
  <si>
    <t>64 73 17 06</t>
  </si>
  <si>
    <t>Britta Frederiksen</t>
  </si>
  <si>
    <t>64 72 30 60</t>
  </si>
  <si>
    <t>Lisbet Hammer</t>
  </si>
  <si>
    <t>64 75 19 80</t>
  </si>
  <si>
    <t>Dorrit Arnecke</t>
  </si>
  <si>
    <t>64 75 10 74</t>
  </si>
  <si>
    <t>Grethe Milling</t>
  </si>
  <si>
    <t>64 74 66 60</t>
  </si>
  <si>
    <t>Hanne Enegaard</t>
  </si>
  <si>
    <t>64 76 25 90</t>
  </si>
  <si>
    <t>Lisbeth Jakobsen</t>
  </si>
  <si>
    <t>64 75 19 19</t>
  </si>
  <si>
    <t>Gitte Kristensen</t>
  </si>
  <si>
    <t>64 74 66 66</t>
  </si>
  <si>
    <t>Vibeke Bruun</t>
  </si>
  <si>
    <t>65 96 75 28</t>
  </si>
  <si>
    <t>Merete Schmidt</t>
  </si>
  <si>
    <t>64 47 14 92</t>
  </si>
  <si>
    <t>Hanne Kristensen</t>
  </si>
  <si>
    <t>64 43 22 79</t>
  </si>
  <si>
    <t>Jens Gunnersen</t>
  </si>
  <si>
    <t>Dina Jakobsen</t>
  </si>
  <si>
    <t>64 43 31 34</t>
  </si>
  <si>
    <t>Svand Knudsen</t>
  </si>
  <si>
    <t>64 45 16 49</t>
  </si>
  <si>
    <t>Helle Sørensen</t>
  </si>
  <si>
    <t>64 43 17 94</t>
  </si>
  <si>
    <t>Lene Due</t>
  </si>
  <si>
    <t>63 71 85 33</t>
  </si>
  <si>
    <t>21 62 58 17</t>
  </si>
  <si>
    <t>21 21 21 92</t>
  </si>
  <si>
    <t>Klaus Dræby</t>
  </si>
  <si>
    <t>22 17 18 50</t>
  </si>
  <si>
    <t xml:space="preserve">Lars Eilsø </t>
  </si>
  <si>
    <t>Ole Larsen</t>
  </si>
  <si>
    <t>40 43 29 54</t>
  </si>
  <si>
    <t>Poul Erik Pedersen</t>
  </si>
  <si>
    <t>21 71 71 75</t>
  </si>
  <si>
    <t>Søren Vig</t>
  </si>
  <si>
    <t>20 80 23 86</t>
  </si>
  <si>
    <t>Poul Erik Caspersen</t>
  </si>
  <si>
    <t>21 64 76 26</t>
  </si>
  <si>
    <t>Kim Christensen</t>
  </si>
  <si>
    <t>30 25 23 15</t>
  </si>
  <si>
    <t>Dan Andersen</t>
  </si>
  <si>
    <t>20 88 71 11</t>
  </si>
  <si>
    <t>Jan Skov</t>
  </si>
  <si>
    <t>22 73 88 17</t>
  </si>
  <si>
    <t>Michael Poulsen</t>
  </si>
  <si>
    <t>64 43 23 43</t>
  </si>
  <si>
    <t>Karsten Jørgensen</t>
  </si>
  <si>
    <t>20 69 18 03</t>
  </si>
  <si>
    <t>Søren Børgesen</t>
  </si>
  <si>
    <t>25 23 28 20</t>
  </si>
  <si>
    <t>Lars Voldsgaard</t>
  </si>
  <si>
    <t>25 23 28 02</t>
  </si>
  <si>
    <t>Martin Bang</t>
  </si>
  <si>
    <t>25 23 28 30</t>
  </si>
  <si>
    <t>Steen Jensen</t>
  </si>
  <si>
    <t>40 35 05 41</t>
  </si>
  <si>
    <t>Maja Skøtt</t>
  </si>
  <si>
    <t>64 74 15 45</t>
  </si>
  <si>
    <t>Arne Knudsen</t>
  </si>
  <si>
    <t>23 66 74 77</t>
  </si>
  <si>
    <t>Frank Skytte</t>
  </si>
  <si>
    <t>64 74 72 37</t>
  </si>
  <si>
    <t>Tove Thomsen</t>
  </si>
  <si>
    <t>22 76 32 92</t>
  </si>
  <si>
    <t>Helge Petersen</t>
  </si>
  <si>
    <t>63 43 02 49</t>
  </si>
  <si>
    <t>John Erik Petersen</t>
  </si>
  <si>
    <t>64 72 10 09</t>
  </si>
  <si>
    <t>Brian Larsen</t>
  </si>
  <si>
    <t>20 69 18 40</t>
  </si>
  <si>
    <t>Johnny Jørgensen</t>
  </si>
  <si>
    <t>26 47 60 51</t>
  </si>
  <si>
    <t>Niels Frederiksen</t>
  </si>
  <si>
    <t>29 44 34 47</t>
  </si>
  <si>
    <t>40 36 24 09</t>
  </si>
  <si>
    <t>Kai Nielsen</t>
  </si>
  <si>
    <t>29 26 99 50</t>
  </si>
  <si>
    <t>Poul Erik Borup</t>
  </si>
  <si>
    <t>Jytte Ryaael</t>
  </si>
  <si>
    <t>64 74 11 12</t>
  </si>
  <si>
    <t>64 74 66 15</t>
  </si>
  <si>
    <t>Rasmus Laursen</t>
  </si>
  <si>
    <t>64 75 18 11</t>
  </si>
  <si>
    <t>Per Jørgensen</t>
  </si>
  <si>
    <t>63 62 21 37</t>
  </si>
  <si>
    <t>Paul Knudsen</t>
  </si>
  <si>
    <t>64 74 66 30</t>
  </si>
  <si>
    <t>Walther Christensen</t>
  </si>
  <si>
    <t>64 71 12 37</t>
  </si>
  <si>
    <t>64 74 66 20</t>
  </si>
  <si>
    <t>Agnethe Qvist</t>
  </si>
  <si>
    <t>Pronto Pizza</t>
  </si>
  <si>
    <t>64 43 22 21</t>
  </si>
  <si>
    <t>Varme</t>
  </si>
  <si>
    <t>Fjernvarme</t>
  </si>
  <si>
    <t>Naturgas</t>
  </si>
  <si>
    <t>Olie</t>
  </si>
  <si>
    <t>Freddy Nielsen</t>
  </si>
  <si>
    <t>64 74 67 91</t>
  </si>
  <si>
    <t>Karsten Lavlund</t>
  </si>
  <si>
    <t>64 74 73 19</t>
  </si>
  <si>
    <t>Elopvarmning</t>
  </si>
  <si>
    <t>Lene Jørgensen</t>
  </si>
  <si>
    <t>64 74 69 21</t>
  </si>
  <si>
    <t>Sina Moltrup</t>
  </si>
  <si>
    <t>24 86 20 93</t>
  </si>
  <si>
    <t>Aase Bartholin</t>
  </si>
  <si>
    <t>24 89 20 90</t>
  </si>
  <si>
    <t>Charlotte Jørgensen</t>
  </si>
  <si>
    <t>64 73 10 06</t>
  </si>
  <si>
    <t>Inge Svejdal</t>
  </si>
  <si>
    <t>64 74 69 70</t>
  </si>
  <si>
    <t>Jinnie Hemmingsen</t>
  </si>
  <si>
    <t>64 72 17 75</t>
  </si>
  <si>
    <t>Tove Pedersen</t>
  </si>
  <si>
    <t>Sussie Rye</t>
  </si>
  <si>
    <t>64 73 38 88</t>
  </si>
  <si>
    <t>Henrik Hansen</t>
  </si>
  <si>
    <t>64 79 13 84</t>
  </si>
  <si>
    <t>Ib Poulsen</t>
  </si>
  <si>
    <t>63 71 01 10</t>
  </si>
  <si>
    <t>Tom Juul Hansen</t>
  </si>
  <si>
    <t>63 43 02 22</t>
  </si>
  <si>
    <t xml:space="preserve">Bent Damsbo  </t>
  </si>
  <si>
    <t>Mobil  21 45 52 72</t>
  </si>
  <si>
    <t>64 72 33 92</t>
  </si>
  <si>
    <t>El</t>
  </si>
  <si>
    <t>Forbruget ligger under Salbrovad skole</t>
  </si>
  <si>
    <t>Forbrug sammen med nr, 78</t>
  </si>
  <si>
    <t>Peer Bjørnskov Madsen</t>
  </si>
  <si>
    <t>64 74 73 74</t>
  </si>
  <si>
    <t>18624 A</t>
  </si>
  <si>
    <t>Formand</t>
  </si>
  <si>
    <t>64 71 25 60</t>
  </si>
  <si>
    <t>Franck Marker</t>
  </si>
  <si>
    <t>Arne Olsen</t>
  </si>
  <si>
    <t>64 74 21 39</t>
  </si>
  <si>
    <t>Mobil 40 85 21 39</t>
  </si>
  <si>
    <t>Kurt Hansen 64 43 19 83</t>
  </si>
  <si>
    <t>Jens Pedersen</t>
  </si>
  <si>
    <t>21 71 71 74</t>
  </si>
  <si>
    <t>Til- og ombygges - forventes afsluttet primo juni 2009</t>
  </si>
  <si>
    <t>Tegninger og BBR ligger under Haarby skole</t>
  </si>
  <si>
    <t>Poul Erik Pedersen                     Jens Pedersen</t>
  </si>
  <si>
    <t>21 71 71 75               21 71 71 74</t>
  </si>
  <si>
    <t>SFO</t>
  </si>
  <si>
    <t>Arne Storm Jørgensen</t>
  </si>
  <si>
    <t>40 81 11 19</t>
  </si>
  <si>
    <t>8</t>
  </si>
  <si>
    <t>10</t>
  </si>
  <si>
    <t>12</t>
  </si>
  <si>
    <t>Enhed</t>
  </si>
  <si>
    <t>Benzin</t>
  </si>
  <si>
    <t>Diesel</t>
  </si>
  <si>
    <t>Administrationsbygninger</t>
  </si>
  <si>
    <t>Skoler</t>
  </si>
  <si>
    <t>Daginstitutioner</t>
  </si>
  <si>
    <t>Materialegårde</t>
  </si>
  <si>
    <t>Distrikt 2</t>
  </si>
  <si>
    <t>Distrikt 3</t>
  </si>
  <si>
    <t>BRÆNDSTOF</t>
  </si>
  <si>
    <t>Udgift</t>
  </si>
  <si>
    <t>-</t>
  </si>
  <si>
    <t>Ældrepleje</t>
  </si>
  <si>
    <t>Kulturinstitutioner</t>
  </si>
  <si>
    <t>Andre kommunale bygninger</t>
  </si>
  <si>
    <t>Transport i alt</t>
  </si>
  <si>
    <t>Plejepersonalekørsel (hjemmehjælp mv.)</t>
  </si>
  <si>
    <t>Teknisk forvaltnings kørsel og forbrug (Vej &amp; Park mv.)</t>
  </si>
  <si>
    <t>Anden kørsel (inkl. i private biler)</t>
  </si>
  <si>
    <t>Offentlig transport i alt</t>
  </si>
  <si>
    <t>Offentlige busser</t>
  </si>
  <si>
    <t>Færger</t>
  </si>
  <si>
    <t>Skolebusordning</t>
  </si>
  <si>
    <t>Andet</t>
  </si>
  <si>
    <t>Vejbelysning</t>
  </si>
  <si>
    <t>Idrætsanlæg i alt</t>
  </si>
  <si>
    <t>Svømmehaller</t>
  </si>
  <si>
    <t>Indsamling af husholdningsaffald</t>
  </si>
  <si>
    <t>Behandling af husholdningsaffald</t>
  </si>
  <si>
    <t>Tekniske anlæg i alt</t>
  </si>
  <si>
    <t>Vandværk</t>
  </si>
  <si>
    <t>Rensningsanlæg</t>
  </si>
  <si>
    <t>Genbrugspladser</t>
  </si>
  <si>
    <t>I alt (hele kommunen)</t>
  </si>
  <si>
    <t>Energiindhold</t>
  </si>
  <si>
    <t>MJ/Nm3</t>
  </si>
  <si>
    <t>kr/km</t>
  </si>
  <si>
    <t>Brændstofpris</t>
  </si>
  <si>
    <t>kr/L</t>
  </si>
  <si>
    <t>km/år</t>
  </si>
  <si>
    <t>Brændstofforbrug</t>
  </si>
  <si>
    <t>Sats</t>
  </si>
  <si>
    <t>kr/år</t>
  </si>
  <si>
    <t>type</t>
  </si>
  <si>
    <t>L/år</t>
  </si>
  <si>
    <t>Årlig kørsel</t>
  </si>
  <si>
    <t>Andel benzin</t>
  </si>
  <si>
    <t>%</t>
  </si>
  <si>
    <t>ton/år</t>
  </si>
  <si>
    <t>Tjenestekøresel i privat bil</t>
  </si>
  <si>
    <t>m3</t>
  </si>
  <si>
    <t>L</t>
  </si>
  <si>
    <t>kWh</t>
  </si>
  <si>
    <t>MWh</t>
  </si>
  <si>
    <t>kWh/m2</t>
  </si>
  <si>
    <t>Relativ varme</t>
  </si>
  <si>
    <t>Varme total</t>
  </si>
  <si>
    <t>Relativ el</t>
  </si>
  <si>
    <t>Madudbringning</t>
  </si>
  <si>
    <t>Udliciteret og medtages derfor ikke</t>
  </si>
  <si>
    <t>m2</t>
  </si>
  <si>
    <t>Vand</t>
  </si>
  <si>
    <t>OFFENTLIG TRANSPORT</t>
  </si>
  <si>
    <t>ny indtastning</t>
  </si>
  <si>
    <t>Losseplads</t>
  </si>
  <si>
    <t>Kommunal bygninger</t>
  </si>
  <si>
    <t>Tjenestekørsel</t>
  </si>
  <si>
    <t>Offentlig transport</t>
  </si>
  <si>
    <t>Idrætsanlæg</t>
  </si>
  <si>
    <t>Affaldshåndtering</t>
  </si>
  <si>
    <t>Tekniske anlæg</t>
  </si>
  <si>
    <t>I alt</t>
  </si>
  <si>
    <t>Kommunale bygninger i alt</t>
  </si>
  <si>
    <t>Andre kommunal bygninger</t>
  </si>
  <si>
    <t>Indrætanlæg i alt</t>
  </si>
  <si>
    <t>Affaldshåndtering i alt</t>
  </si>
  <si>
    <t>Vejbelysning i alt</t>
  </si>
  <si>
    <t>Areal</t>
  </si>
  <si>
    <t>Elforbrug</t>
  </si>
  <si>
    <t>CO2-udledning</t>
  </si>
  <si>
    <t>TRANSPORT</t>
  </si>
  <si>
    <t>kg/borger/år</t>
  </si>
  <si>
    <t xml:space="preserve">Danmarks Naturfredningsforening, "Vejledning til opgørelse og dokumentation af kommunens CO2-udledninger og -reduktioner" </t>
  </si>
  <si>
    <t>Benzin/diesel*</t>
  </si>
  <si>
    <t>Energinet.dk, "Miljødeklarationer for el"</t>
  </si>
  <si>
    <t>CO2 udledning</t>
  </si>
  <si>
    <t>CO2-udledning, samlet</t>
  </si>
  <si>
    <t>CO2-udledning, bygninger</t>
  </si>
  <si>
    <t>Relativ CO2-udledning (kg/borger)</t>
  </si>
  <si>
    <t>Årligt brændstofforbrug</t>
  </si>
  <si>
    <t>VEJBELYSNING</t>
  </si>
  <si>
    <t>Forbrug</t>
  </si>
  <si>
    <t>Kilde</t>
  </si>
  <si>
    <t>Energi Fyn</t>
  </si>
  <si>
    <t>Ny indtastning</t>
  </si>
  <si>
    <t>Brændstof</t>
  </si>
  <si>
    <t>* Det antages at 77% af tjenestekørslen foregår i benzinbiler iht. DN</t>
  </si>
  <si>
    <t>CO2_benzin</t>
  </si>
  <si>
    <t>CO2_diesel</t>
  </si>
  <si>
    <t>kg/år</t>
  </si>
  <si>
    <t>CO2_total</t>
  </si>
  <si>
    <t>k/år</t>
  </si>
  <si>
    <t>CO2_el</t>
  </si>
  <si>
    <t>CO2_fjernvarme</t>
  </si>
  <si>
    <t>CO2_naturgas</t>
  </si>
  <si>
    <t>CO2_olie</t>
  </si>
  <si>
    <t>CO2_varme</t>
  </si>
  <si>
    <t>Sportsanlæg - stadions</t>
  </si>
  <si>
    <t>Sportsanlæg - andre</t>
  </si>
  <si>
    <t>Stadions incl. tilhørende klubhuse</t>
  </si>
  <si>
    <t>Skoler, fritids- og ungdomsklubber</t>
  </si>
  <si>
    <t>Brændsel</t>
  </si>
  <si>
    <t>Værdi</t>
  </si>
  <si>
    <t>kg/kWh</t>
  </si>
  <si>
    <t>kg/Nm3</t>
  </si>
  <si>
    <t>MJ/liter</t>
  </si>
  <si>
    <t>kg/liter</t>
  </si>
  <si>
    <t>Energistyrelsen</t>
  </si>
  <si>
    <t>Indbyggere i Assens kommune:</t>
  </si>
  <si>
    <t>kg/km</t>
  </si>
  <si>
    <t>Relativ CO2-udledning (kg/m2)</t>
  </si>
  <si>
    <t>Fjernvarmeværk</t>
  </si>
  <si>
    <t>Assens Fjernvarme</t>
  </si>
  <si>
    <t>Vissenbjerg Fjernvarme</t>
  </si>
  <si>
    <t>Glamsbjerg Fjernvarme</t>
  </si>
  <si>
    <t>Haarby Fjernvarme</t>
  </si>
  <si>
    <t>Energikilde</t>
  </si>
  <si>
    <t>Informationskilde</t>
  </si>
  <si>
    <t>Fjernvarmeværker</t>
  </si>
  <si>
    <t>Brændsel på værket</t>
  </si>
  <si>
    <t>TEKNISKE ANLÆG</t>
  </si>
  <si>
    <t>IDRÆTSANLÆG</t>
  </si>
  <si>
    <t>KOMMUNALE BYGNINGER</t>
  </si>
  <si>
    <r>
      <t>Vejledning til beregning af den årlige CO2-reduktion</t>
    </r>
    <r>
      <rPr>
        <sz val="11"/>
        <rFont val="Arial"/>
        <family val="2"/>
      </rPr>
      <t xml:space="preserve">:
Værdierne i røde firkant kopieres til arket "Samlet CO2-regnskab".
</t>
    </r>
    <r>
      <rPr>
        <i/>
        <sz val="11"/>
        <rFont val="Arial"/>
        <family val="2"/>
      </rPr>
      <t>Fremgangsmåde</t>
    </r>
    <r>
      <rPr>
        <sz val="11"/>
        <rFont val="Arial"/>
        <family val="2"/>
      </rPr>
      <t xml:space="preserve">
1: De røde felter markes og kopieres på sædvanlig vis.
2: Gå til arket for det aktuelle år hvor CO2-reduktionen ønskes beregnet.
3: Gå til feltet svarende til teksten ud for det øverste røde felt.
4: Højreklikkes på feltet og vælg "Indsæt speciel (Paste special)" og vælg "Værdier (Values)"
Nu skulle alene værdier være kopieret.</t>
    </r>
  </si>
  <si>
    <t>Træflis*</t>
  </si>
  <si>
    <t>*Træflis har pr. def. en CO2-udledning på 0 kg/kWh</t>
  </si>
  <si>
    <t>CO2-udledningen ved kørsel kan angives pr. km med følgende værdier</t>
  </si>
  <si>
    <r>
      <t>Vejledning til brug af arket</t>
    </r>
    <r>
      <rPr>
        <sz val="11"/>
        <rFont val="Arial"/>
        <family val="2"/>
      </rPr>
      <t xml:space="preserve">
Dette regnark bruges til opgørelse af Assens kommunes CO2-udledning, som indberettes til Danmarks Naturfrednings forening iht. den indgåede klimakommune aftale.
Regnearket er udført iht. Danmarks Naturfredningsforenings vejledning til opgørelse af klimakommunens CO2-udledning "Vejledning til opgørelse og dokumentation af kommunens CO2-udledning og -reduktionen".
Når I vil indrapportere næste år, skal I blot åbne regnearket "CO2-regnskab Assens Kommune 2008" og gemme det som en 2009-version og taste data for 2009 ind i de grønne celler. Herefter kopieres de tre markerede kolonner fra fanen "Vejledning" over i regnearket "CO2-reduktion Assens Kommune" til kolonnerne for det relevante år.
</t>
    </r>
    <r>
      <rPr>
        <b/>
        <sz val="11"/>
        <rFont val="Arial"/>
        <family val="2"/>
      </rPr>
      <t>Opdatering</t>
    </r>
    <r>
      <rPr>
        <u val="single"/>
        <sz val="11"/>
        <rFont val="Arial"/>
        <family val="2"/>
      </rPr>
      <t xml:space="preserve">
I arket "Forudsætninger" opdateres</t>
    </r>
    <r>
      <rPr>
        <i/>
        <sz val="11"/>
        <rFont val="Arial"/>
        <family val="2"/>
      </rPr>
      <t>:</t>
    </r>
    <r>
      <rPr>
        <sz val="11"/>
        <rFont val="Arial"/>
        <family val="2"/>
      </rPr>
      <t xml:space="preserve">
- Indbyggertallet i Assens Kommune opdateres.
- CO2-udledningen fra el og fjernvarme opdateres. 
</t>
    </r>
    <r>
      <rPr>
        <u val="single"/>
        <sz val="11"/>
        <rFont val="Arial"/>
        <family val="2"/>
      </rPr>
      <t>I arkene: "</t>
    </r>
    <r>
      <rPr>
        <i/>
        <u val="single"/>
        <sz val="11"/>
        <rFont val="Arial"/>
        <family val="2"/>
      </rPr>
      <t>Bygninger", "Transport", "Offentlig transport", "Vejbelysning"</t>
    </r>
    <r>
      <rPr>
        <u val="single"/>
        <sz val="11"/>
        <rFont val="Arial"/>
        <family val="2"/>
      </rPr>
      <t>opdateres:</t>
    </r>
    <r>
      <rPr>
        <sz val="11"/>
        <rFont val="Arial"/>
        <family val="2"/>
      </rPr>
      <t xml:space="preserve">
- Alle forbrug</t>
    </r>
  </si>
  <si>
    <t>Stadions inkl. tilhørende klubhuse</t>
  </si>
  <si>
    <t>Kommunale bygninger</t>
  </si>
  <si>
    <t>Transport</t>
  </si>
  <si>
    <r>
      <t>Energiforbrug pr. m</t>
    </r>
    <r>
      <rPr>
        <b/>
        <vertAlign val="superscript"/>
        <sz val="14"/>
        <rFont val="Arial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</si>
  <si>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2</t>
    </r>
  </si>
  <si>
    <r>
      <t>kWh/m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/år</t>
    </r>
  </si>
  <si>
    <r>
      <t>kg/m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/år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</si>
  <si>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i alt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</si>
  <si>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borger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</si>
  <si>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m</t>
    </r>
    <r>
      <rPr>
        <b/>
        <vertAlign val="superscript"/>
        <sz val="11"/>
        <rFont val="Arial"/>
        <family val="2"/>
      </rPr>
      <t>2</t>
    </r>
  </si>
  <si>
    <t>Kategori</t>
  </si>
  <si>
    <t>Udlejningsejendom, Tallerupvej 11</t>
  </si>
  <si>
    <t>Udlejningsejendom, Højløkkevej 11</t>
  </si>
  <si>
    <t>Hjemmeplejen, Vestervangen 100</t>
  </si>
  <si>
    <t>Aktiveringscentret/projekthuset (Fåborgvej 28)</t>
  </si>
  <si>
    <t>Lager og udlejningsejendom (Savværksvej 32)</t>
  </si>
  <si>
    <t>Børnenes Hus + familiehus + boldklub mm.</t>
  </si>
  <si>
    <t>Toyota Rav 4</t>
  </si>
  <si>
    <t>Udlejningsejendom, Sportsvej 8-10-12  (12)</t>
  </si>
  <si>
    <t>Lokalhistorisk Arkiv (Haarby) (Elnr. 49175652)</t>
  </si>
  <si>
    <t>Barløse legestue (Elnr. 49176122)</t>
  </si>
  <si>
    <t>Brahesholmskolen + Børnehave (elnr. 24541 )</t>
  </si>
  <si>
    <t>Assens Rådhus (elnr 159274 )</t>
  </si>
  <si>
    <t>Ældreplejen Lev og Bo (Plejeboliger) (Odensevej 29E)</t>
  </si>
  <si>
    <t>Bofællesskabet for demente (Skelvej 4A)</t>
  </si>
  <si>
    <t>Ungdoms- og Erhvervsskole (Søndergade 57)</t>
  </si>
  <si>
    <t>Børnetandplejen i Tommerup</t>
  </si>
  <si>
    <t>Legestue (Ryttergade 3)</t>
  </si>
  <si>
    <t>Lindebjerg døgninstitution, Lindebjerg 12</t>
  </si>
  <si>
    <t>Lindebjerg døgninstitution, Lindebjerg 2</t>
  </si>
  <si>
    <t>Bofællesskabet Korsvang, Korsvang 78</t>
  </si>
  <si>
    <t>Korsvang Ældreboliger, Korsvang 80</t>
  </si>
  <si>
    <t>Familiehuset (Ryttergade 16B, Tommerup)</t>
  </si>
  <si>
    <t>Granly Aktivitetscenter (Østergade 89C)</t>
  </si>
  <si>
    <t>Ældreplejen - Granly (Østergade 89D)</t>
  </si>
  <si>
    <t>Aktivcentret Glamsbjerg "Drivhuset", (Dærupvej 5)</t>
  </si>
  <si>
    <t>Assens Materialegård, Krabbeløkkevej 1</t>
  </si>
  <si>
    <t>Beskyttede værksteder, Krabbeløkkevej 1</t>
  </si>
  <si>
    <t>Værksted</t>
  </si>
  <si>
    <t>ASABO værksteder, Odensevej 2</t>
  </si>
  <si>
    <t>Pilebakken døgninstitution "Asabo", Pilehaven 84</t>
  </si>
  <si>
    <t>Fritidshjemmet Myretuen - Nygade 4</t>
  </si>
  <si>
    <t>Vissenbjerg Rådhus (elnr. 11002956)</t>
  </si>
  <si>
    <t>Tommerup Materialeplads, Ellehaven 48</t>
  </si>
  <si>
    <t>Ungdomsskolen - Knallertbane (Ellehaven 50)</t>
  </si>
  <si>
    <t>Dagplejehuset, Torpvej 2, - Aarup</t>
  </si>
  <si>
    <t>Materialegården, Grønnemose, Industrivej 10</t>
  </si>
  <si>
    <r>
      <t xml:space="preserve">Lindebjerg døgninstitution, Lindebjerg 4 - </t>
    </r>
    <r>
      <rPr>
        <sz val="11"/>
        <color indexed="10"/>
        <rFont val="Arial"/>
        <family val="2"/>
      </rPr>
      <t>ingen oplysn.</t>
    </r>
  </si>
  <si>
    <t>Hørvangen - plejeboliger Vestervangen 111-120</t>
  </si>
  <si>
    <r>
      <t xml:space="preserve">Strandgaarden - </t>
    </r>
    <r>
      <rPr>
        <sz val="11"/>
        <color indexed="10"/>
        <rFont val="Arial"/>
        <family val="2"/>
      </rPr>
      <t>servicearealer opkræves af Middelfart Boligselskab. Aflæsninger kan ikke fås og der er igangværende sag med Boligselskabet om fordeling af udgifter/forbrug. Forbruget er sat udfra 2009</t>
    </r>
  </si>
  <si>
    <r>
      <t xml:space="preserve">Udlejningsejendom, Ingrid Marie Vej 2  </t>
    </r>
    <r>
      <rPr>
        <sz val="11"/>
        <color indexed="10"/>
        <rFont val="Arial"/>
        <family val="2"/>
      </rPr>
      <t>SOLGT i 2010</t>
    </r>
  </si>
  <si>
    <r>
      <t xml:space="preserve">Udlejningsejendom, Skovvej 2   </t>
    </r>
    <r>
      <rPr>
        <sz val="11"/>
        <color indexed="10"/>
        <rFont val="Arial"/>
        <family val="2"/>
      </rPr>
      <t>NEDREVET i 2010</t>
    </r>
  </si>
  <si>
    <t>Elforbrug ligger under Gårdbh. Agerholm</t>
  </si>
  <si>
    <t>Opel Astra F 1,6 (solgt 9.6.2010)</t>
  </si>
  <si>
    <t>VW Polo (Købt 9.6.2010)</t>
  </si>
  <si>
    <t>Naturgas og bioolie</t>
  </si>
  <si>
    <t>Naturgas og træflis**</t>
  </si>
  <si>
    <t>50% flis og 50% naturgas</t>
  </si>
  <si>
    <t>Bilsyningshallen</t>
  </si>
  <si>
    <t>Tommerup By Fjernvarme</t>
  </si>
  <si>
    <t>95% flis og 5% naturgas</t>
  </si>
  <si>
    <t>Naturgas og flis</t>
  </si>
  <si>
    <t>Træpiller of naturgas</t>
  </si>
  <si>
    <t>Tommerup St. Fjernvarme</t>
  </si>
  <si>
    <t>57% flis og 43% naturgas</t>
  </si>
  <si>
    <t>Forsynes 60% fra Tommerup By Fjernvarme - resten naturgas</t>
  </si>
  <si>
    <t>100% træflis</t>
  </si>
  <si>
    <t>Tommerup Station Fjernvarme</t>
  </si>
  <si>
    <t xml:space="preserve">Kollegiet Assens, Odensevej 27  </t>
  </si>
  <si>
    <t xml:space="preserve">Terrariet </t>
  </si>
  <si>
    <t xml:space="preserve">Administration </t>
  </si>
  <si>
    <t xml:space="preserve">Aarup Station </t>
  </si>
  <si>
    <t>30% bioolie og 70%naturgas</t>
  </si>
  <si>
    <t>64% træpiller og 36% naturgas</t>
  </si>
  <si>
    <t>Assens kommune 2010</t>
  </si>
  <si>
    <t xml:space="preserve">**Vejledning til opgørelse og dokumentation af kommunens CO2-udledninger og -reduktioner  
Rockwools omregningsstjerne for energienheder - www.rockwool.dk/r%C3%A5d+og+vejledning/den+lille+lune/godt+at+vide/omregning+af+energienheder  
</t>
  </si>
  <si>
    <t>Forbrug ligger under Glamsbjergskolen</t>
  </si>
  <si>
    <t>Forbruget ligger under Haarby Skole</t>
  </si>
  <si>
    <t>Forbruget ligger under Legestue</t>
  </si>
  <si>
    <t>Forbruget ligger under Kertevej 59</t>
  </si>
  <si>
    <r>
      <t xml:space="preserve">Daginstitution for voksne (Markusholm) </t>
    </r>
    <r>
      <rPr>
        <sz val="11"/>
        <color indexed="10"/>
        <rFont val="Arial"/>
        <family val="2"/>
      </rPr>
      <t>Nedrevet 2010</t>
    </r>
  </si>
  <si>
    <t>Plejepersonalekørsel</t>
  </si>
  <si>
    <t>Hjemmeplejen</t>
  </si>
  <si>
    <t>Samlet energiforbrug 2010</t>
  </si>
  <si>
    <t>Samlet energiforbrug i alt</t>
  </si>
  <si>
    <t>Kørsel i miljø og teknik</t>
  </si>
  <si>
    <t>Benzin forbrug Entreprenørgården</t>
  </si>
  <si>
    <t>Diesel forbrug Entreprenørgården</t>
  </si>
  <si>
    <t>Assens kommune</t>
  </si>
  <si>
    <r>
      <t>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(tons/år)</t>
    </r>
  </si>
  <si>
    <t>Ændring</t>
  </si>
  <si>
    <r>
      <t>Relativ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(kg/borger)</t>
    </r>
  </si>
  <si>
    <r>
      <t>Relativ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-udledning (kg/m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</si>
</sst>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00000"/>
    <numFmt numFmtId="179" formatCode="[$-406]d\.\ mmmm\ yyyy"/>
    <numFmt numFmtId="180" formatCode="[$-406]d\.\ mmmm\ yyyy;@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#,##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_(* #,##0.0_);_(* \(#,##0.0\);_(* &quot;-&quot;??_);_(@_)"/>
    <numFmt numFmtId="194" formatCode="_(* #,##0_);_(* \(#,##0\);_(* &quot;-&quot;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"/>
    <numFmt numFmtId="200" formatCode="#,##0.000"/>
    <numFmt numFmtId="201" formatCode="#,##0.0000"/>
    <numFmt numFmtId="202" formatCode="#,##0.00000"/>
    <numFmt numFmtId="203" formatCode="#,##0.00000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Georgia"/>
      <family val="1"/>
    </font>
    <font>
      <sz val="11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u val="single"/>
      <sz val="11"/>
      <name val="Arial"/>
      <family val="2"/>
    </font>
    <font>
      <sz val="10"/>
      <color indexed="9"/>
      <name val="Arial"/>
      <family val="2"/>
    </font>
    <font>
      <i/>
      <u val="single"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1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4"/>
      <name val="Arial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3" fillId="20" borderId="0" applyNumberFormat="0" applyBorder="0" applyAlignment="0" applyProtection="0"/>
    <xf numFmtId="0" fontId="0" fillId="21" borderId="1" applyNumberFormat="0" applyFont="0" applyAlignment="0" applyProtection="0"/>
    <xf numFmtId="0" fontId="61" fillId="22" borderId="2" applyNumberForma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64" fillId="24" borderId="2" applyNumberFormat="0" applyAlignment="0" applyProtection="0"/>
    <xf numFmtId="0" fontId="65" fillId="25" borderId="3" applyNumberFormat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22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3" borderId="0" applyNumberFormat="0" applyBorder="0" applyAlignment="0" applyProtection="0"/>
    <xf numFmtId="170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4" fillId="35" borderId="10" xfId="0" applyNumberFormat="1" applyFont="1" applyFill="1" applyBorder="1" applyAlignment="1">
      <alignment horizontal="center"/>
    </xf>
    <xf numFmtId="185" fontId="4" fillId="35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left"/>
    </xf>
    <xf numFmtId="185" fontId="4" fillId="35" borderId="10" xfId="0" applyNumberFormat="1" applyFont="1" applyFill="1" applyBorder="1" applyAlignment="1">
      <alignment vertical="center"/>
    </xf>
    <xf numFmtId="185" fontId="4" fillId="35" borderId="11" xfId="0" applyNumberFormat="1" applyFont="1" applyFill="1" applyBorder="1" applyAlignment="1">
      <alignment vertical="center"/>
    </xf>
    <xf numFmtId="185" fontId="4" fillId="35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right"/>
    </xf>
    <xf numFmtId="178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85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7" borderId="0" xfId="0" applyFont="1" applyFill="1" applyBorder="1" applyAlignment="1">
      <alignment horizontal="left" vertical="top" wrapText="1"/>
    </xf>
    <xf numFmtId="0" fontId="4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1" fontId="4" fillId="37" borderId="0" xfId="0" applyNumberFormat="1" applyFont="1" applyFill="1" applyAlignment="1">
      <alignment/>
    </xf>
    <xf numFmtId="0" fontId="11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2" fontId="0" fillId="37" borderId="0" xfId="0" applyNumberFormat="1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0" fillId="37" borderId="0" xfId="0" applyFont="1" applyFill="1" applyBorder="1" applyAlignment="1">
      <alignment horizontal="left"/>
    </xf>
    <xf numFmtId="0" fontId="17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0" fillId="37" borderId="0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0" fontId="5" fillId="36" borderId="19" xfId="0" applyFont="1" applyFill="1" applyBorder="1" applyAlignment="1">
      <alignment horizontal="center"/>
    </xf>
    <xf numFmtId="0" fontId="5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190" fontId="0" fillId="23" borderId="15" xfId="42" applyNumberFormat="1" applyFont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0" fillId="36" borderId="19" xfId="0" applyFont="1" applyFill="1" applyBorder="1" applyAlignment="1">
      <alignment/>
    </xf>
    <xf numFmtId="0" fontId="0" fillId="37" borderId="15" xfId="0" applyFont="1" applyFill="1" applyBorder="1" applyAlignment="1">
      <alignment horizontal="left"/>
    </xf>
    <xf numFmtId="0" fontId="0" fillId="37" borderId="18" xfId="0" applyFont="1" applyFill="1" applyBorder="1" applyAlignment="1">
      <alignment horizontal="left"/>
    </xf>
    <xf numFmtId="0" fontId="10" fillId="37" borderId="15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10" xfId="58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9" fontId="0" fillId="0" borderId="10" xfId="58" applyFont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0" fillId="23" borderId="10" xfId="42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" fontId="0" fillId="36" borderId="14" xfId="0" applyNumberFormat="1" applyFont="1" applyFill="1" applyBorder="1" applyAlignment="1">
      <alignment/>
    </xf>
    <xf numFmtId="1" fontId="0" fillId="36" borderId="15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21" xfId="0" applyNumberFormat="1" applyFont="1" applyFill="1" applyBorder="1" applyAlignment="1">
      <alignment/>
    </xf>
    <xf numFmtId="1" fontId="0" fillId="36" borderId="17" xfId="0" applyNumberFormat="1" applyFont="1" applyFill="1" applyBorder="1" applyAlignment="1">
      <alignment/>
    </xf>
    <xf numFmtId="1" fontId="0" fillId="36" borderId="18" xfId="0" applyNumberFormat="1" applyFont="1" applyFill="1" applyBorder="1" applyAlignment="1">
      <alignment/>
    </xf>
    <xf numFmtId="1" fontId="0" fillId="36" borderId="22" xfId="0" applyNumberFormat="1" applyFont="1" applyFill="1" applyBorder="1" applyAlignment="1">
      <alignment/>
    </xf>
    <xf numFmtId="1" fontId="5" fillId="0" borderId="23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35" borderId="20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58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37" borderId="0" xfId="58" applyFont="1" applyFill="1" applyAlignment="1">
      <alignment horizontal="center"/>
    </xf>
    <xf numFmtId="192" fontId="5" fillId="37" borderId="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" fontId="0" fillId="36" borderId="17" xfId="0" applyNumberFormat="1" applyFont="1" applyFill="1" applyBorder="1" applyAlignment="1">
      <alignment horizontal="center"/>
    </xf>
    <xf numFmtId="1" fontId="0" fillId="36" borderId="18" xfId="0" applyNumberFormat="1" applyFont="1" applyFill="1" applyBorder="1" applyAlignment="1">
      <alignment horizontal="center"/>
    </xf>
    <xf numFmtId="1" fontId="0" fillId="36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" fontId="4" fillId="37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3" fontId="4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85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9" fillId="0" borderId="10" xfId="0" applyNumberFormat="1" applyFont="1" applyBorder="1" applyAlignment="1">
      <alignment horizontal="right"/>
    </xf>
    <xf numFmtId="190" fontId="0" fillId="37" borderId="0" xfId="0" applyNumberFormat="1" applyFont="1" applyFill="1" applyBorder="1" applyAlignment="1">
      <alignment horizontal="left"/>
    </xf>
    <xf numFmtId="190" fontId="5" fillId="37" borderId="0" xfId="0" applyNumberFormat="1" applyFont="1" applyFill="1" applyBorder="1" applyAlignment="1">
      <alignment horizontal="left"/>
    </xf>
    <xf numFmtId="1" fontId="0" fillId="36" borderId="15" xfId="0" applyNumberFormat="1" applyFill="1" applyBorder="1" applyAlignment="1">
      <alignment horizontal="center"/>
    </xf>
    <xf numFmtId="0" fontId="22" fillId="37" borderId="0" xfId="43" applyFont="1" applyFill="1" applyBorder="1" applyAlignment="1" applyProtection="1">
      <alignment/>
      <protection/>
    </xf>
    <xf numFmtId="0" fontId="10" fillId="37" borderId="18" xfId="0" applyFont="1" applyFill="1" applyBorder="1" applyAlignment="1">
      <alignment horizontal="center"/>
    </xf>
    <xf numFmtId="0" fontId="0" fillId="37" borderId="18" xfId="42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1" fontId="4" fillId="38" borderId="10" xfId="0" applyNumberFormat="1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178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 horizontal="right"/>
    </xf>
    <xf numFmtId="3" fontId="4" fillId="38" borderId="10" xfId="0" applyNumberFormat="1" applyFont="1" applyFill="1" applyBorder="1" applyAlignment="1">
      <alignment horizontal="center"/>
    </xf>
    <xf numFmtId="185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 horizontal="left"/>
    </xf>
    <xf numFmtId="185" fontId="4" fillId="38" borderId="10" xfId="0" applyNumberFormat="1" applyFont="1" applyFill="1" applyBorder="1" applyAlignment="1">
      <alignment horizontal="right"/>
    </xf>
    <xf numFmtId="49" fontId="4" fillId="38" borderId="10" xfId="0" applyNumberFormat="1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2" xfId="0" applyFon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0" xfId="0" applyFont="1" applyFill="1" applyAlignment="1">
      <alignment/>
    </xf>
    <xf numFmtId="0" fontId="23" fillId="38" borderId="10" xfId="0" applyFont="1" applyFill="1" applyBorder="1" applyAlignment="1">
      <alignment/>
    </xf>
    <xf numFmtId="1" fontId="23" fillId="38" borderId="10" xfId="0" applyNumberFormat="1" applyFont="1" applyFill="1" applyBorder="1" applyAlignment="1">
      <alignment horizontal="right"/>
    </xf>
    <xf numFmtId="0" fontId="23" fillId="38" borderId="10" xfId="0" applyFont="1" applyFill="1" applyBorder="1" applyAlignment="1">
      <alignment horizontal="center"/>
    </xf>
    <xf numFmtId="178" fontId="23" fillId="38" borderId="10" xfId="0" applyNumberFormat="1" applyFont="1" applyFill="1" applyBorder="1" applyAlignment="1">
      <alignment horizontal="center"/>
    </xf>
    <xf numFmtId="3" fontId="23" fillId="38" borderId="10" xfId="0" applyNumberFormat="1" applyFont="1" applyFill="1" applyBorder="1" applyAlignment="1">
      <alignment horizontal="right"/>
    </xf>
    <xf numFmtId="3" fontId="23" fillId="38" borderId="10" xfId="0" applyNumberFormat="1" applyFont="1" applyFill="1" applyBorder="1" applyAlignment="1">
      <alignment horizontal="center"/>
    </xf>
    <xf numFmtId="185" fontId="23" fillId="38" borderId="10" xfId="0" applyNumberFormat="1" applyFont="1" applyFill="1" applyBorder="1" applyAlignment="1">
      <alignment horizontal="center"/>
    </xf>
    <xf numFmtId="3" fontId="23" fillId="38" borderId="10" xfId="0" applyNumberFormat="1" applyFont="1" applyFill="1" applyBorder="1" applyAlignment="1">
      <alignment horizontal="left"/>
    </xf>
    <xf numFmtId="185" fontId="23" fillId="38" borderId="10" xfId="0" applyNumberFormat="1" applyFont="1" applyFill="1" applyBorder="1" applyAlignment="1">
      <alignment horizontal="right"/>
    </xf>
    <xf numFmtId="49" fontId="23" fillId="38" borderId="10" xfId="0" applyNumberFormat="1" applyFont="1" applyFill="1" applyBorder="1" applyAlignment="1">
      <alignment horizontal="center"/>
    </xf>
    <xf numFmtId="49" fontId="21" fillId="38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/>
    </xf>
    <xf numFmtId="0" fontId="21" fillId="38" borderId="0" xfId="0" applyFont="1" applyFill="1" applyAlignment="1">
      <alignment/>
    </xf>
    <xf numFmtId="0" fontId="24" fillId="38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36" borderId="14" xfId="0" applyFill="1" applyBorder="1" applyAlignment="1">
      <alignment horizontal="right"/>
    </xf>
    <xf numFmtId="1" fontId="0" fillId="36" borderId="15" xfId="0" applyNumberFormat="1" applyFill="1" applyBorder="1" applyAlignment="1">
      <alignment horizontal="right"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1" fontId="0" fillId="36" borderId="0" xfId="0" applyNumberForma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21" xfId="0" applyFill="1" applyBorder="1" applyAlignment="1">
      <alignment horizontal="right"/>
    </xf>
    <xf numFmtId="0" fontId="0" fillId="36" borderId="17" xfId="0" applyFill="1" applyBorder="1" applyAlignment="1">
      <alignment horizontal="right"/>
    </xf>
    <xf numFmtId="0" fontId="0" fillId="36" borderId="18" xfId="0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36" borderId="12" xfId="0" applyFill="1" applyBorder="1" applyAlignment="1">
      <alignment horizontal="right" vertical="center"/>
    </xf>
    <xf numFmtId="0" fontId="0" fillId="36" borderId="0" xfId="0" applyFill="1" applyBorder="1" applyAlignment="1">
      <alignment horizontal="right" vertical="center"/>
    </xf>
    <xf numFmtId="0" fontId="0" fillId="36" borderId="21" xfId="0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21" xfId="0" applyFont="1" applyFill="1" applyBorder="1" applyAlignment="1">
      <alignment horizontal="right"/>
    </xf>
    <xf numFmtId="0" fontId="0" fillId="36" borderId="17" xfId="0" applyFont="1" applyFill="1" applyBorder="1" applyAlignment="1">
      <alignment horizontal="right"/>
    </xf>
    <xf numFmtId="0" fontId="0" fillId="36" borderId="18" xfId="0" applyFont="1" applyFill="1" applyBorder="1" applyAlignment="1">
      <alignment horizontal="right"/>
    </xf>
    <xf numFmtId="0" fontId="0" fillId="36" borderId="22" xfId="0" applyFont="1" applyFill="1" applyBorder="1" applyAlignment="1">
      <alignment horizontal="right"/>
    </xf>
    <xf numFmtId="0" fontId="21" fillId="38" borderId="12" xfId="0" applyFont="1" applyFill="1" applyBorder="1" applyAlignment="1">
      <alignment horizontal="right"/>
    </xf>
    <xf numFmtId="1" fontId="21" fillId="38" borderId="0" xfId="0" applyNumberFormat="1" applyFont="1" applyFill="1" applyBorder="1" applyAlignment="1">
      <alignment horizontal="right"/>
    </xf>
    <xf numFmtId="0" fontId="21" fillId="38" borderId="0" xfId="0" applyFont="1" applyFill="1" applyBorder="1" applyAlignment="1">
      <alignment horizontal="right"/>
    </xf>
    <xf numFmtId="0" fontId="21" fillId="38" borderId="21" xfId="0" applyFont="1" applyFill="1" applyBorder="1" applyAlignment="1">
      <alignment horizontal="right"/>
    </xf>
    <xf numFmtId="0" fontId="0" fillId="38" borderId="12" xfId="0" applyFont="1" applyFill="1" applyBorder="1" applyAlignment="1">
      <alignment horizontal="right"/>
    </xf>
    <xf numFmtId="1" fontId="0" fillId="38" borderId="0" xfId="0" applyNumberFormat="1" applyFill="1" applyBorder="1" applyAlignment="1">
      <alignment horizontal="right"/>
    </xf>
    <xf numFmtId="0" fontId="0" fillId="38" borderId="0" xfId="0" applyFont="1" applyFill="1" applyBorder="1" applyAlignment="1">
      <alignment horizontal="right"/>
    </xf>
    <xf numFmtId="0" fontId="0" fillId="38" borderId="21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" fillId="37" borderId="15" xfId="43" applyFill="1" applyBorder="1" applyAlignment="1" applyProtection="1">
      <alignment/>
      <protection/>
    </xf>
    <xf numFmtId="2" fontId="10" fillId="37" borderId="18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10" fontId="4" fillId="37" borderId="20" xfId="0" applyNumberFormat="1" applyFont="1" applyFill="1" applyBorder="1" applyAlignment="1">
      <alignment/>
    </xf>
    <xf numFmtId="0" fontId="24" fillId="39" borderId="11" xfId="0" applyFont="1" applyFill="1" applyBorder="1" applyAlignment="1">
      <alignment/>
    </xf>
    <xf numFmtId="0" fontId="23" fillId="39" borderId="17" xfId="0" applyFont="1" applyFill="1" applyBorder="1" applyAlignment="1">
      <alignment/>
    </xf>
    <xf numFmtId="0" fontId="5" fillId="37" borderId="1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0" fillId="37" borderId="23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6" xfId="0" applyFont="1" applyFill="1" applyBorder="1" applyAlignment="1">
      <alignment/>
    </xf>
    <xf numFmtId="3" fontId="24" fillId="39" borderId="10" xfId="0" applyNumberFormat="1" applyFont="1" applyFill="1" applyBorder="1" applyAlignment="1">
      <alignment horizontal="center"/>
    </xf>
    <xf numFmtId="3" fontId="24" fillId="39" borderId="22" xfId="0" applyNumberFormat="1" applyFont="1" applyFill="1" applyBorder="1" applyAlignment="1">
      <alignment horizontal="center"/>
    </xf>
    <xf numFmtId="3" fontId="24" fillId="39" borderId="11" xfId="0" applyNumberFormat="1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/>
    </xf>
    <xf numFmtId="3" fontId="4" fillId="37" borderId="24" xfId="0" applyNumberFormat="1" applyFont="1" applyFill="1" applyBorder="1" applyAlignment="1">
      <alignment horizontal="center"/>
    </xf>
    <xf numFmtId="3" fontId="4" fillId="37" borderId="10" xfId="15" applyNumberFormat="1" applyFont="1" applyFill="1" applyBorder="1" applyAlignment="1">
      <alignment horizontal="center"/>
    </xf>
    <xf numFmtId="3" fontId="4" fillId="37" borderId="19" xfId="0" applyNumberFormat="1" applyFon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0" xfId="0" applyNumberFormat="1" applyFont="1" applyFill="1" applyBorder="1" applyAlignment="1">
      <alignment horizontal="center"/>
    </xf>
    <xf numFmtId="3" fontId="0" fillId="37" borderId="13" xfId="0" applyNumberFormat="1" applyFon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3" fontId="4" fillId="37" borderId="26" xfId="0" applyNumberFormat="1" applyFont="1" applyFill="1" applyBorder="1" applyAlignment="1">
      <alignment/>
    </xf>
    <xf numFmtId="3" fontId="4" fillId="37" borderId="27" xfId="0" applyNumberFormat="1" applyFont="1" applyFill="1" applyBorder="1" applyAlignment="1">
      <alignment/>
    </xf>
    <xf numFmtId="3" fontId="4" fillId="37" borderId="28" xfId="0" applyNumberFormat="1" applyFont="1" applyFill="1" applyBorder="1" applyAlignment="1">
      <alignment/>
    </xf>
    <xf numFmtId="3" fontId="4" fillId="37" borderId="28" xfId="0" applyNumberFormat="1" applyFont="1" applyFill="1" applyBorder="1" applyAlignment="1">
      <alignment vertical="top" wrapText="1"/>
    </xf>
    <xf numFmtId="3" fontId="4" fillId="37" borderId="29" xfId="0" applyNumberFormat="1" applyFont="1" applyFill="1" applyBorder="1" applyAlignment="1">
      <alignment/>
    </xf>
    <xf numFmtId="185" fontId="19" fillId="35" borderId="10" xfId="62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203" fontId="4" fillId="0" borderId="10" xfId="0" applyNumberFormat="1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3" fillId="0" borderId="10" xfId="62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85" fontId="13" fillId="0" borderId="10" xfId="62" applyNumberFormat="1" applyFont="1" applyFill="1" applyBorder="1" applyAlignment="1">
      <alignment horizontal="right"/>
    </xf>
    <xf numFmtId="3" fontId="19" fillId="0" borderId="10" xfId="62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85" fontId="4" fillId="35" borderId="13" xfId="0" applyNumberFormat="1" applyFont="1" applyFill="1" applyBorder="1" applyAlignment="1">
      <alignment horizontal="right"/>
    </xf>
    <xf numFmtId="3" fontId="4" fillId="35" borderId="10" xfId="52" applyNumberFormat="1" applyFont="1" applyFill="1" applyBorder="1" applyAlignment="1">
      <alignment horizontal="right"/>
    </xf>
    <xf numFmtId="185" fontId="4" fillId="35" borderId="10" xfId="62" applyNumberFormat="1" applyFont="1" applyFill="1" applyBorder="1" applyAlignment="1">
      <alignment horizontal="right"/>
    </xf>
    <xf numFmtId="3" fontId="4" fillId="35" borderId="13" xfId="52" applyNumberFormat="1" applyFont="1" applyFill="1" applyBorder="1" applyAlignment="1">
      <alignment horizontal="right"/>
    </xf>
    <xf numFmtId="0" fontId="4" fillId="35" borderId="0" xfId="62" applyFont="1" applyFill="1" applyAlignment="1">
      <alignment horizontal="center"/>
    </xf>
    <xf numFmtId="3" fontId="4" fillId="35" borderId="10" xfId="62" applyNumberFormat="1" applyFont="1" applyFill="1" applyBorder="1" applyAlignment="1">
      <alignment horizontal="right"/>
    </xf>
    <xf numFmtId="3" fontId="4" fillId="35" borderId="11" xfId="52" applyNumberFormat="1" applyFont="1" applyFill="1" applyBorder="1" applyAlignment="1">
      <alignment horizontal="right"/>
    </xf>
    <xf numFmtId="3" fontId="0" fillId="23" borderId="0" xfId="42" applyNumberFormat="1" applyFont="1" applyAlignment="1">
      <alignment horizontal="center"/>
    </xf>
    <xf numFmtId="0" fontId="1" fillId="37" borderId="0" xfId="43" applyFont="1" applyFill="1" applyBorder="1" applyAlignment="1" applyProtection="1">
      <alignment/>
      <protection/>
    </xf>
    <xf numFmtId="189" fontId="0" fillId="35" borderId="0" xfId="42" applyNumberFormat="1" applyFont="1" applyFill="1" applyBorder="1" applyAlignment="1">
      <alignment horizontal="center"/>
    </xf>
    <xf numFmtId="189" fontId="0" fillId="23" borderId="0" xfId="42" applyNumberFormat="1" applyFont="1" applyBorder="1" applyAlignment="1">
      <alignment horizontal="center"/>
    </xf>
    <xf numFmtId="189" fontId="0" fillId="23" borderId="18" xfId="42" applyNumberFormat="1" applyFont="1" applyBorder="1" applyAlignment="1">
      <alignment horizontal="center"/>
    </xf>
    <xf numFmtId="9" fontId="22" fillId="37" borderId="0" xfId="43" applyNumberFormat="1" applyFont="1" applyFill="1" applyBorder="1" applyAlignment="1" applyProtection="1">
      <alignment/>
      <protection/>
    </xf>
    <xf numFmtId="185" fontId="4" fillId="0" borderId="11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19" fillId="0" borderId="10" xfId="37" applyNumberFormat="1" applyFont="1" applyFill="1" applyBorder="1" applyAlignment="1">
      <alignment horizontal="right"/>
    </xf>
    <xf numFmtId="3" fontId="19" fillId="0" borderId="10" xfId="37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185" fontId="4" fillId="0" borderId="23" xfId="0" applyNumberFormat="1" applyFont="1" applyFill="1" applyBorder="1" applyAlignment="1">
      <alignment horizontal="center" vertical="center"/>
    </xf>
    <xf numFmtId="0" fontId="0" fillId="37" borderId="0" xfId="42" applyFont="1" applyFill="1" applyBorder="1" applyAlignment="1">
      <alignment horizontal="center"/>
    </xf>
    <xf numFmtId="9" fontId="22" fillId="37" borderId="18" xfId="43" applyNumberFormat="1" applyFont="1" applyFill="1" applyBorder="1" applyAlignment="1" applyProtection="1">
      <alignment/>
      <protection/>
    </xf>
    <xf numFmtId="200" fontId="4" fillId="35" borderId="10" xfId="0" applyNumberFormat="1" applyFont="1" applyFill="1" applyBorder="1" applyAlignment="1">
      <alignment horizontal="center"/>
    </xf>
    <xf numFmtId="200" fontId="3" fillId="0" borderId="10" xfId="0" applyNumberFormat="1" applyFont="1" applyBorder="1" applyAlignment="1">
      <alignment horizontal="center"/>
    </xf>
    <xf numFmtId="200" fontId="4" fillId="0" borderId="10" xfId="0" applyNumberFormat="1" applyFont="1" applyFill="1" applyBorder="1" applyAlignment="1">
      <alignment horizontal="center"/>
    </xf>
    <xf numFmtId="200" fontId="13" fillId="0" borderId="10" xfId="62" applyNumberFormat="1" applyFont="1" applyFill="1" applyBorder="1" applyAlignment="1">
      <alignment horizontal="right"/>
    </xf>
    <xf numFmtId="200" fontId="4" fillId="35" borderId="13" xfId="0" applyNumberFormat="1" applyFont="1" applyFill="1" applyBorder="1" applyAlignment="1">
      <alignment horizontal="center" vertical="center"/>
    </xf>
    <xf numFmtId="200" fontId="4" fillId="35" borderId="11" xfId="0" applyNumberFormat="1" applyFont="1" applyFill="1" applyBorder="1" applyAlignment="1">
      <alignment horizontal="center" vertical="center"/>
    </xf>
    <xf numFmtId="200" fontId="4" fillId="35" borderId="20" xfId="0" applyNumberFormat="1" applyFont="1" applyFill="1" applyBorder="1" applyAlignment="1">
      <alignment horizontal="center"/>
    </xf>
    <xf numFmtId="200" fontId="4" fillId="35" borderId="24" xfId="0" applyNumberFormat="1" applyFont="1" applyFill="1" applyBorder="1" applyAlignment="1">
      <alignment horizontal="center"/>
    </xf>
    <xf numFmtId="200" fontId="23" fillId="38" borderId="10" xfId="0" applyNumberFormat="1" applyFont="1" applyFill="1" applyBorder="1" applyAlignment="1">
      <alignment horizontal="center"/>
    </xf>
    <xf numFmtId="200" fontId="4" fillId="38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4" fontId="4" fillId="37" borderId="10" xfId="0" applyNumberFormat="1" applyFont="1" applyFill="1" applyBorder="1" applyAlignment="1">
      <alignment horizontal="center"/>
    </xf>
    <xf numFmtId="201" fontId="24" fillId="39" borderId="11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left" vertical="top" wrapText="1"/>
    </xf>
    <xf numFmtId="0" fontId="3" fillId="37" borderId="0" xfId="0" applyFont="1" applyFill="1" applyAlignment="1">
      <alignment horizontal="left" vertical="top" wrapText="1"/>
    </xf>
    <xf numFmtId="0" fontId="4" fillId="37" borderId="0" xfId="0" applyFont="1" applyFill="1" applyAlignment="1">
      <alignment horizontal="left" vertical="top" wrapText="1"/>
    </xf>
    <xf numFmtId="0" fontId="18" fillId="37" borderId="14" xfId="0" applyFont="1" applyFill="1" applyBorder="1" applyAlignment="1">
      <alignment horizontal="left"/>
    </xf>
    <xf numFmtId="0" fontId="18" fillId="37" borderId="16" xfId="0" applyFont="1" applyFill="1" applyBorder="1" applyAlignment="1">
      <alignment horizontal="left"/>
    </xf>
    <xf numFmtId="0" fontId="18" fillId="37" borderId="17" xfId="0" applyFont="1" applyFill="1" applyBorder="1" applyAlignment="1">
      <alignment horizontal="left"/>
    </xf>
    <xf numFmtId="0" fontId="18" fillId="37" borderId="22" xfId="0" applyFont="1" applyFill="1" applyBorder="1" applyAlignment="1">
      <alignment horizontal="left"/>
    </xf>
    <xf numFmtId="0" fontId="18" fillId="37" borderId="15" xfId="0" applyFont="1" applyFill="1" applyBorder="1" applyAlignment="1">
      <alignment horizontal="left"/>
    </xf>
    <xf numFmtId="0" fontId="18" fillId="37" borderId="18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37" borderId="0" xfId="0" applyFont="1" applyFill="1" applyAlignment="1">
      <alignment wrapText="1"/>
    </xf>
    <xf numFmtId="0" fontId="0" fillId="37" borderId="18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85" fontId="4" fillId="35" borderId="13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35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3" fontId="4" fillId="0" borderId="1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24" xfId="0" applyNumberFormat="1" applyFont="1" applyBorder="1" applyAlignment="1">
      <alignment horizontal="left"/>
    </xf>
    <xf numFmtId="3" fontId="4" fillId="35" borderId="11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2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85" fontId="4" fillId="35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/>
    </xf>
    <xf numFmtId="0" fontId="23" fillId="39" borderId="10" xfId="0" applyFont="1" applyFill="1" applyBorder="1" applyAlignment="1">
      <alignment/>
    </xf>
    <xf numFmtId="1" fontId="24" fillId="39" borderId="10" xfId="0" applyNumberFormat="1" applyFont="1" applyFill="1" applyBorder="1" applyAlignment="1">
      <alignment horizontal="center"/>
    </xf>
    <xf numFmtId="9" fontId="24" fillId="39" borderId="10" xfId="58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9" fontId="4" fillId="37" borderId="10" xfId="58" applyNumberFormat="1" applyFont="1" applyFill="1" applyBorder="1" applyAlignment="1">
      <alignment horizontal="center"/>
    </xf>
    <xf numFmtId="10" fontId="4" fillId="37" borderId="10" xfId="0" applyNumberFormat="1" applyFont="1" applyFill="1" applyBorder="1" applyAlignment="1">
      <alignment/>
    </xf>
    <xf numFmtId="1" fontId="4" fillId="37" borderId="10" xfId="0" applyNumberFormat="1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24" fillId="39" borderId="20" xfId="0" applyFont="1" applyFill="1" applyBorder="1" applyAlignment="1">
      <alignment/>
    </xf>
    <xf numFmtId="0" fontId="23" fillId="39" borderId="19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1" fontId="24" fillId="37" borderId="0" xfId="0" applyNumberFormat="1" applyFont="1" applyFill="1" applyBorder="1" applyAlignment="1">
      <alignment horizontal="center"/>
    </xf>
    <xf numFmtId="9" fontId="24" fillId="37" borderId="0" xfId="58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11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37" borderId="14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9" fontId="4" fillId="37" borderId="10" xfId="58" applyFont="1" applyFill="1" applyBorder="1" applyAlignment="1">
      <alignment horizontal="center"/>
    </xf>
    <xf numFmtId="0" fontId="4" fillId="37" borderId="17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24" fillId="39" borderId="17" xfId="0" applyFont="1" applyFill="1" applyBorder="1" applyAlignment="1">
      <alignment/>
    </xf>
    <xf numFmtId="1" fontId="0" fillId="37" borderId="0" xfId="0" applyNumberFormat="1" applyFill="1" applyBorder="1" applyAlignment="1">
      <alignment horizontal="center"/>
    </xf>
    <xf numFmtId="9" fontId="0" fillId="37" borderId="0" xfId="58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18" fillId="37" borderId="20" xfId="0" applyFont="1" applyFill="1" applyBorder="1" applyAlignment="1">
      <alignment/>
    </xf>
    <xf numFmtId="0" fontId="23" fillId="39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9" fontId="4" fillId="37" borderId="13" xfId="58" applyFont="1" applyFill="1" applyBorder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ad_Bygninger" xfId="37"/>
    <cellStyle name="Bemærk!" xfId="38"/>
    <cellStyle name="Beregning" xfId="39"/>
    <cellStyle name="Followed Hyperlink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CO2-udledning fra Assens kommune 2010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55"/>
          <c:y val="0.2635"/>
          <c:w val="0.3635"/>
          <c:h val="0.5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Grafdata!$A$2:$A$8</c:f>
              <c:strCache>
                <c:ptCount val="7"/>
                <c:pt idx="0">
                  <c:v>Vejbelysning</c:v>
                </c:pt>
                <c:pt idx="1">
                  <c:v>Idrætsanlæg</c:v>
                </c:pt>
                <c:pt idx="2">
                  <c:v>Tekniske anlæg</c:v>
                </c:pt>
                <c:pt idx="3">
                  <c:v>Affaldshåndtering</c:v>
                </c:pt>
                <c:pt idx="4">
                  <c:v>Offentlig transport</c:v>
                </c:pt>
                <c:pt idx="5">
                  <c:v>Transport</c:v>
                </c:pt>
                <c:pt idx="6">
                  <c:v>Kommunale bygninger</c:v>
                </c:pt>
              </c:strCache>
            </c:strRef>
          </c:cat>
          <c:val>
            <c:numRef>
              <c:f>Grafdata!$B$2:$B$8</c:f>
              <c:numCache>
                <c:ptCount val="7"/>
                <c:pt idx="0">
                  <c:v>1345.9923959999999</c:v>
                </c:pt>
                <c:pt idx="1">
                  <c:v>53.48024399999999</c:v>
                </c:pt>
                <c:pt idx="2">
                  <c:v>86.007317348</c:v>
                </c:pt>
                <c:pt idx="3">
                  <c:v>0</c:v>
                </c:pt>
                <c:pt idx="4">
                  <c:v>0</c:v>
                </c:pt>
                <c:pt idx="5">
                  <c:v>1024.0940363131124</c:v>
                </c:pt>
                <c:pt idx="6">
                  <c:v>4419.1861223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CO2-udledning fra kommunale bygninger i Assens kommune 2010</a:t>
            </a:r>
          </a:p>
        </c:rich>
      </c:tx>
      <c:layout>
        <c:manualLayout>
          <c:xMode val="factor"/>
          <c:yMode val="factor"/>
          <c:x val="0.036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5"/>
          <c:y val="0.24975"/>
          <c:w val="0.3705"/>
          <c:h val="0.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Grafdata!$A$11:$A$16</c:f>
              <c:strCache>
                <c:ptCount val="6"/>
                <c:pt idx="0">
                  <c:v>Administrationsbygninger</c:v>
                </c:pt>
                <c:pt idx="1">
                  <c:v>Skoler, fritids- og ungdomsklubber</c:v>
                </c:pt>
                <c:pt idx="2">
                  <c:v>Daginstitutioner</c:v>
                </c:pt>
                <c:pt idx="3">
                  <c:v>Ældrepleje</c:v>
                </c:pt>
                <c:pt idx="4">
                  <c:v>Kulturinstitutioner</c:v>
                </c:pt>
                <c:pt idx="5">
                  <c:v>Andre kommunale bygninger</c:v>
                </c:pt>
              </c:strCache>
            </c:strRef>
          </c:cat>
          <c:val>
            <c:numRef>
              <c:f>Grafdata!$B$11:$B$16</c:f>
              <c:numCache>
                <c:ptCount val="6"/>
                <c:pt idx="0">
                  <c:v>259.2540388</c:v>
                </c:pt>
                <c:pt idx="1">
                  <c:v>2130.477198</c:v>
                </c:pt>
                <c:pt idx="2">
                  <c:v>573.3485684</c:v>
                </c:pt>
                <c:pt idx="3">
                  <c:v>1011.8544613</c:v>
                </c:pt>
                <c:pt idx="4">
                  <c:v>67.52007</c:v>
                </c:pt>
                <c:pt idx="5">
                  <c:v>376.7317858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net.dk/da/menu/Klima+og+milj%C3%B8/Milj%C3%B8deklarationer+for+el/Milj%C3%B8deklarationer+for+el.htm" TargetMode="External" /><Relationship Id="rId2" Type="http://schemas.openxmlformats.org/officeDocument/2006/relationships/hyperlink" Target="http://www.ens.dk/da-DK/Info/TalOgKort/Statistik_og_noegletal/Noegletal/Samlet_energiproduktion_forbrug/Sider/Forside.aspx" TargetMode="External" /><Relationship Id="rId3" Type="http://schemas.openxmlformats.org/officeDocument/2006/relationships/hyperlink" Target="http://www.assensfjernvarme.dk/showpage.php?pageid=2922" TargetMode="External" /><Relationship Id="rId4" Type="http://schemas.openxmlformats.org/officeDocument/2006/relationships/comments" Target="../comments6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view="pageBreakPreview" zoomScale="85" zoomScaleNormal="85" zoomScaleSheetLayoutView="85" zoomScalePageLayoutView="0" workbookViewId="0" topLeftCell="I7">
      <selection activeCell="P23" sqref="P23"/>
    </sheetView>
  </sheetViews>
  <sheetFormatPr defaultColWidth="9.140625" defaultRowHeight="12.75"/>
  <cols>
    <col min="1" max="11" width="9.140625" style="107" customWidth="1"/>
    <col min="12" max="12" width="3.7109375" style="107" customWidth="1"/>
    <col min="13" max="13" width="50.7109375" style="107" customWidth="1"/>
    <col min="14" max="14" width="6.28125" style="107" customWidth="1"/>
    <col min="15" max="15" width="5.8515625" style="107" customWidth="1"/>
    <col min="16" max="16" width="7.8515625" style="107" customWidth="1"/>
    <col min="17" max="17" width="3.7109375" style="107" customWidth="1"/>
    <col min="18" max="18" width="50.7109375" style="107" customWidth="1"/>
    <col min="19" max="16384" width="9.140625" style="107" customWidth="1"/>
  </cols>
  <sheetData>
    <row r="1" spans="1:19" ht="15" customHeight="1">
      <c r="A1" s="393" t="s">
        <v>630</v>
      </c>
      <c r="B1" s="394"/>
      <c r="C1" s="394"/>
      <c r="D1" s="394"/>
      <c r="E1" s="394"/>
      <c r="F1" s="394"/>
      <c r="G1" s="394"/>
      <c r="H1" s="394"/>
      <c r="I1" s="394"/>
      <c r="J1" s="392" t="s">
        <v>626</v>
      </c>
      <c r="K1" s="392"/>
      <c r="L1" s="392"/>
      <c r="M1" s="392"/>
      <c r="N1" s="392"/>
      <c r="O1" s="392"/>
      <c r="P1" s="392"/>
      <c r="Q1" s="392"/>
      <c r="R1" s="392"/>
      <c r="S1" s="392"/>
    </row>
    <row r="2" spans="1:19" ht="14.25" customHeight="1">
      <c r="A2" s="394"/>
      <c r="B2" s="394"/>
      <c r="C2" s="394"/>
      <c r="D2" s="394"/>
      <c r="E2" s="394"/>
      <c r="F2" s="394"/>
      <c r="G2" s="394"/>
      <c r="H2" s="394"/>
      <c r="I2" s="394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14.25" customHeight="1">
      <c r="A3" s="394"/>
      <c r="B3" s="394"/>
      <c r="C3" s="394"/>
      <c r="D3" s="394"/>
      <c r="E3" s="394"/>
      <c r="F3" s="394"/>
      <c r="G3" s="394"/>
      <c r="H3" s="394"/>
      <c r="I3" s="394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14.25" customHeight="1">
      <c r="A4" s="394"/>
      <c r="B4" s="394"/>
      <c r="C4" s="394"/>
      <c r="D4" s="394"/>
      <c r="E4" s="394"/>
      <c r="F4" s="394"/>
      <c r="G4" s="394"/>
      <c r="H4" s="394"/>
      <c r="I4" s="394"/>
      <c r="J4" s="392"/>
      <c r="K4" s="392"/>
      <c r="L4" s="392"/>
      <c r="M4" s="392"/>
      <c r="N4" s="392"/>
      <c r="O4" s="392"/>
      <c r="P4" s="392"/>
      <c r="Q4" s="392"/>
      <c r="R4" s="392"/>
      <c r="S4" s="392"/>
    </row>
    <row r="5" spans="1:19" ht="14.25" customHeight="1">
      <c r="A5" s="394"/>
      <c r="B5" s="394"/>
      <c r="C5" s="394"/>
      <c r="D5" s="394"/>
      <c r="E5" s="394"/>
      <c r="F5" s="394"/>
      <c r="G5" s="394"/>
      <c r="H5" s="394"/>
      <c r="I5" s="394"/>
      <c r="J5" s="392"/>
      <c r="K5" s="392"/>
      <c r="L5" s="392"/>
      <c r="M5" s="392"/>
      <c r="N5" s="392"/>
      <c r="O5" s="392"/>
      <c r="P5" s="392"/>
      <c r="Q5" s="392"/>
      <c r="R5" s="392"/>
      <c r="S5" s="392"/>
    </row>
    <row r="6" spans="1:19" ht="14.25" customHeight="1">
      <c r="A6" s="394"/>
      <c r="B6" s="394"/>
      <c r="C6" s="394"/>
      <c r="D6" s="394"/>
      <c r="E6" s="394"/>
      <c r="F6" s="394"/>
      <c r="G6" s="394"/>
      <c r="H6" s="394"/>
      <c r="I6" s="394"/>
      <c r="J6" s="392"/>
      <c r="K6" s="392"/>
      <c r="L6" s="392"/>
      <c r="M6" s="392"/>
      <c r="N6" s="392"/>
      <c r="O6" s="392"/>
      <c r="P6" s="392"/>
      <c r="Q6" s="392"/>
      <c r="R6" s="392"/>
      <c r="S6" s="392"/>
    </row>
    <row r="7" spans="1:19" ht="14.25" customHeight="1">
      <c r="A7" s="394"/>
      <c r="B7" s="394"/>
      <c r="C7" s="394"/>
      <c r="D7" s="394"/>
      <c r="E7" s="394"/>
      <c r="F7" s="394"/>
      <c r="G7" s="394"/>
      <c r="H7" s="394"/>
      <c r="I7" s="394"/>
      <c r="J7" s="392"/>
      <c r="K7" s="392"/>
      <c r="L7" s="392"/>
      <c r="M7" s="392"/>
      <c r="N7" s="392"/>
      <c r="O7" s="392"/>
      <c r="P7" s="392"/>
      <c r="Q7" s="392"/>
      <c r="R7" s="392"/>
      <c r="S7" s="392"/>
    </row>
    <row r="8" spans="1:19" ht="14.25" customHeight="1">
      <c r="A8" s="394"/>
      <c r="B8" s="394"/>
      <c r="C8" s="394"/>
      <c r="D8" s="394"/>
      <c r="E8" s="394"/>
      <c r="F8" s="394"/>
      <c r="G8" s="394"/>
      <c r="H8" s="394"/>
      <c r="I8" s="394"/>
      <c r="J8" s="392"/>
      <c r="K8" s="392"/>
      <c r="L8" s="392"/>
      <c r="M8" s="392"/>
      <c r="N8" s="392"/>
      <c r="O8" s="392"/>
      <c r="P8" s="392"/>
      <c r="Q8" s="392"/>
      <c r="R8" s="392"/>
      <c r="S8" s="392"/>
    </row>
    <row r="9" spans="1:19" ht="14.25" customHeight="1">
      <c r="A9" s="394"/>
      <c r="B9" s="394"/>
      <c r="C9" s="394"/>
      <c r="D9" s="394"/>
      <c r="E9" s="394"/>
      <c r="F9" s="394"/>
      <c r="G9" s="394"/>
      <c r="H9" s="394"/>
      <c r="I9" s="394"/>
      <c r="J9" s="392"/>
      <c r="K9" s="392"/>
      <c r="L9" s="392"/>
      <c r="M9" s="392"/>
      <c r="N9" s="392"/>
      <c r="O9" s="392"/>
      <c r="P9" s="392"/>
      <c r="Q9" s="392"/>
      <c r="R9" s="392"/>
      <c r="S9" s="392"/>
    </row>
    <row r="10" spans="1:18" ht="14.25" customHeight="1">
      <c r="A10" s="394"/>
      <c r="B10" s="394"/>
      <c r="C10" s="394"/>
      <c r="D10" s="394"/>
      <c r="E10" s="394"/>
      <c r="F10" s="394"/>
      <c r="G10" s="394"/>
      <c r="H10" s="394"/>
      <c r="I10" s="394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7" ht="14.25" customHeight="1" thickBot="1">
      <c r="A11" s="394"/>
      <c r="B11" s="394"/>
      <c r="C11" s="394"/>
      <c r="D11" s="394"/>
      <c r="E11" s="394"/>
      <c r="F11" s="394"/>
      <c r="G11" s="394"/>
      <c r="H11" s="394"/>
      <c r="I11" s="394"/>
      <c r="K11" s="108" t="s">
        <v>572</v>
      </c>
      <c r="L11" s="109"/>
      <c r="P11" s="108" t="s">
        <v>581</v>
      </c>
      <c r="Q11" s="109"/>
    </row>
    <row r="12" spans="1:18" ht="14.25" customHeight="1" thickTop="1">
      <c r="A12" s="394"/>
      <c r="B12" s="394"/>
      <c r="C12" s="394"/>
      <c r="D12" s="394"/>
      <c r="E12" s="394"/>
      <c r="F12" s="394"/>
      <c r="G12" s="394"/>
      <c r="H12" s="394"/>
      <c r="I12" s="394"/>
      <c r="K12" s="335">
        <f>'Årlig CO2-opgørelse'!D6</f>
        <v>4419.1861223</v>
      </c>
      <c r="L12" s="94" t="s">
        <v>565</v>
      </c>
      <c r="M12" s="94"/>
      <c r="P12" s="335">
        <f>'Årlig CO2-opgørelse'!F6</f>
        <v>104.89902493116217</v>
      </c>
      <c r="Q12" s="214" t="s">
        <v>558</v>
      </c>
      <c r="R12" s="214"/>
    </row>
    <row r="13" spans="1:18" ht="14.25" customHeight="1">
      <c r="A13" s="394"/>
      <c r="B13" s="394"/>
      <c r="C13" s="394"/>
      <c r="D13" s="394"/>
      <c r="E13" s="394"/>
      <c r="F13" s="394"/>
      <c r="G13" s="394"/>
      <c r="H13" s="394"/>
      <c r="I13" s="394"/>
      <c r="K13" s="336">
        <f>'Årlig CO2-opgørelse'!D7</f>
        <v>259.2540388</v>
      </c>
      <c r="L13" s="96"/>
      <c r="M13" s="60" t="s">
        <v>496</v>
      </c>
      <c r="P13" s="336">
        <f>'Årlig CO2-opgørelse'!F13</f>
        <v>24.309106444956143</v>
      </c>
      <c r="Q13" s="214" t="s">
        <v>559</v>
      </c>
      <c r="R13" s="214"/>
    </row>
    <row r="14" spans="1:18" ht="14.25" customHeight="1">
      <c r="A14" s="394"/>
      <c r="B14" s="394"/>
      <c r="C14" s="394"/>
      <c r="D14" s="394"/>
      <c r="E14" s="394"/>
      <c r="F14" s="394"/>
      <c r="G14" s="394"/>
      <c r="H14" s="394"/>
      <c r="I14" s="394"/>
      <c r="K14" s="336">
        <f>'Årlig CO2-opgørelse'!D8</f>
        <v>2130.477198</v>
      </c>
      <c r="L14" s="96"/>
      <c r="M14" s="60" t="s">
        <v>603</v>
      </c>
      <c r="P14" s="336">
        <f>'Årlig CO2-opgørelse'!F17</f>
        <v>0</v>
      </c>
      <c r="Q14" s="214" t="s">
        <v>560</v>
      </c>
      <c r="R14" s="214"/>
    </row>
    <row r="15" spans="1:18" ht="14.25" customHeight="1">
      <c r="A15" s="394"/>
      <c r="B15" s="394"/>
      <c r="C15" s="394"/>
      <c r="D15" s="394"/>
      <c r="E15" s="394"/>
      <c r="F15" s="394"/>
      <c r="G15" s="394"/>
      <c r="H15" s="394"/>
      <c r="I15" s="394"/>
      <c r="K15" s="336">
        <f>'Årlig CO2-opgørelse'!D9</f>
        <v>573.3485684</v>
      </c>
      <c r="L15" s="96"/>
      <c r="M15" s="60" t="s">
        <v>498</v>
      </c>
      <c r="P15" s="336">
        <f>'Årlig CO2-opgørelse'!F22</f>
        <v>31.950066369160652</v>
      </c>
      <c r="Q15" s="214" t="s">
        <v>517</v>
      </c>
      <c r="R15" s="214"/>
    </row>
    <row r="16" spans="1:18" ht="14.25" customHeight="1">
      <c r="A16" s="394"/>
      <c r="B16" s="394"/>
      <c r="C16" s="394"/>
      <c r="D16" s="394"/>
      <c r="E16" s="394"/>
      <c r="F16" s="394"/>
      <c r="G16" s="394"/>
      <c r="H16" s="394"/>
      <c r="I16" s="394"/>
      <c r="K16" s="336">
        <f>'Årlig CO2-opgørelse'!D10</f>
        <v>1011.8544613</v>
      </c>
      <c r="L16" s="96"/>
      <c r="M16" s="60" t="s">
        <v>505</v>
      </c>
      <c r="P16" s="336">
        <f>'Årlig CO2-opgørelse'!F23</f>
        <v>1.269470281048234</v>
      </c>
      <c r="Q16" s="214" t="s">
        <v>561</v>
      </c>
      <c r="R16" s="214"/>
    </row>
    <row r="17" spans="1:18" ht="14.25" customHeight="1">
      <c r="A17" s="394"/>
      <c r="B17" s="394"/>
      <c r="C17" s="394"/>
      <c r="D17" s="394"/>
      <c r="E17" s="394"/>
      <c r="F17" s="394"/>
      <c r="G17" s="394"/>
      <c r="H17" s="394"/>
      <c r="I17" s="394"/>
      <c r="K17" s="336">
        <f>'Årlig CO2-opgørelse'!D11</f>
        <v>67.52007</v>
      </c>
      <c r="L17" s="96"/>
      <c r="M17" s="60" t="s">
        <v>506</v>
      </c>
      <c r="P17" s="336">
        <f>'Årlig CO2-opgørelse'!F27</f>
        <v>0</v>
      </c>
      <c r="Q17" s="214" t="s">
        <v>562</v>
      </c>
      <c r="R17" s="214"/>
    </row>
    <row r="18" spans="1:18" ht="14.25" customHeight="1">
      <c r="A18" s="394"/>
      <c r="B18" s="394"/>
      <c r="C18" s="394"/>
      <c r="D18" s="394"/>
      <c r="E18" s="394"/>
      <c r="F18" s="394"/>
      <c r="G18" s="394"/>
      <c r="H18" s="394"/>
      <c r="I18" s="394"/>
      <c r="K18" s="336">
        <f>'Årlig CO2-opgørelse'!D12</f>
        <v>376.7317858</v>
      </c>
      <c r="L18" s="96"/>
      <c r="M18" s="60" t="s">
        <v>507</v>
      </c>
      <c r="P18" s="336">
        <f>'Årlig CO2-opgørelse'!F31</f>
        <v>2.041571338492214</v>
      </c>
      <c r="Q18" s="304" t="s">
        <v>563</v>
      </c>
      <c r="R18" s="304"/>
    </row>
    <row r="19" spans="1:18" ht="14.25" customHeight="1" thickBot="1">
      <c r="A19" s="394"/>
      <c r="B19" s="394"/>
      <c r="C19" s="394"/>
      <c r="D19" s="394"/>
      <c r="E19" s="394"/>
      <c r="F19" s="394"/>
      <c r="G19" s="394"/>
      <c r="H19" s="394"/>
      <c r="I19" s="394"/>
      <c r="K19" s="336">
        <f>'Årlig CO2-opgørelse'!D13</f>
        <v>1024.0940363131124</v>
      </c>
      <c r="L19" s="94" t="s">
        <v>508</v>
      </c>
      <c r="M19" s="95"/>
      <c r="P19" s="338">
        <f>SUM(P12:P18)</f>
        <v>164.46923936481943</v>
      </c>
      <c r="Q19" s="215" t="s">
        <v>564</v>
      </c>
      <c r="R19" s="215"/>
    </row>
    <row r="20" spans="1:13" ht="14.25" customHeight="1" thickTop="1">
      <c r="A20" s="394"/>
      <c r="B20" s="394"/>
      <c r="C20" s="394"/>
      <c r="D20" s="394"/>
      <c r="E20" s="394"/>
      <c r="F20" s="394"/>
      <c r="G20" s="394"/>
      <c r="H20" s="394"/>
      <c r="I20" s="394"/>
      <c r="K20" s="336">
        <f>'Årlig CO2-opgørelse'!D14</f>
        <v>170.31127127659573</v>
      </c>
      <c r="L20" s="96"/>
      <c r="M20" s="60" t="s">
        <v>509</v>
      </c>
    </row>
    <row r="21" spans="1:16" ht="14.25" customHeight="1" thickBot="1">
      <c r="A21" s="394"/>
      <c r="B21" s="394"/>
      <c r="C21" s="394"/>
      <c r="D21" s="394"/>
      <c r="E21" s="394"/>
      <c r="F21" s="394"/>
      <c r="G21" s="394"/>
      <c r="H21" s="394"/>
      <c r="I21" s="394"/>
      <c r="K21" s="336">
        <f>'Årlig CO2-opgørelse'!D15</f>
        <v>611.0977999999999</v>
      </c>
      <c r="L21" s="96"/>
      <c r="M21" s="60" t="s">
        <v>510</v>
      </c>
      <c r="P21" s="108" t="s">
        <v>613</v>
      </c>
    </row>
    <row r="22" spans="1:18" ht="14.25" customHeight="1" thickTop="1">
      <c r="A22" s="394"/>
      <c r="B22" s="394"/>
      <c r="C22" s="394"/>
      <c r="D22" s="394"/>
      <c r="E22" s="394"/>
      <c r="F22" s="394"/>
      <c r="G22" s="394"/>
      <c r="H22" s="394"/>
      <c r="I22" s="394"/>
      <c r="K22" s="336">
        <f>'Årlig CO2-opgørelse'!D16</f>
        <v>242.68496503651687</v>
      </c>
      <c r="L22" s="96"/>
      <c r="M22" s="93" t="s">
        <v>511</v>
      </c>
      <c r="P22" s="339">
        <f>'Årlig CO2-opgørelse'!E6</f>
        <v>157.36995704955334</v>
      </c>
      <c r="Q22" s="94" t="s">
        <v>565</v>
      </c>
      <c r="R22" s="95"/>
    </row>
    <row r="23" spans="1:18" ht="14.25" customHeight="1">
      <c r="A23" s="394"/>
      <c r="B23" s="394"/>
      <c r="C23" s="394"/>
      <c r="D23" s="394"/>
      <c r="E23" s="394"/>
      <c r="F23" s="394"/>
      <c r="G23" s="394"/>
      <c r="H23" s="394"/>
      <c r="I23" s="394"/>
      <c r="K23" s="336">
        <f>'Årlig CO2-opgørelse'!D17</f>
        <v>0</v>
      </c>
      <c r="L23" s="94" t="s">
        <v>512</v>
      </c>
      <c r="M23" s="94"/>
      <c r="P23" s="336">
        <f>'Årlig CO2-opgørelse'!E7</f>
        <v>28.950758101619204</v>
      </c>
      <c r="Q23" s="217"/>
      <c r="R23" s="218" t="s">
        <v>496</v>
      </c>
    </row>
    <row r="24" spans="1:18" ht="14.25" customHeight="1">
      <c r="A24" s="394"/>
      <c r="B24" s="394"/>
      <c r="C24" s="394"/>
      <c r="D24" s="394"/>
      <c r="E24" s="394"/>
      <c r="F24" s="394"/>
      <c r="G24" s="394"/>
      <c r="H24" s="394"/>
      <c r="I24" s="394"/>
      <c r="K24" s="336">
        <f>'Årlig CO2-opgørelse'!D18</f>
        <v>0</v>
      </c>
      <c r="L24" s="96"/>
      <c r="M24" s="60" t="s">
        <v>513</v>
      </c>
      <c r="P24" s="336">
        <f>'Årlig CO2-opgørelse'!E8</f>
        <v>21.880895970914167</v>
      </c>
      <c r="Q24" s="219"/>
      <c r="R24" s="218" t="s">
        <v>603</v>
      </c>
    </row>
    <row r="25" spans="1:18" ht="14.25" customHeight="1">
      <c r="A25" s="394"/>
      <c r="B25" s="394"/>
      <c r="C25" s="394"/>
      <c r="D25" s="394"/>
      <c r="E25" s="394"/>
      <c r="F25" s="394"/>
      <c r="G25" s="394"/>
      <c r="H25" s="394"/>
      <c r="I25" s="394"/>
      <c r="K25" s="336">
        <f>'Årlig CO2-opgørelse'!D19</f>
        <v>0</v>
      </c>
      <c r="L25" s="96"/>
      <c r="M25" s="60" t="s">
        <v>514</v>
      </c>
      <c r="P25" s="336">
        <f>'Årlig CO2-opgørelse'!E9</f>
        <v>31.934308143032194</v>
      </c>
      <c r="Q25" s="219"/>
      <c r="R25" s="218" t="s">
        <v>498</v>
      </c>
    </row>
    <row r="26" spans="1:18" ht="14.25" customHeight="1">
      <c r="A26" s="394"/>
      <c r="B26" s="394"/>
      <c r="C26" s="394"/>
      <c r="D26" s="394"/>
      <c r="E26" s="394"/>
      <c r="F26" s="394"/>
      <c r="G26" s="394"/>
      <c r="H26" s="394"/>
      <c r="I26" s="394"/>
      <c r="K26" s="336">
        <f>'Årlig CO2-opgørelse'!D20</f>
        <v>0</v>
      </c>
      <c r="L26" s="96"/>
      <c r="M26" s="60" t="s">
        <v>515</v>
      </c>
      <c r="P26" s="336">
        <f>'Årlig CO2-opgørelse'!E10</f>
        <v>29.14159499164795</v>
      </c>
      <c r="Q26" s="219"/>
      <c r="R26" s="218" t="s">
        <v>505</v>
      </c>
    </row>
    <row r="27" spans="1:18" ht="14.25" customHeight="1">
      <c r="A27" s="394"/>
      <c r="B27" s="394"/>
      <c r="C27" s="394"/>
      <c r="D27" s="394"/>
      <c r="E27" s="394"/>
      <c r="F27" s="394"/>
      <c r="G27" s="394"/>
      <c r="H27" s="394"/>
      <c r="I27" s="394"/>
      <c r="K27" s="336">
        <f>'Årlig CO2-opgørelse'!D21</f>
        <v>0</v>
      </c>
      <c r="L27" s="96"/>
      <c r="M27" s="60" t="s">
        <v>516</v>
      </c>
      <c r="P27" s="336">
        <f>'Årlig CO2-opgørelse'!E11</f>
        <v>18.71917660105351</v>
      </c>
      <c r="Q27" s="219"/>
      <c r="R27" s="218" t="s">
        <v>506</v>
      </c>
    </row>
    <row r="28" spans="1:18" ht="14.25" customHeight="1">
      <c r="A28" s="394"/>
      <c r="B28" s="394"/>
      <c r="C28" s="394"/>
      <c r="D28" s="394"/>
      <c r="E28" s="394"/>
      <c r="F28" s="394"/>
      <c r="G28" s="394"/>
      <c r="H28" s="394"/>
      <c r="I28" s="394"/>
      <c r="K28" s="336">
        <f>'Årlig CO2-opgørelse'!D22</f>
        <v>1345.9923959999999</v>
      </c>
      <c r="L28" s="94" t="s">
        <v>569</v>
      </c>
      <c r="M28" s="94"/>
      <c r="P28" s="336">
        <f>'Årlig CO2-opgørelse'!E12</f>
        <v>26.743223241286294</v>
      </c>
      <c r="Q28" s="220"/>
      <c r="R28" s="218" t="s">
        <v>566</v>
      </c>
    </row>
    <row r="29" spans="1:18" ht="14.25" customHeight="1">
      <c r="A29" s="394"/>
      <c r="B29" s="394"/>
      <c r="C29" s="394"/>
      <c r="D29" s="394"/>
      <c r="E29" s="394"/>
      <c r="F29" s="394"/>
      <c r="G29" s="394"/>
      <c r="H29" s="394"/>
      <c r="I29" s="394"/>
      <c r="K29" s="336">
        <f>'Årlig CO2-opgørelse'!D23</f>
        <v>53.48024399999999</v>
      </c>
      <c r="L29" s="94" t="s">
        <v>518</v>
      </c>
      <c r="M29" s="94"/>
      <c r="P29" s="336">
        <f>'Årlig CO2-opgørelse'!E23</f>
        <v>50.174970702341135</v>
      </c>
      <c r="Q29" s="216" t="s">
        <v>567</v>
      </c>
      <c r="R29" s="95"/>
    </row>
    <row r="30" spans="1:18" ht="14.25" customHeight="1">
      <c r="A30" s="394"/>
      <c r="B30" s="394"/>
      <c r="C30" s="394"/>
      <c r="D30" s="394"/>
      <c r="E30" s="394"/>
      <c r="F30" s="394"/>
      <c r="G30" s="394"/>
      <c r="H30" s="394"/>
      <c r="I30" s="394"/>
      <c r="K30" s="336">
        <f>'Årlig CO2-opgørelse'!D24</f>
        <v>52.083023999999995</v>
      </c>
      <c r="L30" s="96"/>
      <c r="M30" s="60" t="s">
        <v>602</v>
      </c>
      <c r="P30" s="336">
        <f>'Årlig CO2-opgørelse'!E24</f>
        <v>45.28958608695652</v>
      </c>
      <c r="Q30" s="217"/>
      <c r="R30" s="218" t="s">
        <v>602</v>
      </c>
    </row>
    <row r="31" spans="1:18" ht="14.25" customHeight="1">
      <c r="A31" s="394"/>
      <c r="B31" s="394"/>
      <c r="C31" s="394"/>
      <c r="D31" s="394"/>
      <c r="E31" s="394"/>
      <c r="F31" s="394"/>
      <c r="G31" s="394"/>
      <c r="H31" s="394"/>
      <c r="I31" s="394"/>
      <c r="K31" s="336">
        <f>'Årlig CO2-opgørelse'!D25</f>
        <v>0</v>
      </c>
      <c r="L31" s="96"/>
      <c r="M31" s="60" t="s">
        <v>519</v>
      </c>
      <c r="P31" s="336">
        <f>'Årlig CO2-opgørelse'!E25</f>
        <v>0</v>
      </c>
      <c r="Q31" s="219"/>
      <c r="R31" s="221" t="s">
        <v>519</v>
      </c>
    </row>
    <row r="32" spans="1:18" ht="14.25" customHeight="1">
      <c r="A32" s="394"/>
      <c r="B32" s="394"/>
      <c r="C32" s="394"/>
      <c r="D32" s="394"/>
      <c r="E32" s="394"/>
      <c r="F32" s="394"/>
      <c r="G32" s="394"/>
      <c r="H32" s="394"/>
      <c r="I32" s="394"/>
      <c r="K32" s="336">
        <f>'Årlig CO2-opgørelse'!D26</f>
        <v>1.3972200000000001</v>
      </c>
      <c r="L32" s="96"/>
      <c r="M32" s="60" t="s">
        <v>516</v>
      </c>
      <c r="P32" s="336">
        <f>'Årlig CO2-opgørelse'!E26</f>
        <v>4.885384615384615</v>
      </c>
      <c r="Q32" s="219"/>
      <c r="R32" s="221" t="s">
        <v>516</v>
      </c>
    </row>
    <row r="33" spans="1:18" ht="14.25" customHeight="1">
      <c r="A33" s="394"/>
      <c r="B33" s="394"/>
      <c r="C33" s="394"/>
      <c r="D33" s="394"/>
      <c r="E33" s="394"/>
      <c r="F33" s="394"/>
      <c r="G33" s="394"/>
      <c r="H33" s="394"/>
      <c r="I33" s="394"/>
      <c r="K33" s="336">
        <f>'Årlig CO2-opgørelse'!D27</f>
        <v>0</v>
      </c>
      <c r="L33" s="94" t="s">
        <v>568</v>
      </c>
      <c r="M33" s="94"/>
      <c r="P33" s="336">
        <f>'Årlig CO2-opgørelse'!E31</f>
        <v>18.099182943602692</v>
      </c>
      <c r="Q33" s="94" t="s">
        <v>522</v>
      </c>
      <c r="R33" s="222"/>
    </row>
    <row r="34" spans="1:18" ht="13.5">
      <c r="A34" s="394"/>
      <c r="B34" s="394"/>
      <c r="C34" s="394"/>
      <c r="D34" s="394"/>
      <c r="E34" s="394"/>
      <c r="F34" s="394"/>
      <c r="G34" s="394"/>
      <c r="H34" s="394"/>
      <c r="I34" s="394"/>
      <c r="K34" s="336">
        <f>'Årlig CO2-opgørelse'!D28</f>
        <v>0</v>
      </c>
      <c r="L34" s="96"/>
      <c r="M34" s="60" t="s">
        <v>520</v>
      </c>
      <c r="P34" s="336">
        <f>'Årlig CO2-opgørelse'!E32</f>
        <v>18.099182943602692</v>
      </c>
      <c r="Q34" s="220"/>
      <c r="R34" s="218" t="s">
        <v>499</v>
      </c>
    </row>
    <row r="35" spans="1:18" ht="13.5">
      <c r="A35" s="394"/>
      <c r="B35" s="394"/>
      <c r="C35" s="394"/>
      <c r="D35" s="394"/>
      <c r="E35" s="394"/>
      <c r="F35" s="394"/>
      <c r="G35" s="394"/>
      <c r="H35" s="394"/>
      <c r="I35" s="394"/>
      <c r="K35" s="336">
        <f>'Årlig CO2-opgørelse'!D29</f>
        <v>0</v>
      </c>
      <c r="L35" s="96"/>
      <c r="M35" s="60" t="s">
        <v>521</v>
      </c>
      <c r="P35" s="336">
        <f>SUM('Årlig CO2-opgørelse'!E33:E37)</f>
        <v>0</v>
      </c>
      <c r="Q35" s="220"/>
      <c r="R35" s="218" t="s">
        <v>516</v>
      </c>
    </row>
    <row r="36" spans="1:18" ht="14.25" thickBot="1">
      <c r="A36" s="394"/>
      <c r="B36" s="394"/>
      <c r="C36" s="394"/>
      <c r="D36" s="394"/>
      <c r="E36" s="394"/>
      <c r="F36" s="394"/>
      <c r="G36" s="394"/>
      <c r="H36" s="394"/>
      <c r="I36" s="394"/>
      <c r="K36" s="336">
        <f>'Årlig CO2-opgørelse'!D30</f>
        <v>0</v>
      </c>
      <c r="L36" s="96"/>
      <c r="M36" s="60" t="s">
        <v>516</v>
      </c>
      <c r="P36" s="337">
        <f>SUM(P22:P35)</f>
        <v>451.2882213909942</v>
      </c>
      <c r="Q36" s="97" t="s">
        <v>564</v>
      </c>
      <c r="R36" s="95"/>
    </row>
    <row r="37" spans="1:13" ht="14.25" thickTop="1">
      <c r="A37" s="394"/>
      <c r="B37" s="394"/>
      <c r="C37" s="394"/>
      <c r="D37" s="394"/>
      <c r="E37" s="394"/>
      <c r="F37" s="394"/>
      <c r="G37" s="394"/>
      <c r="H37" s="394"/>
      <c r="I37" s="394"/>
      <c r="K37" s="336">
        <f>'Årlig CO2-opgørelse'!D31</f>
        <v>86.007317348</v>
      </c>
      <c r="L37" s="94" t="s">
        <v>522</v>
      </c>
      <c r="M37" s="94"/>
    </row>
    <row r="38" spans="1:13" ht="13.5">
      <c r="A38" s="394"/>
      <c r="B38" s="394"/>
      <c r="C38" s="394"/>
      <c r="D38" s="394"/>
      <c r="E38" s="394"/>
      <c r="F38" s="394"/>
      <c r="G38" s="394"/>
      <c r="H38" s="394"/>
      <c r="I38" s="394"/>
      <c r="K38" s="336">
        <f>'Årlig CO2-opgørelse'!D32</f>
        <v>86.007317348</v>
      </c>
      <c r="L38" s="213"/>
      <c r="M38" s="60" t="s">
        <v>499</v>
      </c>
    </row>
    <row r="39" spans="1:13" ht="13.5">
      <c r="A39" s="394"/>
      <c r="B39" s="394"/>
      <c r="C39" s="394"/>
      <c r="D39" s="394"/>
      <c r="E39" s="394"/>
      <c r="F39" s="394"/>
      <c r="G39" s="394"/>
      <c r="H39" s="394"/>
      <c r="I39" s="394"/>
      <c r="K39" s="336">
        <f>'Årlig CO2-opgørelse'!D33</f>
        <v>0</v>
      </c>
      <c r="L39" s="96"/>
      <c r="M39" s="60" t="s">
        <v>523</v>
      </c>
    </row>
    <row r="40" spans="1:13" ht="13.5">
      <c r="A40" s="394"/>
      <c r="B40" s="394"/>
      <c r="C40" s="394"/>
      <c r="D40" s="394"/>
      <c r="E40" s="394"/>
      <c r="F40" s="394"/>
      <c r="G40" s="394"/>
      <c r="H40" s="394"/>
      <c r="I40" s="394"/>
      <c r="K40" s="336">
        <f>'Årlig CO2-opgørelse'!D34</f>
        <v>0</v>
      </c>
      <c r="L40" s="96"/>
      <c r="M40" s="60" t="s">
        <v>524</v>
      </c>
    </row>
    <row r="41" spans="1:13" ht="13.5">
      <c r="A41" s="394"/>
      <c r="B41" s="394"/>
      <c r="C41" s="394"/>
      <c r="D41" s="394"/>
      <c r="E41" s="394"/>
      <c r="F41" s="394"/>
      <c r="G41" s="394"/>
      <c r="H41" s="394"/>
      <c r="I41" s="394"/>
      <c r="K41" s="336">
        <f>'Årlig CO2-opgørelse'!D35</f>
        <v>0</v>
      </c>
      <c r="L41" s="96"/>
      <c r="M41" s="60" t="s">
        <v>525</v>
      </c>
    </row>
    <row r="42" spans="1:13" ht="13.5">
      <c r="A42" s="394"/>
      <c r="B42" s="394"/>
      <c r="C42" s="394"/>
      <c r="D42" s="394"/>
      <c r="E42" s="394"/>
      <c r="F42" s="394"/>
      <c r="G42" s="394"/>
      <c r="H42" s="394"/>
      <c r="I42" s="394"/>
      <c r="K42" s="336">
        <f>'Årlig CO2-opgørelse'!D36</f>
        <v>0</v>
      </c>
      <c r="L42" s="96"/>
      <c r="M42" s="60" t="s">
        <v>557</v>
      </c>
    </row>
    <row r="43" spans="11:13" ht="13.5">
      <c r="K43" s="336">
        <f>'Årlig CO2-opgørelse'!D37</f>
        <v>0</v>
      </c>
      <c r="L43" s="96"/>
      <c r="M43" s="60" t="s">
        <v>516</v>
      </c>
    </row>
    <row r="44" spans="11:13" ht="14.25" thickBot="1">
      <c r="K44" s="337">
        <f>'Årlig CO2-opgørelse'!D38</f>
        <v>6928.760115961111</v>
      </c>
      <c r="L44" s="303" t="s">
        <v>526</v>
      </c>
      <c r="M44" s="94"/>
    </row>
    <row r="45" spans="11:12" ht="14.25" thickTop="1">
      <c r="K45" s="210"/>
      <c r="L45" s="111"/>
    </row>
  </sheetData>
  <sheetProtection/>
  <mergeCells count="2">
    <mergeCell ref="J1:S9"/>
    <mergeCell ref="A1:I42"/>
  </mergeCells>
  <printOptions/>
  <pageMargins left="0.75" right="0.75" top="1" bottom="1" header="0.5" footer="0.5"/>
  <pageSetup horizontalDpi="600" verticalDpi="600" orientation="portrait" paperSize="9" r:id="rId1"/>
  <colBreaks count="1" manualBreakCount="1">
    <brk id="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H58"/>
  <sheetViews>
    <sheetView view="pageBreakPreview" zoomScale="70" zoomScaleNormal="70" zoomScaleSheetLayoutView="70" zoomScalePageLayoutView="0" workbookViewId="0" topLeftCell="A1">
      <selection activeCell="B21" sqref="B21"/>
    </sheetView>
  </sheetViews>
  <sheetFormatPr defaultColWidth="9.140625" defaultRowHeight="12.75"/>
  <cols>
    <col min="1" max="1" width="4.8515625" style="107" customWidth="1"/>
    <col min="2" max="2" width="11.421875" style="58" customWidth="1"/>
    <col min="3" max="3" width="49.00390625" style="58" customWidth="1"/>
    <col min="4" max="6" width="16.7109375" style="74" customWidth="1"/>
    <col min="7" max="7" width="4.7109375" style="107" customWidth="1"/>
    <col min="8" max="8" width="17.00390625" style="58" customWidth="1"/>
    <col min="9" max="9" width="25.421875" style="58" bestFit="1" customWidth="1"/>
    <col min="10" max="10" width="7.57421875" style="58" bestFit="1" customWidth="1"/>
    <col min="11" max="11" width="9.140625" style="58" customWidth="1"/>
    <col min="12" max="12" width="6.8515625" style="58" bestFit="1" customWidth="1"/>
    <col min="13" max="16" width="9.140625" style="58" customWidth="1"/>
    <col min="17" max="17" width="8.8515625" style="0" customWidth="1"/>
    <col min="18" max="16384" width="9.140625" style="58" customWidth="1"/>
  </cols>
  <sheetData>
    <row r="1" spans="1:7" s="57" customFormat="1" ht="24.75" customHeight="1">
      <c r="A1" s="109"/>
      <c r="B1" s="112" t="s">
        <v>705</v>
      </c>
      <c r="C1" s="109"/>
      <c r="D1" s="109"/>
      <c r="E1" s="109"/>
      <c r="F1" s="109"/>
      <c r="G1" s="109"/>
    </row>
    <row r="2" spans="1:7" s="57" customFormat="1" ht="13.5">
      <c r="A2" s="109"/>
      <c r="B2" s="107" t="str">
        <f>"Indbyggere: "&amp;Antal_borgere</f>
        <v>Indbyggere: 42128</v>
      </c>
      <c r="C2" s="109"/>
      <c r="D2" s="109"/>
      <c r="E2" s="109"/>
      <c r="F2" s="109"/>
      <c r="G2" s="109"/>
    </row>
    <row r="3" spans="1:7" s="57" customFormat="1" ht="13.5">
      <c r="A3" s="109"/>
      <c r="B3" s="107"/>
      <c r="C3" s="109"/>
      <c r="D3" s="109"/>
      <c r="E3" s="109"/>
      <c r="F3" s="109"/>
      <c r="G3" s="109"/>
    </row>
    <row r="4" spans="1:7" s="57" customFormat="1" ht="14.25" customHeight="1">
      <c r="A4" s="109"/>
      <c r="B4" s="395" t="s">
        <v>641</v>
      </c>
      <c r="C4" s="396"/>
      <c r="D4" s="307" t="s">
        <v>638</v>
      </c>
      <c r="E4" s="307" t="s">
        <v>640</v>
      </c>
      <c r="F4" s="307" t="s">
        <v>639</v>
      </c>
      <c r="G4" s="109"/>
    </row>
    <row r="5" spans="1:7" s="57" customFormat="1" ht="16.5">
      <c r="A5" s="109"/>
      <c r="B5" s="397"/>
      <c r="C5" s="398"/>
      <c r="D5" s="308" t="s">
        <v>541</v>
      </c>
      <c r="E5" s="309" t="s">
        <v>637</v>
      </c>
      <c r="F5" s="309" t="s">
        <v>574</v>
      </c>
      <c r="G5" s="109"/>
    </row>
    <row r="6" spans="2:7" ht="15.75" customHeight="1">
      <c r="B6" s="313" t="s">
        <v>565</v>
      </c>
      <c r="C6" s="314"/>
      <c r="D6" s="324">
        <f>SUM(D7:D12)</f>
        <v>4419.1861223</v>
      </c>
      <c r="E6" s="325">
        <f>SUM(E7:E12)</f>
        <v>157.36995704955334</v>
      </c>
      <c r="F6" s="326">
        <f>SUM(F7:F12)</f>
        <v>104.89902493116217</v>
      </c>
      <c r="G6" s="211"/>
    </row>
    <row r="7" spans="2:7" ht="13.5">
      <c r="B7" s="310"/>
      <c r="C7" s="311" t="s">
        <v>496</v>
      </c>
      <c r="D7" s="327">
        <f>Bygninger!AE4</f>
        <v>259.2540388</v>
      </c>
      <c r="E7" s="328">
        <f>D7*1000/A_administrationsbygninger</f>
        <v>28.950758101619204</v>
      </c>
      <c r="F7" s="329">
        <f aca="true" t="shared" si="0" ref="F7:F12">D7*1000/Antal_borgere</f>
        <v>6.153960282947208</v>
      </c>
      <c r="G7" s="110"/>
    </row>
    <row r="8" spans="2:7" ht="13.5">
      <c r="B8" s="310"/>
      <c r="C8" s="311" t="s">
        <v>603</v>
      </c>
      <c r="D8" s="327">
        <f>Bygninger!AE38</f>
        <v>2130.477198</v>
      </c>
      <c r="E8" s="328">
        <f>D8*1000/A_skoler</f>
        <v>21.880895970914167</v>
      </c>
      <c r="F8" s="329">
        <f t="shared" si="0"/>
        <v>50.57152482909229</v>
      </c>
      <c r="G8" s="110"/>
    </row>
    <row r="9" spans="2:7" ht="13.5">
      <c r="B9" s="310"/>
      <c r="C9" s="311" t="s">
        <v>498</v>
      </c>
      <c r="D9" s="327">
        <f>Bygninger!AE57</f>
        <v>573.3485684</v>
      </c>
      <c r="E9" s="327">
        <f>D9*1000/A_daginstitutioner</f>
        <v>31.934308143032194</v>
      </c>
      <c r="F9" s="329">
        <f t="shared" si="0"/>
        <v>13.609679272692746</v>
      </c>
      <c r="G9" s="110"/>
    </row>
    <row r="10" spans="2:7" ht="13.5">
      <c r="B10" s="310"/>
      <c r="C10" s="311" t="s">
        <v>505</v>
      </c>
      <c r="D10" s="327">
        <f>Bygninger!AE86</f>
        <v>1011.8544613</v>
      </c>
      <c r="E10" s="327">
        <f>D10*1000/A_plejeOGældrecentre</f>
        <v>29.14159499164795</v>
      </c>
      <c r="F10" s="329">
        <f t="shared" si="0"/>
        <v>24.01857342622484</v>
      </c>
      <c r="G10" s="110"/>
    </row>
    <row r="11" spans="2:7" ht="13.5">
      <c r="B11" s="310"/>
      <c r="C11" s="311" t="s">
        <v>506</v>
      </c>
      <c r="D11" s="327">
        <f>Bygninger!AE106</f>
        <v>67.52007</v>
      </c>
      <c r="E11" s="328">
        <f>D11*1000/A_kulturinstitutioner</f>
        <v>18.71917660105351</v>
      </c>
      <c r="F11" s="329">
        <f t="shared" si="0"/>
        <v>1.6027361849601216</v>
      </c>
      <c r="G11" s="110"/>
    </row>
    <row r="12" spans="2:7" ht="13.5">
      <c r="B12" s="310"/>
      <c r="C12" s="311" t="s">
        <v>507</v>
      </c>
      <c r="D12" s="327">
        <f>Bygninger!AE10</f>
        <v>376.7317858</v>
      </c>
      <c r="E12" s="328">
        <f>D12*1000/A_andreKommunaleBygninger</f>
        <v>26.743223241286294</v>
      </c>
      <c r="F12" s="329">
        <f t="shared" si="0"/>
        <v>8.942550935244968</v>
      </c>
      <c r="G12" s="110"/>
    </row>
    <row r="13" spans="2:7" ht="13.5">
      <c r="B13" s="313" t="s">
        <v>508</v>
      </c>
      <c r="C13" s="314"/>
      <c r="D13" s="324">
        <f>SUM(D14:D16)</f>
        <v>1024.0940363131124</v>
      </c>
      <c r="E13" s="325" t="s">
        <v>504</v>
      </c>
      <c r="F13" s="391">
        <f>SUM(F14:F16)</f>
        <v>24.309106444956143</v>
      </c>
      <c r="G13" s="211"/>
    </row>
    <row r="14" spans="2:7" ht="13.5">
      <c r="B14" s="310"/>
      <c r="C14" s="311" t="s">
        <v>509</v>
      </c>
      <c r="D14" s="327">
        <f>Transport!K3</f>
        <v>170.31127127659573</v>
      </c>
      <c r="E14" s="328" t="s">
        <v>504</v>
      </c>
      <c r="F14" s="390">
        <f>D14*1000/Antal_borgere</f>
        <v>4.0427096296191545</v>
      </c>
      <c r="G14" s="110"/>
    </row>
    <row r="15" spans="2:7" ht="13.5">
      <c r="B15" s="310"/>
      <c r="C15" s="311" t="s">
        <v>510</v>
      </c>
      <c r="D15" s="327">
        <f>Transport!K9</f>
        <v>611.0977999999999</v>
      </c>
      <c r="E15" s="328" t="s">
        <v>504</v>
      </c>
      <c r="F15" s="390">
        <f>D15*1000/Antal_borgere</f>
        <v>14.50573965058868</v>
      </c>
      <c r="G15" s="110"/>
    </row>
    <row r="16" spans="2:7" ht="13.5">
      <c r="B16" s="310"/>
      <c r="C16" s="312" t="s">
        <v>511</v>
      </c>
      <c r="D16" s="327">
        <f>Transport!K15</f>
        <v>242.68496503651687</v>
      </c>
      <c r="E16" s="328" t="s">
        <v>504</v>
      </c>
      <c r="F16" s="390">
        <f>D16*1000/Antal_borgere</f>
        <v>5.760657164748311</v>
      </c>
      <c r="G16" s="110"/>
    </row>
    <row r="17" spans="2:7" ht="13.5">
      <c r="B17" s="313" t="s">
        <v>512</v>
      </c>
      <c r="C17" s="314"/>
      <c r="D17" s="324">
        <f>SUM(D18:D21)</f>
        <v>0</v>
      </c>
      <c r="E17" s="325" t="s">
        <v>504</v>
      </c>
      <c r="F17" s="326">
        <f>SUM(F18:F21)</f>
        <v>0</v>
      </c>
      <c r="G17" s="211"/>
    </row>
    <row r="18" spans="2:7" ht="13.5">
      <c r="B18" s="310"/>
      <c r="C18" s="311" t="s">
        <v>513</v>
      </c>
      <c r="D18" s="327"/>
      <c r="E18" s="328" t="s">
        <v>504</v>
      </c>
      <c r="F18" s="327"/>
      <c r="G18" s="110"/>
    </row>
    <row r="19" spans="2:7" ht="13.5">
      <c r="B19" s="310"/>
      <c r="C19" s="311" t="s">
        <v>514</v>
      </c>
      <c r="D19" s="327"/>
      <c r="E19" s="328" t="s">
        <v>504</v>
      </c>
      <c r="F19" s="327"/>
      <c r="G19" s="110"/>
    </row>
    <row r="20" spans="2:7" ht="13.5">
      <c r="B20" s="310"/>
      <c r="C20" s="311" t="s">
        <v>515</v>
      </c>
      <c r="D20" s="327"/>
      <c r="E20" s="328" t="s">
        <v>504</v>
      </c>
      <c r="F20" s="327"/>
      <c r="G20" s="110"/>
    </row>
    <row r="21" spans="2:7" ht="13.5">
      <c r="B21" s="310"/>
      <c r="C21" s="311" t="s">
        <v>516</v>
      </c>
      <c r="D21" s="327"/>
      <c r="E21" s="328" t="s">
        <v>504</v>
      </c>
      <c r="F21" s="327"/>
      <c r="G21" s="110"/>
    </row>
    <row r="22" spans="2:7" ht="13.5">
      <c r="B22" s="313" t="s">
        <v>569</v>
      </c>
      <c r="C22" s="314"/>
      <c r="D22" s="324">
        <f>Vejbelysning!D3</f>
        <v>1345.9923959999999</v>
      </c>
      <c r="E22" s="325" t="s">
        <v>504</v>
      </c>
      <c r="F22" s="326">
        <f>D22*1000/Antal_borgere</f>
        <v>31.950066369160652</v>
      </c>
      <c r="G22" s="211"/>
    </row>
    <row r="23" spans="2:7" ht="13.5">
      <c r="B23" s="313" t="s">
        <v>518</v>
      </c>
      <c r="C23" s="314"/>
      <c r="D23" s="324">
        <f>SUM(D24:D26)</f>
        <v>53.48024399999999</v>
      </c>
      <c r="E23" s="325">
        <f>SUM(E24:E26)</f>
        <v>50.174970702341135</v>
      </c>
      <c r="F23" s="326">
        <f>SUM(F24:F26)</f>
        <v>1.269470281048234</v>
      </c>
      <c r="G23" s="211"/>
    </row>
    <row r="24" spans="2:7" ht="13.5">
      <c r="B24" s="310"/>
      <c r="C24" s="311" t="s">
        <v>631</v>
      </c>
      <c r="D24" s="327">
        <f>Bygninger!AE122</f>
        <v>52.083023999999995</v>
      </c>
      <c r="E24" s="328">
        <f>D24*1000/A_sportsanlæg_stadions</f>
        <v>45.28958608695652</v>
      </c>
      <c r="F24" s="327">
        <f>D24*1000/Antal_borgere</f>
        <v>1.2363042157235093</v>
      </c>
      <c r="G24" s="110"/>
    </row>
    <row r="25" spans="2:7" ht="13.5">
      <c r="B25" s="310"/>
      <c r="C25" s="311" t="s">
        <v>519</v>
      </c>
      <c r="D25" s="327"/>
      <c r="E25" s="328"/>
      <c r="F25" s="327"/>
      <c r="G25" s="110"/>
    </row>
    <row r="26" spans="2:7" ht="13.5">
      <c r="B26" s="310"/>
      <c r="C26" s="311" t="s">
        <v>516</v>
      </c>
      <c r="D26" s="327">
        <f>Bygninger!AE128</f>
        <v>1.3972200000000001</v>
      </c>
      <c r="E26" s="328">
        <f>D26*1000/A_sportsanlæg_andre</f>
        <v>4.885384615384615</v>
      </c>
      <c r="F26" s="327">
        <f>D26*1000/Antal_borgere</f>
        <v>0.03316606532472465</v>
      </c>
      <c r="G26" s="110"/>
    </row>
    <row r="27" spans="2:7" ht="13.5">
      <c r="B27" s="313" t="s">
        <v>568</v>
      </c>
      <c r="C27" s="314"/>
      <c r="D27" s="324">
        <f>SUM(D28:D29)</f>
        <v>0</v>
      </c>
      <c r="E27" s="325" t="s">
        <v>504</v>
      </c>
      <c r="F27" s="326">
        <f>SUM(F28:F29)</f>
        <v>0</v>
      </c>
      <c r="G27" s="211"/>
    </row>
    <row r="28" spans="2:7" ht="13.5">
      <c r="B28" s="310"/>
      <c r="C28" s="311" t="s">
        <v>520</v>
      </c>
      <c r="D28" s="327"/>
      <c r="E28" s="330" t="s">
        <v>504</v>
      </c>
      <c r="F28" s="327"/>
      <c r="G28" s="211"/>
    </row>
    <row r="29" spans="2:7" ht="13.5">
      <c r="B29" s="310"/>
      <c r="C29" s="311" t="s">
        <v>521</v>
      </c>
      <c r="D29" s="327"/>
      <c r="E29" s="330" t="s">
        <v>504</v>
      </c>
      <c r="F29" s="327"/>
      <c r="G29" s="110"/>
    </row>
    <row r="30" spans="2:7" ht="13.5">
      <c r="B30" s="310"/>
      <c r="C30" s="311" t="s">
        <v>516</v>
      </c>
      <c r="D30" s="327"/>
      <c r="E30" s="330" t="s">
        <v>504</v>
      </c>
      <c r="F30" s="327"/>
      <c r="G30" s="110"/>
    </row>
    <row r="31" spans="2:7" ht="13.5">
      <c r="B31" s="313" t="s">
        <v>522</v>
      </c>
      <c r="C31" s="314"/>
      <c r="D31" s="324">
        <f>SUM(D32:D37)</f>
        <v>86.007317348</v>
      </c>
      <c r="E31" s="325">
        <f>SUM(E32:E37)</f>
        <v>18.099182943602692</v>
      </c>
      <c r="F31" s="326">
        <f>SUM(F32:F37)</f>
        <v>2.041571338492214</v>
      </c>
      <c r="G31" s="110"/>
    </row>
    <row r="32" spans="2:7" ht="13.5">
      <c r="B32" s="310"/>
      <c r="C32" s="311" t="s">
        <v>499</v>
      </c>
      <c r="D32" s="327">
        <f>Bygninger!AE114</f>
        <v>86.007317348</v>
      </c>
      <c r="E32" s="328">
        <f>D32*1000/A_materialegårde</f>
        <v>18.099182943602692</v>
      </c>
      <c r="F32" s="327">
        <f>D32*1000/Antal_borgere</f>
        <v>2.041571338492214</v>
      </c>
      <c r="G32" s="211"/>
    </row>
    <row r="33" spans="2:7" ht="13.5">
      <c r="B33" s="310"/>
      <c r="C33" s="311" t="s">
        <v>523</v>
      </c>
      <c r="D33" s="327"/>
      <c r="E33" s="328" t="s">
        <v>504</v>
      </c>
      <c r="F33" s="327"/>
      <c r="G33" s="211"/>
    </row>
    <row r="34" spans="2:7" ht="13.5">
      <c r="B34" s="310"/>
      <c r="C34" s="311" t="s">
        <v>524</v>
      </c>
      <c r="D34" s="327"/>
      <c r="E34" s="328" t="s">
        <v>504</v>
      </c>
      <c r="F34" s="327"/>
      <c r="G34" s="110"/>
    </row>
    <row r="35" spans="2:7" ht="13.5">
      <c r="B35" s="310"/>
      <c r="C35" s="311" t="s">
        <v>525</v>
      </c>
      <c r="D35" s="327"/>
      <c r="E35" s="328" t="s">
        <v>504</v>
      </c>
      <c r="F35" s="329"/>
      <c r="G35" s="110"/>
    </row>
    <row r="36" spans="2:7" ht="13.5">
      <c r="B36" s="310"/>
      <c r="C36" s="311" t="s">
        <v>557</v>
      </c>
      <c r="D36" s="327"/>
      <c r="E36" s="328" t="s">
        <v>504</v>
      </c>
      <c r="F36" s="327"/>
      <c r="G36" s="110"/>
    </row>
    <row r="37" spans="2:7" ht="13.5">
      <c r="B37" s="310"/>
      <c r="C37" s="311" t="s">
        <v>516</v>
      </c>
      <c r="D37" s="327"/>
      <c r="E37" s="328" t="s">
        <v>504</v>
      </c>
      <c r="F37" s="327"/>
      <c r="G37" s="110"/>
    </row>
    <row r="38" spans="2:7" ht="13.5">
      <c r="B38" s="313" t="s">
        <v>564</v>
      </c>
      <c r="C38" s="314"/>
      <c r="D38" s="324">
        <f>D6+D13+D17+D22+D23+D27+D31</f>
        <v>6928.760115961111</v>
      </c>
      <c r="E38" s="325" t="s">
        <v>504</v>
      </c>
      <c r="F38" s="326">
        <f>F6+F13+F17+F22+F23+F27+F31</f>
        <v>164.46923936481943</v>
      </c>
      <c r="G38" s="110"/>
    </row>
    <row r="39" spans="2:8" ht="22.5">
      <c r="B39" s="112"/>
      <c r="C39" s="107"/>
      <c r="D39" s="113"/>
      <c r="E39" s="113"/>
      <c r="F39" s="113"/>
      <c r="G39" s="211"/>
      <c r="H39" s="92"/>
    </row>
    <row r="40" spans="2:6" ht="13.5">
      <c r="B40" s="107"/>
      <c r="C40" s="107"/>
      <c r="D40" s="113"/>
      <c r="E40" s="113"/>
      <c r="F40" s="113"/>
    </row>
    <row r="41" spans="2:6" ht="13.5">
      <c r="B41" s="395" t="s">
        <v>634</v>
      </c>
      <c r="C41" s="399"/>
      <c r="D41" s="315" t="s">
        <v>570</v>
      </c>
      <c r="E41" s="316" t="s">
        <v>571</v>
      </c>
      <c r="F41" s="315" t="s">
        <v>435</v>
      </c>
    </row>
    <row r="42" spans="2:6" ht="15">
      <c r="B42" s="397"/>
      <c r="C42" s="400"/>
      <c r="D42" s="317" t="s">
        <v>635</v>
      </c>
      <c r="E42" s="236" t="s">
        <v>636</v>
      </c>
      <c r="F42" s="317" t="s">
        <v>636</v>
      </c>
    </row>
    <row r="43" spans="2:8" ht="13.5">
      <c r="B43" s="313" t="s">
        <v>565</v>
      </c>
      <c r="C43" s="314"/>
      <c r="D43" s="324">
        <f>SUM(D44:D49)</f>
        <v>176692</v>
      </c>
      <c r="E43" s="325">
        <f>(D44*E44+D45*E45+D46*E46+D47*E47+D48*E48+D49*E49)/D43</f>
        <v>27.07993853711543</v>
      </c>
      <c r="F43" s="326">
        <f>(D44*F44+D45*F45+D46*F46+D47*F47+D48*F48+D49*F49)/D43</f>
        <v>107.41266849785063</v>
      </c>
      <c r="H43" s="388"/>
    </row>
    <row r="44" spans="2:8" ht="13.5">
      <c r="B44" s="322"/>
      <c r="C44" s="320" t="s">
        <v>496</v>
      </c>
      <c r="D44" s="331">
        <f>A_administrationsbygninger</f>
        <v>8955</v>
      </c>
      <c r="E44" s="331">
        <f>Bygninger!S4</f>
        <v>50.229592406476826</v>
      </c>
      <c r="F44" s="331">
        <f>Bygninger!T4</f>
        <v>81.18761709783487</v>
      </c>
      <c r="H44" s="388"/>
    </row>
    <row r="45" spans="2:8" ht="13.5">
      <c r="B45" s="318"/>
      <c r="C45" s="319" t="s">
        <v>603</v>
      </c>
      <c r="D45" s="331">
        <f>A_skoler</f>
        <v>97367</v>
      </c>
      <c r="E45" s="331">
        <f>Bygninger!S38</f>
        <v>19.32170037076217</v>
      </c>
      <c r="F45" s="331">
        <f>Bygninger!T38</f>
        <v>103.69747279194526</v>
      </c>
      <c r="H45" s="388"/>
    </row>
    <row r="46" spans="2:8" ht="13.5">
      <c r="B46" s="318"/>
      <c r="C46" s="320" t="s">
        <v>498</v>
      </c>
      <c r="D46" s="331">
        <f>A_daginstitutioner</f>
        <v>17954</v>
      </c>
      <c r="E46" s="331">
        <f>Bygninger!S57</f>
        <v>28.15400467862315</v>
      </c>
      <c r="F46" s="331">
        <f>Bygninger!T57</f>
        <v>121.49501039694032</v>
      </c>
      <c r="H46" s="388"/>
    </row>
    <row r="47" spans="2:8" ht="13.5">
      <c r="B47" s="318"/>
      <c r="C47" s="320" t="s">
        <v>505</v>
      </c>
      <c r="D47" s="331">
        <f>A_plejeOGældrecentre</f>
        <v>34722</v>
      </c>
      <c r="E47" s="331">
        <f>Bygninger!S86</f>
        <v>43.04343067795634</v>
      </c>
      <c r="F47" s="331">
        <f>Bygninger!T86</f>
        <v>122.23335029344189</v>
      </c>
      <c r="H47" s="388"/>
    </row>
    <row r="48" spans="2:8" ht="13.5">
      <c r="B48" s="318"/>
      <c r="C48" s="320" t="s">
        <v>506</v>
      </c>
      <c r="D48" s="331">
        <f>A_kulturinstitutioner</f>
        <v>3607</v>
      </c>
      <c r="E48" s="331">
        <f>Bygninger!S106</f>
        <v>26.558081508178542</v>
      </c>
      <c r="F48" s="331">
        <f>Bygninger!T106</f>
        <v>57.3708683732249</v>
      </c>
      <c r="H48" s="388"/>
    </row>
    <row r="49" spans="2:8" ht="13.5">
      <c r="B49" s="321"/>
      <c r="C49" s="320" t="s">
        <v>566</v>
      </c>
      <c r="D49" s="331">
        <f>A_andreKommunaleBygninger</f>
        <v>14087</v>
      </c>
      <c r="E49" s="331">
        <f>Bygninger!S10</f>
        <v>25.405018811670335</v>
      </c>
      <c r="F49" s="331">
        <f>Bygninger!T10</f>
        <v>108.09737701426847</v>
      </c>
      <c r="H49" s="388"/>
    </row>
    <row r="50" spans="2:8" ht="13.5">
      <c r="B50" s="313" t="s">
        <v>518</v>
      </c>
      <c r="C50" s="314"/>
      <c r="D50" s="324">
        <f>SUM(D51:D53)</f>
        <v>1436</v>
      </c>
      <c r="E50" s="325">
        <f>(D51*E51+D52*E52+D53*E53)/D50</f>
        <v>34.692200557103064</v>
      </c>
      <c r="F50" s="326">
        <f>(D51*F51+D52*F52+D53*F53)/D50</f>
        <v>119.1855269266481</v>
      </c>
      <c r="H50" s="388"/>
    </row>
    <row r="51" spans="2:8" ht="13.5">
      <c r="B51" s="322"/>
      <c r="C51" s="319" t="s">
        <v>631</v>
      </c>
      <c r="D51" s="332">
        <f>A_sportsanlæg_stadions</f>
        <v>1150</v>
      </c>
      <c r="E51" s="331">
        <f>Bygninger!S122</f>
        <v>40.54608695652174</v>
      </c>
      <c r="F51" s="331">
        <f>Bygninger!T122</f>
        <v>107.6777536231884</v>
      </c>
      <c r="H51" s="388"/>
    </row>
    <row r="52" spans="2:8" ht="13.5">
      <c r="B52" s="318"/>
      <c r="C52" s="323" t="s">
        <v>519</v>
      </c>
      <c r="D52" s="333"/>
      <c r="E52" s="334"/>
      <c r="F52" s="334"/>
      <c r="H52" s="388"/>
    </row>
    <row r="53" spans="2:8" ht="13.5">
      <c r="B53" s="318"/>
      <c r="C53" s="323" t="s">
        <v>516</v>
      </c>
      <c r="D53" s="334">
        <f>A_sportsanlæg_andre</f>
        <v>286</v>
      </c>
      <c r="E53" s="334">
        <f>Bygninger!S128</f>
        <v>11.153846153846153</v>
      </c>
      <c r="F53" s="334">
        <f>Bygninger!T128</f>
        <v>165.45804195804195</v>
      </c>
      <c r="H53" s="388"/>
    </row>
    <row r="54" spans="2:8" ht="13.5">
      <c r="B54" s="313" t="s">
        <v>522</v>
      </c>
      <c r="C54" s="314"/>
      <c r="D54" s="324">
        <f>SUM(D55:D56)</f>
        <v>4752</v>
      </c>
      <c r="E54" s="325">
        <f>(D55*E55+D56*E56)/D54</f>
        <v>25.65224031986532</v>
      </c>
      <c r="F54" s="326">
        <f>(D55*F55+D56*F56)/D54</f>
        <v>75.46244855967079</v>
      </c>
      <c r="H54" s="388"/>
    </row>
    <row r="55" spans="2:8" ht="13.5">
      <c r="B55" s="321"/>
      <c r="C55" s="319" t="s">
        <v>499</v>
      </c>
      <c r="D55" s="332">
        <f>A_materialegårde</f>
        <v>4752</v>
      </c>
      <c r="E55" s="332">
        <f>Bygninger!S114</f>
        <v>25.65224031986532</v>
      </c>
      <c r="F55" s="332">
        <f>Bygninger!T114</f>
        <v>75.46244855967079</v>
      </c>
      <c r="H55" s="388"/>
    </row>
    <row r="56" spans="2:8" ht="13.5">
      <c r="B56" s="321"/>
      <c r="C56" s="319" t="s">
        <v>516</v>
      </c>
      <c r="D56" s="332"/>
      <c r="E56" s="332"/>
      <c r="F56" s="332"/>
      <c r="H56" s="388"/>
    </row>
    <row r="57" spans="2:8" ht="13.5">
      <c r="B57" s="313" t="s">
        <v>564</v>
      </c>
      <c r="C57" s="314"/>
      <c r="D57" s="324">
        <f>D43+D50+D54</f>
        <v>182880</v>
      </c>
      <c r="E57" s="325">
        <f>($D$43*E43+$D$50*E50+D54*E54)/($D$57)</f>
        <v>27.10261344050744</v>
      </c>
      <c r="F57" s="326">
        <f>($D$43*F43+$D$50*F50+D54*F54)/($D$57)</f>
        <v>106.67490810610481</v>
      </c>
      <c r="H57" s="388"/>
    </row>
    <row r="58" spans="2:6" ht="13.5">
      <c r="B58" s="107"/>
      <c r="C58" s="107"/>
      <c r="D58" s="113"/>
      <c r="E58" s="113"/>
      <c r="F58" s="113"/>
    </row>
  </sheetData>
  <sheetProtection/>
  <mergeCells count="2">
    <mergeCell ref="B4:C5"/>
    <mergeCell ref="B41:C42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25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2.75"/>
  <cols>
    <col min="1" max="1" width="40.7109375" style="0" bestFit="1" customWidth="1"/>
  </cols>
  <sheetData>
    <row r="1" ht="15">
      <c r="A1" s="102" t="s">
        <v>579</v>
      </c>
    </row>
    <row r="2" spans="1:2" ht="13.5">
      <c r="A2" t="s">
        <v>517</v>
      </c>
      <c r="B2" s="100">
        <f>'Årlig CO2-opgørelse'!D22</f>
        <v>1345.9923959999999</v>
      </c>
    </row>
    <row r="3" spans="1:2" ht="13.5">
      <c r="A3" t="s">
        <v>561</v>
      </c>
      <c r="B3" s="100">
        <f>'Årlig CO2-opgørelse'!D23</f>
        <v>53.48024399999999</v>
      </c>
    </row>
    <row r="4" spans="1:2" ht="13.5">
      <c r="A4" t="s">
        <v>563</v>
      </c>
      <c r="B4" s="101">
        <f>'Årlig CO2-opgørelse'!D31</f>
        <v>86.007317348</v>
      </c>
    </row>
    <row r="5" spans="1:2" ht="13.5">
      <c r="A5" t="s">
        <v>562</v>
      </c>
      <c r="B5" s="101">
        <f>'Årlig CO2-opgørelse'!D27</f>
        <v>0</v>
      </c>
    </row>
    <row r="6" spans="1:2" ht="13.5">
      <c r="A6" t="s">
        <v>560</v>
      </c>
      <c r="B6" s="100">
        <f>'Årlig CO2-opgørelse'!D17</f>
        <v>0</v>
      </c>
    </row>
    <row r="7" spans="1:2" ht="13.5">
      <c r="A7" t="s">
        <v>633</v>
      </c>
      <c r="B7" s="100">
        <f>'Årlig CO2-opgørelse'!D13</f>
        <v>1024.0940363131124</v>
      </c>
    </row>
    <row r="8" spans="1:2" ht="13.5">
      <c r="A8" t="s">
        <v>632</v>
      </c>
      <c r="B8" s="100">
        <f>'Årlig CO2-opgørelse'!D6</f>
        <v>4419.1861223</v>
      </c>
    </row>
    <row r="10" ht="15">
      <c r="A10" s="102" t="s">
        <v>580</v>
      </c>
    </row>
    <row r="11" spans="1:2" ht="12.75">
      <c r="A11" t="str">
        <f>'Årlig CO2-opgørelse'!C7</f>
        <v>Administrationsbygninger</v>
      </c>
      <c r="B11" s="103">
        <f>'Årlig CO2-opgørelse'!D7</f>
        <v>259.2540388</v>
      </c>
    </row>
    <row r="12" spans="1:2" ht="12.75">
      <c r="A12" t="str">
        <f>'Årlig CO2-opgørelse'!C8</f>
        <v>Skoler, fritids- og ungdomsklubber</v>
      </c>
      <c r="B12" s="103">
        <f>'Årlig CO2-opgørelse'!D8</f>
        <v>2130.477198</v>
      </c>
    </row>
    <row r="13" spans="1:2" ht="12.75">
      <c r="A13" t="str">
        <f>'Årlig CO2-opgørelse'!C9</f>
        <v>Daginstitutioner</v>
      </c>
      <c r="B13" s="103">
        <f>'Årlig CO2-opgørelse'!D9</f>
        <v>573.3485684</v>
      </c>
    </row>
    <row r="14" spans="1:2" ht="12.75">
      <c r="A14" t="str">
        <f>'Årlig CO2-opgørelse'!C10</f>
        <v>Ældrepleje</v>
      </c>
      <c r="B14" s="103">
        <f>'Årlig CO2-opgørelse'!D10</f>
        <v>1011.8544613</v>
      </c>
    </row>
    <row r="15" spans="1:2" ht="12.75">
      <c r="A15" t="str">
        <f>'Årlig CO2-opgørelse'!C11</f>
        <v>Kulturinstitutioner</v>
      </c>
      <c r="B15" s="103">
        <f>'Årlig CO2-opgørelse'!D11</f>
        <v>67.52007</v>
      </c>
    </row>
    <row r="16" spans="1:2" ht="12.75">
      <c r="A16" t="str">
        <f>'Årlig CO2-opgørelse'!C12</f>
        <v>Andre kommunale bygninger</v>
      </c>
      <c r="B16" s="103">
        <f>'Årlig CO2-opgørelse'!D12</f>
        <v>376.7317858</v>
      </c>
    </row>
    <row r="18" ht="15">
      <c r="A18" s="102"/>
    </row>
    <row r="19" ht="12.75">
      <c r="B19" s="104"/>
    </row>
    <row r="20" ht="12.75">
      <c r="B20" s="104"/>
    </row>
    <row r="21" ht="12.75">
      <c r="B21" s="104"/>
    </row>
    <row r="22" ht="12.75">
      <c r="B22" s="104"/>
    </row>
    <row r="23" ht="12.75">
      <c r="B23" s="104"/>
    </row>
    <row r="24" ht="12.75">
      <c r="B24" s="104"/>
    </row>
    <row r="25" ht="12.75">
      <c r="B25" s="10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J55"/>
  <sheetViews>
    <sheetView view="pageBreakPreview" zoomScaleSheetLayoutView="100" zoomScalePageLayoutView="0" workbookViewId="0" topLeftCell="A1">
      <selection activeCell="C20" sqref="C20"/>
    </sheetView>
  </sheetViews>
  <sheetFormatPr defaultColWidth="16.421875" defaultRowHeight="12.75"/>
  <cols>
    <col min="1" max="1" width="21.57421875" style="141" customWidth="1"/>
    <col min="2" max="2" width="8.421875" style="146" customWidth="1"/>
    <col min="3" max="3" width="7.8515625" style="141" bestFit="1" customWidth="1"/>
    <col min="4" max="4" width="17.140625" style="141" customWidth="1"/>
    <col min="5" max="5" width="16.57421875" style="141" customWidth="1"/>
    <col min="6" max="6" width="15.57421875" style="141" customWidth="1"/>
    <col min="7" max="7" width="18.8515625" style="141" bestFit="1" customWidth="1"/>
    <col min="8" max="8" width="21.00390625" style="141" customWidth="1"/>
    <col min="9" max="9" width="17.7109375" style="141" customWidth="1"/>
    <col min="10" max="16384" width="16.421875" style="141" customWidth="1"/>
  </cols>
  <sheetData>
    <row r="1" spans="1:3" ht="12.75">
      <c r="A1" s="139" t="s">
        <v>611</v>
      </c>
      <c r="B1" s="145"/>
      <c r="C1" s="363">
        <v>42128</v>
      </c>
    </row>
    <row r="2" spans="2:3" ht="12.75">
      <c r="B2" s="145"/>
      <c r="C2" s="140"/>
    </row>
    <row r="3" ht="12.75">
      <c r="E3" s="126"/>
    </row>
    <row r="4" spans="1:5" ht="12.75">
      <c r="A4" s="139" t="s">
        <v>527</v>
      </c>
      <c r="E4" s="126"/>
    </row>
    <row r="5" spans="1:5" ht="12.75">
      <c r="A5" s="137" t="s">
        <v>604</v>
      </c>
      <c r="B5" s="144" t="s">
        <v>605</v>
      </c>
      <c r="C5" s="137" t="s">
        <v>493</v>
      </c>
      <c r="D5" s="137" t="s">
        <v>620</v>
      </c>
      <c r="E5" s="126"/>
    </row>
    <row r="6" spans="1:5" ht="12.75">
      <c r="A6" s="131" t="s">
        <v>437</v>
      </c>
      <c r="B6" s="127">
        <v>39.7</v>
      </c>
      <c r="C6" s="126" t="s">
        <v>528</v>
      </c>
      <c r="D6" s="126" t="s">
        <v>610</v>
      </c>
      <c r="E6" s="126"/>
    </row>
    <row r="7" spans="1:5" ht="12.75">
      <c r="A7" s="132" t="s">
        <v>438</v>
      </c>
      <c r="B7" s="133">
        <v>35.9</v>
      </c>
      <c r="C7" s="134" t="s">
        <v>608</v>
      </c>
      <c r="D7" s="134" t="s">
        <v>610</v>
      </c>
      <c r="E7" s="126"/>
    </row>
    <row r="8" spans="1:5" ht="12.75">
      <c r="A8" s="126"/>
      <c r="B8" s="127"/>
      <c r="C8" s="126"/>
      <c r="E8" s="126"/>
    </row>
    <row r="9" spans="1:5" ht="12.75">
      <c r="A9" s="126"/>
      <c r="B9" s="127"/>
      <c r="C9" s="126"/>
      <c r="E9" s="126"/>
    </row>
    <row r="10" spans="1:4" ht="12.75">
      <c r="A10" s="136" t="s">
        <v>572</v>
      </c>
      <c r="B10" s="127"/>
      <c r="C10" s="127"/>
      <c r="D10" s="128"/>
    </row>
    <row r="11" spans="1:9" ht="12.75">
      <c r="A11" s="137" t="s">
        <v>619</v>
      </c>
      <c r="B11" s="144" t="s">
        <v>605</v>
      </c>
      <c r="C11" s="137" t="s">
        <v>493</v>
      </c>
      <c r="D11" s="137" t="s">
        <v>620</v>
      </c>
      <c r="E11" s="137"/>
      <c r="F11" s="137"/>
      <c r="G11" s="137"/>
      <c r="H11" s="137"/>
      <c r="I11" s="137"/>
    </row>
    <row r="12" spans="1:9" ht="12.75">
      <c r="A12" s="129" t="s">
        <v>468</v>
      </c>
      <c r="B12" s="147">
        <v>0.438</v>
      </c>
      <c r="C12" s="130" t="s">
        <v>606</v>
      </c>
      <c r="D12" s="305" t="s">
        <v>577</v>
      </c>
      <c r="E12" s="130"/>
      <c r="F12" s="130"/>
      <c r="G12" s="130"/>
      <c r="H12" s="130"/>
      <c r="I12" s="130"/>
    </row>
    <row r="13" spans="1:9" ht="12.75">
      <c r="A13" s="131" t="s">
        <v>437</v>
      </c>
      <c r="B13" s="148">
        <v>2.245</v>
      </c>
      <c r="C13" s="138" t="s">
        <v>607</v>
      </c>
      <c r="D13" s="142" t="s">
        <v>575</v>
      </c>
      <c r="E13" s="126"/>
      <c r="F13" s="126"/>
      <c r="G13" s="126"/>
      <c r="H13" s="126"/>
      <c r="I13" s="126"/>
    </row>
    <row r="14" spans="1:9" ht="12.75">
      <c r="A14" s="131" t="s">
        <v>438</v>
      </c>
      <c r="B14" s="148">
        <v>2.65</v>
      </c>
      <c r="C14" s="138" t="s">
        <v>609</v>
      </c>
      <c r="D14" s="142" t="s">
        <v>575</v>
      </c>
      <c r="E14" s="126"/>
      <c r="F14" s="126"/>
      <c r="G14" s="126"/>
      <c r="H14" s="126"/>
      <c r="I14" s="126"/>
    </row>
    <row r="15" spans="1:9" ht="12.75">
      <c r="A15" s="131" t="s">
        <v>494</v>
      </c>
      <c r="B15" s="148">
        <v>2.4</v>
      </c>
      <c r="C15" s="126" t="s">
        <v>609</v>
      </c>
      <c r="D15" s="142" t="s">
        <v>575</v>
      </c>
      <c r="E15" s="126"/>
      <c r="F15" s="126"/>
      <c r="G15" s="126"/>
      <c r="H15" s="126"/>
      <c r="I15" s="126"/>
    </row>
    <row r="16" spans="1:4" s="126" customFormat="1" ht="12.75">
      <c r="A16" s="126" t="s">
        <v>495</v>
      </c>
      <c r="B16" s="148">
        <v>2.65</v>
      </c>
      <c r="C16" s="126" t="s">
        <v>609</v>
      </c>
      <c r="D16" s="142" t="s">
        <v>575</v>
      </c>
    </row>
    <row r="17" spans="1:9" s="142" customFormat="1" ht="12.75">
      <c r="A17" s="143" t="s">
        <v>621</v>
      </c>
      <c r="B17" s="306"/>
      <c r="C17" s="143"/>
      <c r="D17" s="143"/>
      <c r="E17" s="143"/>
      <c r="F17" s="143"/>
      <c r="G17" s="236" t="s">
        <v>622</v>
      </c>
      <c r="H17" s="236"/>
      <c r="I17" s="236"/>
    </row>
    <row r="18" spans="1:9" ht="12.75">
      <c r="A18" s="126" t="s">
        <v>615</v>
      </c>
      <c r="B18" s="365">
        <v>0</v>
      </c>
      <c r="C18" s="126" t="s">
        <v>606</v>
      </c>
      <c r="D18" s="364" t="s">
        <v>697</v>
      </c>
      <c r="E18" s="126"/>
      <c r="F18" s="126"/>
      <c r="G18" s="138" t="s">
        <v>627</v>
      </c>
      <c r="H18" s="127"/>
      <c r="I18" s="127"/>
    </row>
    <row r="19" spans="1:10" ht="12.75">
      <c r="A19" s="126" t="s">
        <v>617</v>
      </c>
      <c r="B19" s="365">
        <v>0.1021</v>
      </c>
      <c r="C19" s="126" t="s">
        <v>606</v>
      </c>
      <c r="D19" s="235" t="s">
        <v>688</v>
      </c>
      <c r="E19" s="126"/>
      <c r="F19" s="126"/>
      <c r="G19" s="138" t="s">
        <v>687</v>
      </c>
      <c r="H19" s="127"/>
      <c r="I19" s="127"/>
      <c r="J19" s="126"/>
    </row>
    <row r="20" spans="1:10" ht="12.75">
      <c r="A20" s="126" t="s">
        <v>618</v>
      </c>
      <c r="B20" s="366">
        <v>0.143</v>
      </c>
      <c r="C20" s="126" t="s">
        <v>606</v>
      </c>
      <c r="D20" s="368" t="s">
        <v>703</v>
      </c>
      <c r="E20" s="126"/>
      <c r="F20" s="126"/>
      <c r="G20" s="138" t="s">
        <v>686</v>
      </c>
      <c r="H20" s="127"/>
      <c r="I20" s="151"/>
      <c r="J20" s="233"/>
    </row>
    <row r="21" spans="1:10" ht="12.75">
      <c r="A21" s="126" t="s">
        <v>690</v>
      </c>
      <c r="B21" s="366">
        <v>0.0102</v>
      </c>
      <c r="C21" s="126" t="s">
        <v>606</v>
      </c>
      <c r="D21" s="235" t="s">
        <v>691</v>
      </c>
      <c r="E21" s="126"/>
      <c r="F21" s="126"/>
      <c r="G21" s="138" t="s">
        <v>692</v>
      </c>
      <c r="H21" s="127"/>
      <c r="I21" s="127"/>
      <c r="J21" s="232"/>
    </row>
    <row r="22" spans="1:10" ht="12.75">
      <c r="A22" s="126" t="s">
        <v>616</v>
      </c>
      <c r="B22" s="366">
        <v>0.0739</v>
      </c>
      <c r="C22" s="126" t="s">
        <v>606</v>
      </c>
      <c r="D22" s="235" t="s">
        <v>704</v>
      </c>
      <c r="E22" s="126"/>
      <c r="F22" s="126"/>
      <c r="G22" s="138" t="s">
        <v>693</v>
      </c>
      <c r="H22" s="127"/>
      <c r="I22" s="376"/>
      <c r="J22" s="232"/>
    </row>
    <row r="23" spans="1:10" ht="12.75">
      <c r="A23" s="134" t="s">
        <v>694</v>
      </c>
      <c r="B23" s="367">
        <v>0.0878</v>
      </c>
      <c r="C23" s="126" t="s">
        <v>606</v>
      </c>
      <c r="D23" s="377" t="s">
        <v>695</v>
      </c>
      <c r="E23" s="134"/>
      <c r="F23" s="134"/>
      <c r="G23" s="154" t="s">
        <v>696</v>
      </c>
      <c r="H23" s="133"/>
      <c r="I23" s="237"/>
      <c r="J23" s="232"/>
    </row>
    <row r="24" spans="1:7" ht="12.75">
      <c r="A24" s="126"/>
      <c r="B24" s="148"/>
      <c r="C24" s="126"/>
      <c r="D24" s="142"/>
      <c r="G24" s="141" t="s">
        <v>628</v>
      </c>
    </row>
    <row r="25" spans="7:9" ht="12.75" customHeight="1">
      <c r="G25" s="402" t="s">
        <v>706</v>
      </c>
      <c r="H25" s="402"/>
      <c r="I25" s="402"/>
    </row>
    <row r="26" spans="7:9" ht="12.75" customHeight="1">
      <c r="G26" s="402"/>
      <c r="H26" s="402"/>
      <c r="I26" s="402"/>
    </row>
    <row r="27" spans="1:9" ht="12.75" customHeight="1">
      <c r="A27" s="142" t="s">
        <v>629</v>
      </c>
      <c r="B27" s="127"/>
      <c r="C27" s="126"/>
      <c r="D27" s="126"/>
      <c r="G27" s="403"/>
      <c r="H27" s="403"/>
      <c r="I27" s="403"/>
    </row>
    <row r="28" spans="1:9" ht="12.75">
      <c r="A28" s="137" t="s">
        <v>604</v>
      </c>
      <c r="B28" s="144" t="s">
        <v>605</v>
      </c>
      <c r="C28" s="137" t="s">
        <v>493</v>
      </c>
      <c r="D28" s="152"/>
      <c r="E28" s="152"/>
      <c r="F28" s="152"/>
      <c r="G28" s="152"/>
      <c r="H28" s="152"/>
      <c r="I28" s="152"/>
    </row>
    <row r="29" spans="1:4" ht="12.75">
      <c r="A29" s="130" t="s">
        <v>494</v>
      </c>
      <c r="B29" s="156">
        <f>170/1000</f>
        <v>0.17</v>
      </c>
      <c r="C29" s="153" t="s">
        <v>612</v>
      </c>
      <c r="D29" s="155" t="s">
        <v>575</v>
      </c>
    </row>
    <row r="30" spans="1:4" ht="12.75">
      <c r="A30" s="134" t="s">
        <v>495</v>
      </c>
      <c r="B30" s="149">
        <f>145/1000</f>
        <v>0.145</v>
      </c>
      <c r="C30" s="154" t="s">
        <v>612</v>
      </c>
      <c r="D30" s="142" t="s">
        <v>575</v>
      </c>
    </row>
    <row r="31" spans="1:9" ht="12.75">
      <c r="A31" s="126"/>
      <c r="B31" s="127"/>
      <c r="C31" s="126"/>
      <c r="D31" s="130"/>
      <c r="E31" s="130"/>
      <c r="F31" s="130"/>
      <c r="G31" s="130"/>
      <c r="H31" s="130"/>
      <c r="I31" s="130"/>
    </row>
    <row r="32" spans="1:4" ht="12.75">
      <c r="A32" s="126"/>
      <c r="B32" s="127"/>
      <c r="C32" s="126"/>
      <c r="D32" s="126"/>
    </row>
    <row r="39" spans="1:4" ht="12.75">
      <c r="A39" s="126"/>
      <c r="B39" s="127"/>
      <c r="C39" s="126"/>
      <c r="D39" s="232"/>
    </row>
    <row r="40" spans="1:4" ht="12.75">
      <c r="A40" s="126"/>
      <c r="B40" s="127"/>
      <c r="C40" s="126"/>
      <c r="D40" s="126"/>
    </row>
    <row r="41" spans="1:2" ht="12.75">
      <c r="A41" s="126"/>
      <c r="B41" s="127"/>
    </row>
    <row r="42" spans="1:2" ht="12.75">
      <c r="A42" s="126"/>
      <c r="B42" s="127"/>
    </row>
    <row r="43" spans="1:2" ht="12.75">
      <c r="A43" s="122"/>
      <c r="B43" s="151"/>
    </row>
    <row r="44" spans="1:2" ht="12.75">
      <c r="A44" s="126"/>
      <c r="B44" s="127"/>
    </row>
    <row r="45" spans="1:2" ht="12.75">
      <c r="A45" s="212"/>
      <c r="B45" s="127"/>
    </row>
    <row r="46" spans="1:2" ht="12.75">
      <c r="A46" s="401"/>
      <c r="B46" s="127"/>
    </row>
    <row r="47" spans="1:2" ht="12.75">
      <c r="A47" s="401"/>
      <c r="B47" s="127"/>
    </row>
    <row r="48" spans="1:2" ht="12.75">
      <c r="A48" s="401"/>
      <c r="B48" s="127"/>
    </row>
    <row r="49" spans="1:2" ht="12.75">
      <c r="A49" s="212"/>
      <c r="B49" s="127"/>
    </row>
    <row r="50" spans="1:2" ht="12.75">
      <c r="A50" s="126"/>
      <c r="B50" s="127"/>
    </row>
    <row r="51" spans="1:2" ht="12.75">
      <c r="A51" s="212"/>
      <c r="B51" s="127"/>
    </row>
    <row r="52" spans="1:2" ht="12.75">
      <c r="A52" s="212"/>
      <c r="B52" s="127"/>
    </row>
    <row r="53" spans="1:2" ht="12.75">
      <c r="A53" s="212"/>
      <c r="B53" s="127"/>
    </row>
    <row r="54" spans="1:2" ht="12.75">
      <c r="A54" s="126"/>
      <c r="B54" s="127"/>
    </row>
    <row r="55" spans="1:2" ht="12.75">
      <c r="A55" s="126"/>
      <c r="B55" s="127"/>
    </row>
  </sheetData>
  <sheetProtection/>
  <mergeCells count="2">
    <mergeCell ref="A46:A48"/>
    <mergeCell ref="G25:I27"/>
  </mergeCells>
  <hyperlinks>
    <hyperlink ref="D12" r:id="rId1" display="Energinet.dk, &quot;Miljødeklarationer for el&quot;"/>
    <hyperlink ref="D19" r:id="rId2" display="Nationalt gennemsnit: nøgletal fra Danmark 2008"/>
    <hyperlink ref="D18" r:id="rId3" display="Årsregnskab for Assens fjernvarme"/>
  </hyperlinks>
  <printOptions/>
  <pageMargins left="0.75" right="0.75" top="1" bottom="1" header="0.5" footer="0.5"/>
  <pageSetup horizontalDpi="600" verticalDpi="600" orientation="landscape" paperSize="9" scale="84" r:id="rId6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E145"/>
  <sheetViews>
    <sheetView zoomScale="75" zoomScaleNormal="75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2.75" outlineLevelRow="1" outlineLevelCol="1"/>
  <cols>
    <col min="1" max="1" width="49.421875" style="1" customWidth="1"/>
    <col min="2" max="2" width="28.00390625" style="1" hidden="1" customWidth="1" outlineLevel="1"/>
    <col min="3" max="3" width="12.28125" style="4" hidden="1" customWidth="1" outlineLevel="1"/>
    <col min="4" max="4" width="13.28125" style="2" hidden="1" customWidth="1" outlineLevel="1"/>
    <col min="5" max="5" width="13.00390625" style="1" hidden="1" customWidth="1" outlineLevel="1"/>
    <col min="6" max="6" width="19.00390625" style="5" hidden="1" customWidth="1" outlineLevel="1"/>
    <col min="7" max="7" width="10.8515625" style="3" customWidth="1" collapsed="1"/>
    <col min="8" max="8" width="13.28125" style="225" customWidth="1"/>
    <col min="9" max="9" width="10.00390625" style="225" customWidth="1"/>
    <col min="10" max="10" width="12.00390625" style="226" customWidth="1"/>
    <col min="11" max="12" width="15.7109375" style="223" customWidth="1"/>
    <col min="13" max="13" width="23.7109375" style="225" hidden="1" customWidth="1" outlineLevel="1"/>
    <col min="14" max="14" width="16.8515625" style="225" hidden="1" customWidth="1" outlineLevel="1"/>
    <col min="15" max="15" width="15.7109375" style="223" customWidth="1" collapsed="1"/>
    <col min="16" max="17" width="15.7109375" style="223" customWidth="1"/>
    <col min="18" max="18" width="15.7109375" style="41" customWidth="1"/>
    <col min="19" max="19" width="10.57421875" style="46" bestFit="1" customWidth="1"/>
    <col min="20" max="20" width="15.28125" style="46" bestFit="1" customWidth="1"/>
    <col min="21" max="21" width="13.00390625" style="34" hidden="1" customWidth="1" outlineLevel="1"/>
    <col min="22" max="22" width="22.7109375" style="35" hidden="1" customWidth="1" outlineLevel="1"/>
    <col min="23" max="23" width="28.140625" style="35" hidden="1" customWidth="1" outlineLevel="1"/>
    <col min="24" max="24" width="16.57421875" style="35" hidden="1" customWidth="1" outlineLevel="1"/>
    <col min="25" max="25" width="26.28125" style="0" hidden="1" customWidth="1" outlineLevel="1"/>
    <col min="26" max="26" width="9.28125" style="105" bestFit="1" customWidth="1" collapsed="1"/>
    <col min="27" max="27" width="18.8515625" style="105" bestFit="1" customWidth="1"/>
    <col min="28" max="28" width="16.7109375" style="105" bestFit="1" customWidth="1"/>
    <col min="29" max="29" width="11.421875" style="105" bestFit="1" customWidth="1"/>
    <col min="30" max="30" width="14.00390625" style="105" bestFit="1" customWidth="1"/>
    <col min="31" max="31" width="12.421875" style="105" bestFit="1" customWidth="1"/>
  </cols>
  <sheetData>
    <row r="1" spans="1:31" ht="1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10" t="s">
        <v>116</v>
      </c>
      <c r="G1" s="9" t="s">
        <v>165</v>
      </c>
      <c r="H1" s="9" t="s">
        <v>468</v>
      </c>
      <c r="I1" s="9" t="s">
        <v>554</v>
      </c>
      <c r="J1" s="38" t="s">
        <v>435</v>
      </c>
      <c r="L1" s="38" t="s">
        <v>436</v>
      </c>
      <c r="M1" s="38" t="s">
        <v>614</v>
      </c>
      <c r="N1" s="38" t="s">
        <v>578</v>
      </c>
      <c r="O1" s="9" t="s">
        <v>437</v>
      </c>
      <c r="P1" s="9" t="s">
        <v>438</v>
      </c>
      <c r="Q1" s="9" t="s">
        <v>443</v>
      </c>
      <c r="R1" s="9" t="s">
        <v>549</v>
      </c>
      <c r="S1" s="9" t="s">
        <v>550</v>
      </c>
      <c r="T1" s="9" t="s">
        <v>548</v>
      </c>
      <c r="U1" s="28" t="s">
        <v>198</v>
      </c>
      <c r="V1" s="29" t="s">
        <v>310</v>
      </c>
      <c r="W1" s="29" t="s">
        <v>317</v>
      </c>
      <c r="X1" s="29" t="s">
        <v>318</v>
      </c>
      <c r="Y1" s="36" t="s">
        <v>236</v>
      </c>
      <c r="Z1" s="115" t="s">
        <v>595</v>
      </c>
      <c r="AA1" s="115" t="s">
        <v>596</v>
      </c>
      <c r="AB1" s="115" t="s">
        <v>597</v>
      </c>
      <c r="AC1" s="115" t="s">
        <v>598</v>
      </c>
      <c r="AD1" s="115" t="s">
        <v>599</v>
      </c>
      <c r="AE1" s="115" t="s">
        <v>593</v>
      </c>
    </row>
    <row r="2" spans="1:31" s="84" customFormat="1" ht="15" customHeight="1">
      <c r="A2" s="83"/>
      <c r="B2" s="83"/>
      <c r="C2" s="85"/>
      <c r="D2" s="83"/>
      <c r="E2" s="83"/>
      <c r="F2" s="86"/>
      <c r="G2" s="231" t="s">
        <v>553</v>
      </c>
      <c r="H2" s="87" t="s">
        <v>545</v>
      </c>
      <c r="I2" s="87" t="s">
        <v>543</v>
      </c>
      <c r="J2" s="88"/>
      <c r="K2" s="224"/>
      <c r="L2" s="88" t="s">
        <v>546</v>
      </c>
      <c r="M2" s="88" t="s">
        <v>504</v>
      </c>
      <c r="N2" s="88" t="s">
        <v>606</v>
      </c>
      <c r="O2" s="87" t="s">
        <v>543</v>
      </c>
      <c r="P2" s="87" t="s">
        <v>544</v>
      </c>
      <c r="Q2" s="87" t="s">
        <v>545</v>
      </c>
      <c r="R2" s="87" t="s">
        <v>545</v>
      </c>
      <c r="S2" s="87" t="s">
        <v>547</v>
      </c>
      <c r="T2" s="87" t="s">
        <v>547</v>
      </c>
      <c r="U2" s="89" t="s">
        <v>504</v>
      </c>
      <c r="V2" s="90"/>
      <c r="W2" s="90"/>
      <c r="X2" s="90"/>
      <c r="Y2" s="91"/>
      <c r="Z2" s="120" t="s">
        <v>541</v>
      </c>
      <c r="AA2" s="120" t="s">
        <v>541</v>
      </c>
      <c r="AB2" s="120" t="s">
        <v>541</v>
      </c>
      <c r="AC2" s="120" t="s">
        <v>541</v>
      </c>
      <c r="AD2" s="120" t="s">
        <v>541</v>
      </c>
      <c r="AE2" s="120" t="s">
        <v>541</v>
      </c>
    </row>
    <row r="3" spans="1:31" s="254" customFormat="1" ht="12.75" customHeight="1">
      <c r="A3" s="268" t="s">
        <v>625</v>
      </c>
      <c r="B3" s="238"/>
      <c r="C3" s="239"/>
      <c r="D3" s="240"/>
      <c r="E3" s="238"/>
      <c r="F3" s="241"/>
      <c r="G3" s="242"/>
      <c r="H3" s="243"/>
      <c r="I3" s="243"/>
      <c r="J3" s="244"/>
      <c r="K3" s="245"/>
      <c r="L3" s="242"/>
      <c r="M3" s="243"/>
      <c r="N3" s="243"/>
      <c r="O3" s="246"/>
      <c r="P3" s="242"/>
      <c r="Q3" s="242"/>
      <c r="R3" s="242"/>
      <c r="S3" s="243"/>
      <c r="T3" s="243"/>
      <c r="U3" s="247"/>
      <c r="V3" s="248"/>
      <c r="W3" s="248"/>
      <c r="X3" s="248"/>
      <c r="Y3" s="249"/>
      <c r="Z3" s="250"/>
      <c r="AA3" s="251"/>
      <c r="AB3" s="252"/>
      <c r="AC3" s="252"/>
      <c r="AD3" s="252"/>
      <c r="AE3" s="253"/>
    </row>
    <row r="4" spans="1:31" s="56" customFormat="1" ht="15">
      <c r="A4" s="16" t="s">
        <v>496</v>
      </c>
      <c r="B4" s="16"/>
      <c r="C4" s="8"/>
      <c r="D4" s="7"/>
      <c r="E4" s="16"/>
      <c r="F4" s="10"/>
      <c r="G4" s="17">
        <f>SUM(G5:G9)</f>
        <v>8955</v>
      </c>
      <c r="H4" s="17">
        <f>SUM(H5:H9)</f>
        <v>449806</v>
      </c>
      <c r="I4" s="17">
        <f>SUM(I5:I9)</f>
        <v>0</v>
      </c>
      <c r="J4" s="38"/>
      <c r="K4" s="62"/>
      <c r="L4" s="17">
        <f>SUM(L5:L9)</f>
        <v>478.07200000000006</v>
      </c>
      <c r="M4" s="9"/>
      <c r="N4" s="379"/>
      <c r="O4" s="17">
        <f>SUM(O5:O9)</f>
        <v>22576</v>
      </c>
      <c r="P4" s="17">
        <f>SUM(P5:P9)</f>
        <v>0</v>
      </c>
      <c r="Q4" s="17">
        <f>SUM(Q5:Q9)</f>
        <v>0</v>
      </c>
      <c r="R4" s="17">
        <f aca="true" t="shared" si="0" ref="R4:R24">L4*1000+O4*energiindhold_naturgas/3.6+P4*energiindhold_olie/3.6</f>
        <v>727035.1111111112</v>
      </c>
      <c r="S4" s="17">
        <f aca="true" t="shared" si="1" ref="S4:S10">H4/G4</f>
        <v>50.229592406476826</v>
      </c>
      <c r="T4" s="17">
        <f aca="true" t="shared" si="2" ref="T4:T9">R4/G4</f>
        <v>81.18761709783487</v>
      </c>
      <c r="U4" s="28"/>
      <c r="V4" s="63"/>
      <c r="W4" s="63"/>
      <c r="X4" s="63"/>
      <c r="Y4" s="36"/>
      <c r="Z4" s="270">
        <f>(Bygninger!H4*CO2_el)/1000</f>
        <v>197.015028</v>
      </c>
      <c r="AA4" s="270">
        <f>SUM(AA5:AA9)</f>
        <v>11.5558908</v>
      </c>
      <c r="AB4" s="270">
        <f>(Bygninger!O4*CO2_naturgas)/1000</f>
        <v>50.68312</v>
      </c>
      <c r="AC4" s="270">
        <f>(Bygninger!P4*CO2_olie)/1000</f>
        <v>0</v>
      </c>
      <c r="AD4" s="270">
        <f>SUM(AA4:AC4)</f>
        <v>62.2390108</v>
      </c>
      <c r="AE4" s="270">
        <f>Z4+AD4</f>
        <v>259.2540388</v>
      </c>
    </row>
    <row r="5" spans="1:31" ht="14.25" outlineLevel="1">
      <c r="A5" s="11" t="s">
        <v>653</v>
      </c>
      <c r="B5" s="11" t="s">
        <v>13</v>
      </c>
      <c r="C5" s="12">
        <v>15</v>
      </c>
      <c r="D5" s="13">
        <v>5610</v>
      </c>
      <c r="E5" s="11" t="s">
        <v>14</v>
      </c>
      <c r="F5" s="15">
        <v>5511</v>
      </c>
      <c r="G5" s="14">
        <v>2775</v>
      </c>
      <c r="H5" s="76">
        <v>192461</v>
      </c>
      <c r="I5" s="42"/>
      <c r="J5" s="43"/>
      <c r="K5" s="39"/>
      <c r="L5" s="77">
        <v>229.3</v>
      </c>
      <c r="M5" s="45" t="s">
        <v>615</v>
      </c>
      <c r="N5" s="378">
        <f>Forudsætninger!B18</f>
        <v>0</v>
      </c>
      <c r="O5" s="20"/>
      <c r="P5" s="20"/>
      <c r="Q5" s="20"/>
      <c r="R5" s="14">
        <f>L5*1000+O5*energiindhold_naturgas/3.6+P5*energiindhold_olie/3.6</f>
        <v>229300</v>
      </c>
      <c r="S5" s="14">
        <f t="shared" si="1"/>
        <v>69.35531531531531</v>
      </c>
      <c r="T5" s="14">
        <f t="shared" si="2"/>
        <v>82.63063063063063</v>
      </c>
      <c r="U5" s="30">
        <v>2003</v>
      </c>
      <c r="V5" s="31" t="s">
        <v>199</v>
      </c>
      <c r="W5" s="31" t="s">
        <v>441</v>
      </c>
      <c r="X5" s="31" t="s">
        <v>442</v>
      </c>
      <c r="Y5" s="26"/>
      <c r="Z5" s="271"/>
      <c r="AA5" s="272">
        <f>(Bygninger!L5*N5*1000)/1000</f>
        <v>0</v>
      </c>
      <c r="AB5" s="273"/>
      <c r="AC5" s="273"/>
      <c r="AD5" s="273"/>
      <c r="AE5" s="274"/>
    </row>
    <row r="6" spans="1:31" ht="14.25" outlineLevel="1">
      <c r="A6" s="11" t="s">
        <v>665</v>
      </c>
      <c r="B6" s="11" t="s">
        <v>66</v>
      </c>
      <c r="C6" s="12" t="s">
        <v>172</v>
      </c>
      <c r="D6" s="13">
        <v>5610</v>
      </c>
      <c r="E6" s="11" t="s">
        <v>14</v>
      </c>
      <c r="F6" s="15" t="s">
        <v>115</v>
      </c>
      <c r="G6" s="14">
        <v>199</v>
      </c>
      <c r="H6" s="76">
        <v>18997</v>
      </c>
      <c r="I6" s="42"/>
      <c r="J6" s="43"/>
      <c r="K6" s="39"/>
      <c r="L6" s="77">
        <v>92.4</v>
      </c>
      <c r="M6" s="45" t="s">
        <v>615</v>
      </c>
      <c r="N6" s="378">
        <f>Forudsætninger!B18</f>
        <v>0</v>
      </c>
      <c r="O6" s="20"/>
      <c r="P6" s="20"/>
      <c r="Q6" s="20"/>
      <c r="R6" s="14">
        <f t="shared" si="0"/>
        <v>92400</v>
      </c>
      <c r="S6" s="14">
        <f t="shared" si="1"/>
        <v>95.46231155778895</v>
      </c>
      <c r="T6" s="14">
        <f t="shared" si="2"/>
        <v>464.321608040201</v>
      </c>
      <c r="U6" s="30">
        <v>1998</v>
      </c>
      <c r="V6" s="31" t="s">
        <v>199</v>
      </c>
      <c r="W6" s="33" t="s">
        <v>404</v>
      </c>
      <c r="X6" s="33" t="s">
        <v>405</v>
      </c>
      <c r="Y6" s="26"/>
      <c r="Z6" s="275"/>
      <c r="AA6" s="276">
        <f>(Bygninger!L6*N6*1000)/1000</f>
        <v>0</v>
      </c>
      <c r="AB6" s="277"/>
      <c r="AC6" s="277"/>
      <c r="AD6" s="277"/>
      <c r="AE6" s="278"/>
    </row>
    <row r="7" spans="1:31" ht="14.25" outlineLevel="1">
      <c r="A7" s="11" t="s">
        <v>663</v>
      </c>
      <c r="B7" s="11" t="s">
        <v>48</v>
      </c>
      <c r="C7" s="12" t="s">
        <v>194</v>
      </c>
      <c r="D7" s="13">
        <v>5690</v>
      </c>
      <c r="E7" s="11" t="s">
        <v>9</v>
      </c>
      <c r="F7" s="15" t="s">
        <v>196</v>
      </c>
      <c r="G7" s="14">
        <v>135</v>
      </c>
      <c r="I7" s="40" t="s">
        <v>683</v>
      </c>
      <c r="J7" s="43"/>
      <c r="K7" s="39"/>
      <c r="L7" s="20"/>
      <c r="M7" s="44"/>
      <c r="N7" s="380"/>
      <c r="O7" s="78">
        <v>1841</v>
      </c>
      <c r="P7" s="341"/>
      <c r="Q7" s="341"/>
      <c r="R7" s="14">
        <f t="shared" si="0"/>
        <v>20302.13888888889</v>
      </c>
      <c r="S7" s="14">
        <f>H7/G7</f>
        <v>0</v>
      </c>
      <c r="T7" s="14">
        <f t="shared" si="2"/>
        <v>150.38621399176955</v>
      </c>
      <c r="U7" s="30">
        <v>1700</v>
      </c>
      <c r="V7" s="31">
        <v>1997</v>
      </c>
      <c r="W7" s="31" t="s">
        <v>481</v>
      </c>
      <c r="X7" s="31" t="s">
        <v>482</v>
      </c>
      <c r="Y7" s="26"/>
      <c r="Z7" s="275"/>
      <c r="AA7" s="276">
        <f>(Bygninger!L7*N7*1000)/1000</f>
        <v>0</v>
      </c>
      <c r="AB7" s="277"/>
      <c r="AC7" s="277"/>
      <c r="AD7" s="277"/>
      <c r="AE7" s="278"/>
    </row>
    <row r="8" spans="1:31" ht="14.25" outlineLevel="1">
      <c r="A8" s="11" t="s">
        <v>673</v>
      </c>
      <c r="B8" s="11" t="s">
        <v>10</v>
      </c>
      <c r="C8" s="12">
        <v>2</v>
      </c>
      <c r="D8" s="13">
        <v>5492</v>
      </c>
      <c r="E8" s="11" t="s">
        <v>11</v>
      </c>
      <c r="F8" s="15">
        <v>16307</v>
      </c>
      <c r="G8" s="14">
        <v>4081</v>
      </c>
      <c r="H8" s="76">
        <v>20963</v>
      </c>
      <c r="I8" s="42"/>
      <c r="J8" s="43"/>
      <c r="K8" s="39"/>
      <c r="L8" s="77">
        <v>156.372</v>
      </c>
      <c r="M8" s="45" t="s">
        <v>616</v>
      </c>
      <c r="N8" s="378">
        <f>Forudsætninger!B22</f>
        <v>0.0739</v>
      </c>
      <c r="O8" s="20"/>
      <c r="P8" s="20"/>
      <c r="Q8" s="20"/>
      <c r="R8" s="14">
        <f t="shared" si="0"/>
        <v>156372</v>
      </c>
      <c r="S8" s="14">
        <f t="shared" si="1"/>
        <v>5.136731193334967</v>
      </c>
      <c r="T8" s="14">
        <f t="shared" si="2"/>
        <v>38.317079147267826</v>
      </c>
      <c r="U8" s="30" t="s">
        <v>200</v>
      </c>
      <c r="V8" s="31">
        <v>1990</v>
      </c>
      <c r="W8" s="31" t="s">
        <v>481</v>
      </c>
      <c r="X8" s="31" t="s">
        <v>482</v>
      </c>
      <c r="Y8" s="26"/>
      <c r="Z8" s="275"/>
      <c r="AA8" s="276">
        <f>(Bygninger!L8*N8*1000)/1000</f>
        <v>11.5558908</v>
      </c>
      <c r="AB8" s="277"/>
      <c r="AC8" s="277"/>
      <c r="AD8" s="277"/>
      <c r="AE8" s="278"/>
    </row>
    <row r="9" spans="1:31" ht="14.25" outlineLevel="1">
      <c r="A9" s="11" t="s">
        <v>5</v>
      </c>
      <c r="B9" s="11" t="s">
        <v>6</v>
      </c>
      <c r="C9" s="12">
        <v>2</v>
      </c>
      <c r="D9" s="13">
        <v>5560</v>
      </c>
      <c r="E9" s="11" t="s">
        <v>7</v>
      </c>
      <c r="F9" s="15">
        <v>17846</v>
      </c>
      <c r="G9" s="14">
        <v>1765</v>
      </c>
      <c r="H9" s="76">
        <v>217385</v>
      </c>
      <c r="I9" s="42"/>
      <c r="J9" s="43"/>
      <c r="K9" s="39"/>
      <c r="L9" s="20"/>
      <c r="M9" s="44"/>
      <c r="N9" s="378"/>
      <c r="O9" s="77">
        <v>20735</v>
      </c>
      <c r="P9" s="20"/>
      <c r="Q9" s="20"/>
      <c r="R9" s="14">
        <f t="shared" si="0"/>
        <v>228660.97222222225</v>
      </c>
      <c r="S9" s="14">
        <f t="shared" si="1"/>
        <v>123.1643059490085</v>
      </c>
      <c r="T9" s="14">
        <f t="shared" si="2"/>
        <v>129.55295876613158</v>
      </c>
      <c r="U9" s="30">
        <v>1971</v>
      </c>
      <c r="V9" s="31">
        <v>2001</v>
      </c>
      <c r="W9" s="31" t="s">
        <v>402</v>
      </c>
      <c r="X9" s="31" t="s">
        <v>403</v>
      </c>
      <c r="Y9" s="26" t="s">
        <v>311</v>
      </c>
      <c r="Z9" s="279"/>
      <c r="AA9" s="276">
        <f>(Bygninger!L9*N9*1000)/1000</f>
        <v>0</v>
      </c>
      <c r="AB9" s="280"/>
      <c r="AC9" s="280"/>
      <c r="AD9" s="280"/>
      <c r="AE9" s="281"/>
    </row>
    <row r="10" spans="1:31" s="56" customFormat="1" ht="15">
      <c r="A10" s="16" t="s">
        <v>15</v>
      </c>
      <c r="B10" s="16"/>
      <c r="C10" s="8"/>
      <c r="D10" s="7"/>
      <c r="E10" s="16"/>
      <c r="F10" s="10"/>
      <c r="G10" s="17">
        <f>SUM(G11:G37)</f>
        <v>14087</v>
      </c>
      <c r="H10" s="17">
        <f>SUM(H11:H37)</f>
        <v>357880.5</v>
      </c>
      <c r="I10" s="17">
        <f>SUM(I11:I37)</f>
        <v>0</v>
      </c>
      <c r="J10" s="38"/>
      <c r="K10" s="62"/>
      <c r="L10" s="17">
        <f>SUM(L11:L37)</f>
        <v>739.1720000000001</v>
      </c>
      <c r="M10" s="371"/>
      <c r="N10" s="379"/>
      <c r="O10" s="17">
        <f>SUM(O11:O37)</f>
        <v>8265</v>
      </c>
      <c r="P10" s="17">
        <f>SUM(P11:P37)</f>
        <v>69438</v>
      </c>
      <c r="Q10" s="17">
        <f>SUM(Q11:Q37)</f>
        <v>0</v>
      </c>
      <c r="R10" s="17">
        <f t="shared" si="0"/>
        <v>1522767.75</v>
      </c>
      <c r="S10" s="17">
        <f t="shared" si="1"/>
        <v>25.405018811670335</v>
      </c>
      <c r="T10" s="17">
        <f>R10/G10</f>
        <v>108.09737701426847</v>
      </c>
      <c r="U10" s="28"/>
      <c r="V10" s="63"/>
      <c r="W10" s="63"/>
      <c r="X10" s="63"/>
      <c r="Y10" s="36"/>
      <c r="Z10" s="270">
        <f>(Bygninger!H10*CO2_el)/1000</f>
        <v>156.75165900000002</v>
      </c>
      <c r="AA10" s="270">
        <f>SUM(AA11:AA37)</f>
        <v>17.4145018</v>
      </c>
      <c r="AB10" s="270">
        <f>(Bygninger!O10*CO2_naturgas)/1000</f>
        <v>18.554925</v>
      </c>
      <c r="AC10" s="270">
        <f>(Bygninger!P10*CO2_olie)/1000</f>
        <v>184.01069999999999</v>
      </c>
      <c r="AD10" s="270">
        <f>SUM(AA10:AC10)</f>
        <v>219.9801268</v>
      </c>
      <c r="AE10" s="270">
        <f>Z10+AD10</f>
        <v>376.7317858</v>
      </c>
    </row>
    <row r="11" spans="1:31" ht="14.25" outlineLevel="1">
      <c r="A11" s="11" t="s">
        <v>112</v>
      </c>
      <c r="B11" s="11" t="s">
        <v>79</v>
      </c>
      <c r="C11" s="12">
        <v>17</v>
      </c>
      <c r="D11" s="13">
        <v>5610</v>
      </c>
      <c r="E11" s="11" t="s">
        <v>14</v>
      </c>
      <c r="F11" s="15">
        <v>2622</v>
      </c>
      <c r="G11" s="14">
        <v>468</v>
      </c>
      <c r="H11" s="76">
        <v>5421</v>
      </c>
      <c r="I11" s="42"/>
      <c r="J11" s="43"/>
      <c r="K11" s="39"/>
      <c r="L11" s="20"/>
      <c r="M11" s="44"/>
      <c r="N11" s="380"/>
      <c r="O11" s="20"/>
      <c r="P11" s="77">
        <v>5238</v>
      </c>
      <c r="Q11" s="341"/>
      <c r="R11" s="14">
        <f t="shared" si="0"/>
        <v>52234.49999999999</v>
      </c>
      <c r="S11" s="14">
        <f aca="true" t="shared" si="3" ref="S11:S39">H11/G11</f>
        <v>11.583333333333334</v>
      </c>
      <c r="T11" s="14">
        <f aca="true" t="shared" si="4" ref="T11:T39">R11/G11</f>
        <v>111.61217948717947</v>
      </c>
      <c r="U11" s="30">
        <v>1883</v>
      </c>
      <c r="V11" s="31">
        <v>1991</v>
      </c>
      <c r="W11" s="31" t="s">
        <v>429</v>
      </c>
      <c r="X11" s="31" t="s">
        <v>430</v>
      </c>
      <c r="Y11" s="26"/>
      <c r="Z11" s="271"/>
      <c r="AA11" s="272">
        <f>(Bygninger!L11*N11*1000)/1000</f>
        <v>0</v>
      </c>
      <c r="AB11" s="273"/>
      <c r="AC11" s="273"/>
      <c r="AD11" s="273"/>
      <c r="AE11" s="274"/>
    </row>
    <row r="12" spans="1:31" ht="14.25" outlineLevel="1">
      <c r="A12" s="11" t="s">
        <v>645</v>
      </c>
      <c r="B12" s="11" t="s">
        <v>64</v>
      </c>
      <c r="C12" s="12">
        <v>28</v>
      </c>
      <c r="D12" s="13">
        <v>5610</v>
      </c>
      <c r="E12" s="11" t="s">
        <v>14</v>
      </c>
      <c r="F12" s="15">
        <v>950</v>
      </c>
      <c r="G12" s="14">
        <v>574</v>
      </c>
      <c r="H12" s="76">
        <v>25042</v>
      </c>
      <c r="I12" s="42"/>
      <c r="J12" s="43"/>
      <c r="K12" s="39"/>
      <c r="L12" s="20"/>
      <c r="M12" s="44"/>
      <c r="N12" s="380"/>
      <c r="O12" s="342"/>
      <c r="P12" s="77">
        <v>7799</v>
      </c>
      <c r="Q12" s="341"/>
      <c r="R12" s="14">
        <f t="shared" si="0"/>
        <v>77773.36111111111</v>
      </c>
      <c r="S12" s="14">
        <f t="shared" si="3"/>
        <v>43.62717770034843</v>
      </c>
      <c r="T12" s="14">
        <f t="shared" si="4"/>
        <v>135.493660472319</v>
      </c>
      <c r="U12" s="30" t="s">
        <v>201</v>
      </c>
      <c r="V12" s="31">
        <v>1998</v>
      </c>
      <c r="W12" s="31" t="s">
        <v>414</v>
      </c>
      <c r="X12" s="31" t="s">
        <v>415</v>
      </c>
      <c r="Y12" s="26"/>
      <c r="Z12" s="275"/>
      <c r="AA12" s="276">
        <f>(Bygninger!L12*N12*1000)/1000</f>
        <v>0</v>
      </c>
      <c r="AB12" s="277"/>
      <c r="AC12" s="277"/>
      <c r="AD12" s="277"/>
      <c r="AE12" s="278"/>
    </row>
    <row r="13" spans="1:31" ht="14.25" outlineLevel="1">
      <c r="A13" s="11" t="s">
        <v>670</v>
      </c>
      <c r="B13" s="11" t="s">
        <v>63</v>
      </c>
      <c r="C13" s="12">
        <v>2</v>
      </c>
      <c r="D13" s="13">
        <v>5610</v>
      </c>
      <c r="E13" s="11" t="s">
        <v>14</v>
      </c>
      <c r="F13" s="15">
        <v>2446</v>
      </c>
      <c r="G13" s="14">
        <v>1888</v>
      </c>
      <c r="H13" s="76">
        <v>65356</v>
      </c>
      <c r="I13" s="42"/>
      <c r="J13" s="43"/>
      <c r="K13" s="39"/>
      <c r="L13" s="77">
        <v>199.57</v>
      </c>
      <c r="M13" s="45" t="s">
        <v>615</v>
      </c>
      <c r="N13" s="378">
        <f>Forudsætninger!B18</f>
        <v>0</v>
      </c>
      <c r="O13" s="343"/>
      <c r="P13" s="20"/>
      <c r="Q13" s="20"/>
      <c r="R13" s="14">
        <f t="shared" si="0"/>
        <v>199570</v>
      </c>
      <c r="S13" s="14">
        <f t="shared" si="3"/>
        <v>34.61652542372882</v>
      </c>
      <c r="T13" s="14">
        <f t="shared" si="4"/>
        <v>105.70444915254237</v>
      </c>
      <c r="U13" s="30" t="s">
        <v>202</v>
      </c>
      <c r="V13" s="31">
        <v>2001</v>
      </c>
      <c r="W13" s="31" t="s">
        <v>417</v>
      </c>
      <c r="X13" s="31" t="s">
        <v>418</v>
      </c>
      <c r="Y13" s="26"/>
      <c r="Z13" s="275"/>
      <c r="AA13" s="276">
        <f>(Bygninger!L13*N13*1000)/1000</f>
        <v>0</v>
      </c>
      <c r="AB13" s="277"/>
      <c r="AC13" s="277"/>
      <c r="AD13" s="277"/>
      <c r="AE13" s="278"/>
    </row>
    <row r="14" spans="1:31" ht="14.25" outlineLevel="1">
      <c r="A14" s="11" t="s">
        <v>138</v>
      </c>
      <c r="B14" s="11" t="s">
        <v>86</v>
      </c>
      <c r="C14" s="12">
        <v>26</v>
      </c>
      <c r="D14" s="13">
        <v>5610</v>
      </c>
      <c r="E14" s="11" t="s">
        <v>14</v>
      </c>
      <c r="F14" s="15">
        <v>80</v>
      </c>
      <c r="G14" s="14">
        <v>766</v>
      </c>
      <c r="H14" s="76">
        <v>33000</v>
      </c>
      <c r="I14" s="42"/>
      <c r="J14" s="52"/>
      <c r="K14" s="39"/>
      <c r="L14" s="77">
        <v>104.269</v>
      </c>
      <c r="M14" s="45" t="s">
        <v>615</v>
      </c>
      <c r="N14" s="378">
        <f>Forudsætninger!B18</f>
        <v>0</v>
      </c>
      <c r="O14" s="343"/>
      <c r="P14" s="20"/>
      <c r="Q14" s="20"/>
      <c r="R14" s="14">
        <f t="shared" si="0"/>
        <v>104269</v>
      </c>
      <c r="S14" s="14">
        <f t="shared" si="3"/>
        <v>43.08093994778068</v>
      </c>
      <c r="T14" s="14">
        <f t="shared" si="4"/>
        <v>136.12140992167102</v>
      </c>
      <c r="U14" s="30" t="s">
        <v>203</v>
      </c>
      <c r="V14" s="31">
        <v>1997</v>
      </c>
      <c r="W14" s="31" t="s">
        <v>419</v>
      </c>
      <c r="X14" s="31" t="s">
        <v>367</v>
      </c>
      <c r="Y14" s="26"/>
      <c r="Z14" s="275"/>
      <c r="AA14" s="276">
        <f>(Bygninger!L14*N14*1000)/1000</f>
        <v>0</v>
      </c>
      <c r="AB14" s="277"/>
      <c r="AC14" s="277"/>
      <c r="AD14" s="277"/>
      <c r="AE14" s="278"/>
    </row>
    <row r="15" spans="1:31" ht="14.25" outlineLevel="1">
      <c r="A15" s="11" t="s">
        <v>651</v>
      </c>
      <c r="B15" s="11" t="s">
        <v>91</v>
      </c>
      <c r="C15" s="12">
        <v>47</v>
      </c>
      <c r="D15" s="13">
        <v>5610</v>
      </c>
      <c r="E15" s="11" t="s">
        <v>14</v>
      </c>
      <c r="F15" s="15">
        <v>238</v>
      </c>
      <c r="G15" s="14">
        <v>228</v>
      </c>
      <c r="H15" s="76">
        <v>938</v>
      </c>
      <c r="I15" s="42"/>
      <c r="J15" s="43"/>
      <c r="K15" s="39"/>
      <c r="L15" s="20"/>
      <c r="M15" s="44"/>
      <c r="N15" s="380"/>
      <c r="O15" s="20"/>
      <c r="P15" s="77">
        <v>2252</v>
      </c>
      <c r="Q15" s="341"/>
      <c r="R15" s="14">
        <f t="shared" si="0"/>
        <v>22457.444444444445</v>
      </c>
      <c r="S15" s="14">
        <f t="shared" si="3"/>
        <v>4.114035087719298</v>
      </c>
      <c r="T15" s="14">
        <f t="shared" si="4"/>
        <v>98.49756335282652</v>
      </c>
      <c r="U15" s="30">
        <v>1940</v>
      </c>
      <c r="V15" s="31" t="s">
        <v>199</v>
      </c>
      <c r="W15" s="31" t="s">
        <v>481</v>
      </c>
      <c r="X15" s="31" t="s">
        <v>482</v>
      </c>
      <c r="Y15" s="26"/>
      <c r="Z15" s="275"/>
      <c r="AA15" s="276">
        <f>(Bygninger!L15*N15*1000)/1000</f>
        <v>0</v>
      </c>
      <c r="AB15" s="277"/>
      <c r="AC15" s="277"/>
      <c r="AD15" s="277"/>
      <c r="AE15" s="278"/>
    </row>
    <row r="16" spans="1:31" ht="14.25" outlineLevel="1">
      <c r="A16" s="11" t="s">
        <v>689</v>
      </c>
      <c r="B16" s="11" t="s">
        <v>93</v>
      </c>
      <c r="C16" s="12">
        <v>8</v>
      </c>
      <c r="D16" s="13">
        <v>5610</v>
      </c>
      <c r="E16" s="11" t="s">
        <v>14</v>
      </c>
      <c r="F16" s="15">
        <v>3614</v>
      </c>
      <c r="G16" s="14">
        <v>444</v>
      </c>
      <c r="H16" s="76">
        <v>18821</v>
      </c>
      <c r="I16" s="42"/>
      <c r="J16" s="43"/>
      <c r="K16" s="39"/>
      <c r="L16" s="77">
        <v>77.15</v>
      </c>
      <c r="M16" s="45" t="s">
        <v>615</v>
      </c>
      <c r="N16" s="378">
        <f>Forudsætninger!B18</f>
        <v>0</v>
      </c>
      <c r="O16" s="344"/>
      <c r="P16" s="20"/>
      <c r="Q16" s="20"/>
      <c r="R16" s="14">
        <f t="shared" si="0"/>
        <v>77150</v>
      </c>
      <c r="S16" s="14">
        <f t="shared" si="3"/>
        <v>42.38963963963964</v>
      </c>
      <c r="T16" s="14">
        <f t="shared" si="4"/>
        <v>173.76126126126127</v>
      </c>
      <c r="U16" s="30">
        <v>1970</v>
      </c>
      <c r="V16" s="31">
        <v>1997</v>
      </c>
      <c r="W16" s="47" t="s">
        <v>488</v>
      </c>
      <c r="X16" s="47" t="s">
        <v>489</v>
      </c>
      <c r="Y16" s="26"/>
      <c r="Z16" s="275"/>
      <c r="AA16" s="276">
        <f>(Bygninger!L16*N16*1000)/1000</f>
        <v>0</v>
      </c>
      <c r="AB16" s="277"/>
      <c r="AC16" s="277"/>
      <c r="AD16" s="277"/>
      <c r="AE16" s="278"/>
    </row>
    <row r="17" spans="1:31" ht="14.25" outlineLevel="1">
      <c r="A17" s="11" t="s">
        <v>699</v>
      </c>
      <c r="B17" s="11" t="s">
        <v>63</v>
      </c>
      <c r="C17" s="12">
        <v>27</v>
      </c>
      <c r="D17" s="13">
        <v>5610</v>
      </c>
      <c r="E17" s="11" t="s">
        <v>14</v>
      </c>
      <c r="F17" s="15">
        <v>5486</v>
      </c>
      <c r="G17" s="14">
        <v>578</v>
      </c>
      <c r="H17" s="76">
        <v>26175</v>
      </c>
      <c r="I17" s="42"/>
      <c r="J17" s="43"/>
      <c r="K17" s="39"/>
      <c r="L17" s="77">
        <v>117.37</v>
      </c>
      <c r="M17" s="45" t="s">
        <v>615</v>
      </c>
      <c r="N17" s="378">
        <f>Forudsætninger!B18</f>
        <v>0</v>
      </c>
      <c r="O17" s="344"/>
      <c r="P17" s="20"/>
      <c r="Q17" s="20"/>
      <c r="R17" s="14">
        <f t="shared" si="0"/>
        <v>117370</v>
      </c>
      <c r="S17" s="14">
        <f t="shared" si="3"/>
        <v>45.28546712802768</v>
      </c>
      <c r="T17" s="14">
        <f t="shared" si="4"/>
        <v>203.06228373702422</v>
      </c>
      <c r="U17" s="30">
        <v>1957</v>
      </c>
      <c r="V17" s="31" t="s">
        <v>199</v>
      </c>
      <c r="W17" s="31" t="s">
        <v>425</v>
      </c>
      <c r="X17" s="31" t="s">
        <v>426</v>
      </c>
      <c r="Y17" s="26"/>
      <c r="Z17" s="275"/>
      <c r="AA17" s="276">
        <f>(Bygninger!L17*N17*1000)/1000</f>
        <v>0</v>
      </c>
      <c r="AB17" s="277"/>
      <c r="AC17" s="277"/>
      <c r="AD17" s="277"/>
      <c r="AE17" s="278"/>
    </row>
    <row r="18" spans="1:31" ht="14.25" outlineLevel="1">
      <c r="A18" s="24" t="s">
        <v>139</v>
      </c>
      <c r="B18" s="24" t="s">
        <v>19</v>
      </c>
      <c r="C18" s="18">
        <v>5</v>
      </c>
      <c r="D18" s="19">
        <v>5631</v>
      </c>
      <c r="E18" s="24" t="s">
        <v>98</v>
      </c>
      <c r="F18" s="21">
        <v>4119</v>
      </c>
      <c r="G18" s="20">
        <v>146</v>
      </c>
      <c r="H18" s="76">
        <v>3096</v>
      </c>
      <c r="I18" s="44"/>
      <c r="J18" s="45"/>
      <c r="K18" s="40"/>
      <c r="L18" s="20"/>
      <c r="M18" s="44"/>
      <c r="N18" s="378"/>
      <c r="O18" s="77">
        <v>1928</v>
      </c>
      <c r="P18" s="20"/>
      <c r="Q18" s="20"/>
      <c r="R18" s="14">
        <f t="shared" si="0"/>
        <v>21261.55555555556</v>
      </c>
      <c r="S18" s="14">
        <f t="shared" si="3"/>
        <v>21.205479452054796</v>
      </c>
      <c r="T18" s="14">
        <f t="shared" si="4"/>
        <v>145.62709284627095</v>
      </c>
      <c r="U18" s="32">
        <v>1966</v>
      </c>
      <c r="V18" s="31" t="s">
        <v>199</v>
      </c>
      <c r="W18" s="31" t="s">
        <v>398</v>
      </c>
      <c r="X18" s="31" t="s">
        <v>399</v>
      </c>
      <c r="Y18" s="26"/>
      <c r="Z18" s="275"/>
      <c r="AA18" s="276">
        <f>(Bygninger!L18*N18*1000)/1000</f>
        <v>0</v>
      </c>
      <c r="AB18" s="277"/>
      <c r="AC18" s="277"/>
      <c r="AD18" s="277"/>
      <c r="AE18" s="278"/>
    </row>
    <row r="19" spans="1:31" ht="14.25" outlineLevel="1">
      <c r="A19" s="24" t="s">
        <v>652</v>
      </c>
      <c r="B19" s="24" t="s">
        <v>26</v>
      </c>
      <c r="C19" s="18">
        <v>135</v>
      </c>
      <c r="D19" s="19">
        <v>5620</v>
      </c>
      <c r="E19" s="24" t="s">
        <v>16</v>
      </c>
      <c r="F19" s="21">
        <v>5820</v>
      </c>
      <c r="G19" s="20">
        <v>2715</v>
      </c>
      <c r="H19" s="76">
        <v>32837</v>
      </c>
      <c r="I19" s="44"/>
      <c r="J19" s="45"/>
      <c r="K19" s="40"/>
      <c r="L19" s="20"/>
      <c r="M19" s="44"/>
      <c r="N19" s="380"/>
      <c r="O19" s="20"/>
      <c r="P19" s="77">
        <v>28112</v>
      </c>
      <c r="Q19" s="341"/>
      <c r="R19" s="14">
        <f t="shared" si="0"/>
        <v>280339.11111111107</v>
      </c>
      <c r="S19" s="14">
        <f t="shared" si="3"/>
        <v>12.094659300184162</v>
      </c>
      <c r="T19" s="14">
        <f t="shared" si="4"/>
        <v>103.25565786781254</v>
      </c>
      <c r="U19" s="32" t="s">
        <v>204</v>
      </c>
      <c r="V19" s="31" t="s">
        <v>205</v>
      </c>
      <c r="W19" s="31" t="s">
        <v>481</v>
      </c>
      <c r="X19" s="31" t="s">
        <v>482</v>
      </c>
      <c r="Y19" s="26"/>
      <c r="Z19" s="275"/>
      <c r="AA19" s="276">
        <f>(Bygninger!L19*N19*1000)/1000</f>
        <v>0</v>
      </c>
      <c r="AB19" s="277"/>
      <c r="AC19" s="277"/>
      <c r="AD19" s="277"/>
      <c r="AE19" s="278"/>
    </row>
    <row r="20" spans="1:31" ht="14.25" outlineLevel="1">
      <c r="A20" s="24" t="s">
        <v>656</v>
      </c>
      <c r="B20" s="24" t="s">
        <v>74</v>
      </c>
      <c r="C20" s="18">
        <v>57</v>
      </c>
      <c r="D20" s="19">
        <v>5620</v>
      </c>
      <c r="E20" s="24" t="s">
        <v>16</v>
      </c>
      <c r="F20" s="21">
        <v>7486</v>
      </c>
      <c r="G20" s="20">
        <v>234</v>
      </c>
      <c r="H20" s="76">
        <v>2237</v>
      </c>
      <c r="I20" s="44"/>
      <c r="J20" s="45"/>
      <c r="K20" s="40"/>
      <c r="L20" s="78">
        <v>25.01</v>
      </c>
      <c r="M20" s="44" t="s">
        <v>617</v>
      </c>
      <c r="N20" s="378">
        <f>Forudsætninger!B19</f>
        <v>0.1021</v>
      </c>
      <c r="O20" s="344"/>
      <c r="P20" s="20"/>
      <c r="Q20" s="20"/>
      <c r="R20" s="14">
        <f t="shared" si="0"/>
        <v>25010</v>
      </c>
      <c r="S20" s="14">
        <f t="shared" si="3"/>
        <v>9.55982905982906</v>
      </c>
      <c r="T20" s="14">
        <f t="shared" si="4"/>
        <v>106.88034188034187</v>
      </c>
      <c r="U20" s="32">
        <v>1908</v>
      </c>
      <c r="V20" s="31">
        <v>1989</v>
      </c>
      <c r="W20" s="31" t="s">
        <v>380</v>
      </c>
      <c r="X20" s="31" t="s">
        <v>381</v>
      </c>
      <c r="Y20" s="26"/>
      <c r="Z20" s="275"/>
      <c r="AA20" s="276">
        <f>(Bygninger!L20*N20*1000)/1000</f>
        <v>2.553521</v>
      </c>
      <c r="AB20" s="277"/>
      <c r="AC20" s="277"/>
      <c r="AD20" s="277"/>
      <c r="AE20" s="278"/>
    </row>
    <row r="21" spans="1:31" ht="14.25" outlineLevel="1">
      <c r="A21" s="24" t="s">
        <v>646</v>
      </c>
      <c r="B21" s="24" t="s">
        <v>185</v>
      </c>
      <c r="C21" s="18">
        <v>32</v>
      </c>
      <c r="D21" s="19">
        <v>5620</v>
      </c>
      <c r="E21" s="24" t="s">
        <v>16</v>
      </c>
      <c r="F21" s="21">
        <v>7213</v>
      </c>
      <c r="G21" s="20">
        <v>1543</v>
      </c>
      <c r="H21" s="76">
        <v>9370</v>
      </c>
      <c r="I21" s="44"/>
      <c r="J21" s="45"/>
      <c r="K21" s="40"/>
      <c r="L21" s="20"/>
      <c r="M21" s="44"/>
      <c r="N21" s="378"/>
      <c r="O21" s="77">
        <v>3326</v>
      </c>
      <c r="P21" s="20"/>
      <c r="Q21" s="20"/>
      <c r="R21" s="14">
        <f t="shared" si="0"/>
        <v>36678.38888888889</v>
      </c>
      <c r="S21" s="14">
        <f t="shared" si="3"/>
        <v>6.072585871678548</v>
      </c>
      <c r="T21" s="14">
        <f t="shared" si="4"/>
        <v>23.77082883272125</v>
      </c>
      <c r="U21" s="32">
        <v>1922</v>
      </c>
      <c r="V21" s="31" t="s">
        <v>206</v>
      </c>
      <c r="W21" s="31" t="s">
        <v>481</v>
      </c>
      <c r="X21" s="31" t="s">
        <v>482</v>
      </c>
      <c r="Y21" s="26"/>
      <c r="Z21" s="275"/>
      <c r="AA21" s="276">
        <f>(Bygninger!L21*N21*1000)/1000</f>
        <v>0</v>
      </c>
      <c r="AB21" s="277"/>
      <c r="AC21" s="277"/>
      <c r="AD21" s="277"/>
      <c r="AE21" s="278"/>
    </row>
    <row r="22" spans="1:31" ht="15" outlineLevel="1">
      <c r="A22" s="24" t="s">
        <v>160</v>
      </c>
      <c r="B22" s="24" t="s">
        <v>161</v>
      </c>
      <c r="C22" s="18">
        <v>4</v>
      </c>
      <c r="D22" s="19">
        <v>5683</v>
      </c>
      <c r="E22" s="24" t="s">
        <v>12</v>
      </c>
      <c r="F22" s="21">
        <v>9512</v>
      </c>
      <c r="G22" s="20">
        <v>98</v>
      </c>
      <c r="H22" s="76">
        <v>1209</v>
      </c>
      <c r="I22" s="44"/>
      <c r="J22" s="45"/>
      <c r="K22" s="40"/>
      <c r="L22" s="353"/>
      <c r="M22" s="372"/>
      <c r="N22" s="381"/>
      <c r="O22" s="20"/>
      <c r="P22" s="20"/>
      <c r="Q22" s="20"/>
      <c r="R22" s="14">
        <f t="shared" si="0"/>
        <v>0</v>
      </c>
      <c r="S22" s="14">
        <f t="shared" si="3"/>
        <v>12.33673469387755</v>
      </c>
      <c r="T22" s="14">
        <f t="shared" si="4"/>
        <v>0</v>
      </c>
      <c r="U22" s="32">
        <v>1945</v>
      </c>
      <c r="V22" s="31" t="s">
        <v>199</v>
      </c>
      <c r="W22" s="31" t="s">
        <v>481</v>
      </c>
      <c r="X22" s="31" t="s">
        <v>482</v>
      </c>
      <c r="Y22" s="26"/>
      <c r="Z22" s="275"/>
      <c r="AA22" s="276">
        <f>(Bygninger!L22*N22*1000)/1000</f>
        <v>0</v>
      </c>
      <c r="AB22" s="277"/>
      <c r="AC22" s="277"/>
      <c r="AD22" s="277"/>
      <c r="AE22" s="278"/>
    </row>
    <row r="23" spans="1:31" ht="14.25" outlineLevel="1">
      <c r="A23" s="11" t="s">
        <v>140</v>
      </c>
      <c r="B23" s="11" t="s">
        <v>22</v>
      </c>
      <c r="C23" s="12">
        <v>2</v>
      </c>
      <c r="D23" s="13">
        <v>5683</v>
      </c>
      <c r="E23" s="11" t="s">
        <v>12</v>
      </c>
      <c r="F23" s="15">
        <v>9218</v>
      </c>
      <c r="G23" s="14">
        <v>225</v>
      </c>
      <c r="H23" s="76">
        <v>7424</v>
      </c>
      <c r="I23" s="42"/>
      <c r="J23" s="43"/>
      <c r="K23" s="39"/>
      <c r="L23" s="77">
        <v>35.592</v>
      </c>
      <c r="M23" s="45" t="s">
        <v>618</v>
      </c>
      <c r="N23" s="378">
        <f>Forudsætninger!B20</f>
        <v>0.143</v>
      </c>
      <c r="O23" s="20"/>
      <c r="P23" s="20"/>
      <c r="Q23" s="20"/>
      <c r="R23" s="14">
        <f t="shared" si="0"/>
        <v>35592</v>
      </c>
      <c r="S23" s="14">
        <f t="shared" si="3"/>
        <v>32.995555555555555</v>
      </c>
      <c r="T23" s="14">
        <f t="shared" si="4"/>
        <v>158.18666666666667</v>
      </c>
      <c r="U23" s="30">
        <v>1870</v>
      </c>
      <c r="V23" s="31">
        <v>2006</v>
      </c>
      <c r="W23" s="31" t="s">
        <v>481</v>
      </c>
      <c r="X23" s="31" t="s">
        <v>482</v>
      </c>
      <c r="Y23" s="26"/>
      <c r="Z23" s="275"/>
      <c r="AA23" s="276">
        <f>(Bygninger!L23*N23*1000)/1000</f>
        <v>5.089656</v>
      </c>
      <c r="AB23" s="277"/>
      <c r="AC23" s="277"/>
      <c r="AD23" s="277"/>
      <c r="AE23" s="278"/>
    </row>
    <row r="24" spans="1:31" ht="14.25" outlineLevel="1">
      <c r="A24" s="11" t="s">
        <v>650</v>
      </c>
      <c r="B24" s="11" t="s">
        <v>97</v>
      </c>
      <c r="C24" s="12">
        <v>8</v>
      </c>
      <c r="D24" s="13">
        <v>5683</v>
      </c>
      <c r="E24" s="11" t="s">
        <v>12</v>
      </c>
      <c r="F24" s="15">
        <v>10179</v>
      </c>
      <c r="G24" s="14">
        <v>81</v>
      </c>
      <c r="H24" s="76">
        <v>1152</v>
      </c>
      <c r="I24" s="42"/>
      <c r="J24" s="43"/>
      <c r="K24" s="39"/>
      <c r="L24" s="20"/>
      <c r="M24" s="44"/>
      <c r="N24" s="380"/>
      <c r="O24" s="20"/>
      <c r="P24" s="77">
        <v>858</v>
      </c>
      <c r="Q24" s="341"/>
      <c r="R24" s="14">
        <f t="shared" si="0"/>
        <v>8556.166666666666</v>
      </c>
      <c r="S24" s="14">
        <f t="shared" si="3"/>
        <v>14.222222222222221</v>
      </c>
      <c r="T24" s="14">
        <f>R24/G24</f>
        <v>105.63168724279835</v>
      </c>
      <c r="U24" s="30">
        <v>1969</v>
      </c>
      <c r="V24" s="31" t="s">
        <v>199</v>
      </c>
      <c r="W24" s="31" t="s">
        <v>481</v>
      </c>
      <c r="X24" s="31" t="s">
        <v>482</v>
      </c>
      <c r="Y24" s="26"/>
      <c r="Z24" s="275"/>
      <c r="AA24" s="276">
        <f>(Bygninger!L24*N24*1000)/1000</f>
        <v>0</v>
      </c>
      <c r="AB24" s="277"/>
      <c r="AC24" s="277"/>
      <c r="AD24" s="277"/>
      <c r="AE24" s="278"/>
    </row>
    <row r="25" spans="1:31" s="55" customFormat="1" ht="14.25" outlineLevel="1">
      <c r="A25" s="434" t="s">
        <v>649</v>
      </c>
      <c r="B25" s="437" t="s">
        <v>102</v>
      </c>
      <c r="C25" s="53" t="s">
        <v>490</v>
      </c>
      <c r="D25" s="437">
        <v>5683</v>
      </c>
      <c r="E25" s="437" t="s">
        <v>12</v>
      </c>
      <c r="F25" s="431" t="s">
        <v>117</v>
      </c>
      <c r="G25" s="408">
        <v>204</v>
      </c>
      <c r="H25" s="411">
        <v>697</v>
      </c>
      <c r="I25" s="414"/>
      <c r="J25" s="54"/>
      <c r="K25" s="414"/>
      <c r="L25" s="443">
        <v>15.787</v>
      </c>
      <c r="M25" s="370"/>
      <c r="N25" s="382"/>
      <c r="O25" s="345"/>
      <c r="P25" s="345"/>
      <c r="Q25" s="345"/>
      <c r="R25" s="414">
        <f>L25*1000+O27*energiindhold_naturgas/3.6+P27*energiindhold_olie/3.6</f>
        <v>15787</v>
      </c>
      <c r="S25" s="408">
        <v>13.1</v>
      </c>
      <c r="T25" s="408">
        <f>R25/G25</f>
        <v>77.38725490196079</v>
      </c>
      <c r="U25" s="447" t="s">
        <v>304</v>
      </c>
      <c r="V25" s="450">
        <v>2006</v>
      </c>
      <c r="W25" s="440" t="s">
        <v>485</v>
      </c>
      <c r="X25" s="440" t="s">
        <v>486</v>
      </c>
      <c r="Y25" s="444" t="s">
        <v>484</v>
      </c>
      <c r="Z25" s="282"/>
      <c r="AA25" s="276">
        <f>(Bygninger!L25*N25*1000)/1000</f>
        <v>0</v>
      </c>
      <c r="AB25" s="283"/>
      <c r="AC25" s="283"/>
      <c r="AD25" s="283"/>
      <c r="AE25" s="284"/>
    </row>
    <row r="26" spans="1:31" s="55" customFormat="1" ht="14.25" outlineLevel="1">
      <c r="A26" s="435"/>
      <c r="B26" s="438"/>
      <c r="C26" s="53" t="s">
        <v>491</v>
      </c>
      <c r="D26" s="438"/>
      <c r="E26" s="438"/>
      <c r="F26" s="432"/>
      <c r="G26" s="409"/>
      <c r="H26" s="412"/>
      <c r="I26" s="415"/>
      <c r="J26" s="54"/>
      <c r="K26" s="415"/>
      <c r="L26" s="412"/>
      <c r="M26" s="375" t="s">
        <v>618</v>
      </c>
      <c r="N26" s="378">
        <f>Forudsætninger!B20</f>
        <v>0.143</v>
      </c>
      <c r="O26" s="346"/>
      <c r="P26" s="346"/>
      <c r="Q26" s="346"/>
      <c r="R26" s="415"/>
      <c r="S26" s="409"/>
      <c r="T26" s="409"/>
      <c r="U26" s="448"/>
      <c r="V26" s="451"/>
      <c r="W26" s="441"/>
      <c r="X26" s="441"/>
      <c r="Y26" s="445"/>
      <c r="Z26" s="282"/>
      <c r="AA26" s="276">
        <f>(Bygninger!L26*N26*1000)/1000</f>
        <v>0</v>
      </c>
      <c r="AB26" s="283"/>
      <c r="AC26" s="283"/>
      <c r="AD26" s="283"/>
      <c r="AE26" s="284"/>
    </row>
    <row r="27" spans="1:31" s="55" customFormat="1" ht="14.25" outlineLevel="1">
      <c r="A27" s="436"/>
      <c r="B27" s="439"/>
      <c r="C27" s="53" t="s">
        <v>492</v>
      </c>
      <c r="D27" s="439"/>
      <c r="E27" s="439"/>
      <c r="F27" s="433"/>
      <c r="G27" s="410"/>
      <c r="H27" s="413"/>
      <c r="I27" s="416"/>
      <c r="J27" s="54"/>
      <c r="K27" s="416"/>
      <c r="L27" s="413"/>
      <c r="M27" s="369"/>
      <c r="N27" s="383"/>
      <c r="O27" s="347"/>
      <c r="P27" s="347"/>
      <c r="Q27" s="347"/>
      <c r="R27" s="416"/>
      <c r="S27" s="410"/>
      <c r="T27" s="410"/>
      <c r="U27" s="449"/>
      <c r="V27" s="452"/>
      <c r="W27" s="442"/>
      <c r="X27" s="442"/>
      <c r="Y27" s="446"/>
      <c r="Z27" s="282"/>
      <c r="AA27" s="276">
        <f>(Bygninger!L27*N27*1000)/1000</f>
        <v>0</v>
      </c>
      <c r="AB27" s="283"/>
      <c r="AC27" s="283"/>
      <c r="AD27" s="283"/>
      <c r="AE27" s="284"/>
    </row>
    <row r="28" spans="1:31" ht="14.25" outlineLevel="1">
      <c r="A28" s="354" t="s">
        <v>681</v>
      </c>
      <c r="B28" s="11" t="s">
        <v>96</v>
      </c>
      <c r="C28" s="12">
        <v>2</v>
      </c>
      <c r="D28" s="13">
        <v>5683</v>
      </c>
      <c r="E28" s="11" t="s">
        <v>12</v>
      </c>
      <c r="F28" s="15">
        <v>10452</v>
      </c>
      <c r="G28" s="14">
        <v>107</v>
      </c>
      <c r="H28" s="76">
        <v>2461.5</v>
      </c>
      <c r="I28" s="42"/>
      <c r="J28" s="43"/>
      <c r="K28" s="39"/>
      <c r="L28" s="77">
        <v>5</v>
      </c>
      <c r="M28" s="45" t="s">
        <v>618</v>
      </c>
      <c r="N28" s="378">
        <f>Forudsætninger!B20</f>
        <v>0.143</v>
      </c>
      <c r="O28" s="343"/>
      <c r="P28" s="20"/>
      <c r="Q28" s="20"/>
      <c r="R28" s="14">
        <f aca="true" t="shared" si="5" ref="R28:R61">L28*1000+O28*energiindhold_naturgas/3.6+P28*energiindhold_olie/3.6</f>
        <v>5000</v>
      </c>
      <c r="S28" s="14">
        <f t="shared" si="3"/>
        <v>23.00467289719626</v>
      </c>
      <c r="T28" s="14">
        <f t="shared" si="4"/>
        <v>46.728971962616825</v>
      </c>
      <c r="U28" s="30">
        <v>1976</v>
      </c>
      <c r="V28" s="31" t="s">
        <v>199</v>
      </c>
      <c r="W28" s="31" t="s">
        <v>481</v>
      </c>
      <c r="X28" s="31" t="s">
        <v>482</v>
      </c>
      <c r="Y28" s="26"/>
      <c r="Z28" s="275"/>
      <c r="AA28" s="276">
        <f>(Bygninger!L28*N28*1000)/1000</f>
        <v>0.715</v>
      </c>
      <c r="AB28" s="277"/>
      <c r="AC28" s="277"/>
      <c r="AD28" s="277"/>
      <c r="AE28" s="278"/>
    </row>
    <row r="29" spans="1:31" ht="14.25" outlineLevel="1">
      <c r="A29" s="354" t="s">
        <v>657</v>
      </c>
      <c r="B29" s="11" t="s">
        <v>18</v>
      </c>
      <c r="C29" s="12">
        <v>2</v>
      </c>
      <c r="D29" s="13">
        <v>5690</v>
      </c>
      <c r="E29" s="11" t="s">
        <v>9</v>
      </c>
      <c r="F29" s="15">
        <v>12837</v>
      </c>
      <c r="G29" s="14">
        <v>230</v>
      </c>
      <c r="H29" s="76">
        <v>13018</v>
      </c>
      <c r="I29" s="42"/>
      <c r="J29" s="43"/>
      <c r="K29" s="39"/>
      <c r="L29" s="77">
        <v>45.984</v>
      </c>
      <c r="M29" s="45" t="s">
        <v>690</v>
      </c>
      <c r="N29" s="378">
        <f>Forudsætninger!B21</f>
        <v>0.0102</v>
      </c>
      <c r="O29" s="343"/>
      <c r="P29" s="20"/>
      <c r="Q29" s="20"/>
      <c r="R29" s="14">
        <f t="shared" si="5"/>
        <v>45984</v>
      </c>
      <c r="S29" s="14">
        <f t="shared" si="3"/>
        <v>56.6</v>
      </c>
      <c r="T29" s="14">
        <f t="shared" si="4"/>
        <v>199.9304347826087</v>
      </c>
      <c r="U29" s="30">
        <v>1969</v>
      </c>
      <c r="V29" s="31" t="s">
        <v>199</v>
      </c>
      <c r="W29" s="31" t="s">
        <v>432</v>
      </c>
      <c r="X29" s="31" t="s">
        <v>431</v>
      </c>
      <c r="Y29" s="26"/>
      <c r="Z29" s="275"/>
      <c r="AA29" s="276">
        <f>(Bygninger!L29*N29*1000)/1000</f>
        <v>0.46903680000000003</v>
      </c>
      <c r="AB29" s="277"/>
      <c r="AC29" s="277"/>
      <c r="AD29" s="277"/>
      <c r="AE29" s="278"/>
    </row>
    <row r="30" spans="1:31" ht="14.25" outlineLevel="1">
      <c r="A30" s="11" t="s">
        <v>642</v>
      </c>
      <c r="B30" s="11" t="s">
        <v>17</v>
      </c>
      <c r="C30" s="12">
        <v>11</v>
      </c>
      <c r="D30" s="13">
        <v>5690</v>
      </c>
      <c r="E30" s="11" t="s">
        <v>9</v>
      </c>
      <c r="F30" s="15">
        <v>12997</v>
      </c>
      <c r="G30" s="14">
        <v>792</v>
      </c>
      <c r="H30" s="360">
        <v>706</v>
      </c>
      <c r="I30" s="42"/>
      <c r="J30" s="43"/>
      <c r="K30" s="39"/>
      <c r="L30" s="358">
        <v>95.75</v>
      </c>
      <c r="M30" s="45" t="s">
        <v>698</v>
      </c>
      <c r="N30" s="378">
        <f>Forudsætninger!B23</f>
        <v>0.0878</v>
      </c>
      <c r="O30" s="343"/>
      <c r="P30" s="20"/>
      <c r="Q30" s="20"/>
      <c r="R30" s="14">
        <f t="shared" si="5"/>
        <v>95750</v>
      </c>
      <c r="S30" s="14">
        <f t="shared" si="3"/>
        <v>0.8914141414141414</v>
      </c>
      <c r="T30" s="14">
        <f t="shared" si="4"/>
        <v>120.89646464646465</v>
      </c>
      <c r="U30" s="30">
        <v>1910</v>
      </c>
      <c r="V30" s="31">
        <v>1985</v>
      </c>
      <c r="W30" s="31" t="s">
        <v>481</v>
      </c>
      <c r="X30" s="31" t="s">
        <v>482</v>
      </c>
      <c r="Y30" s="26"/>
      <c r="Z30" s="275"/>
      <c r="AA30" s="276">
        <f>(Bygninger!L30*N30*1000)/1000</f>
        <v>8.40685</v>
      </c>
      <c r="AB30" s="277"/>
      <c r="AC30" s="277"/>
      <c r="AD30" s="277"/>
      <c r="AE30" s="278"/>
    </row>
    <row r="31" spans="1:31" ht="14.25" outlineLevel="1">
      <c r="A31" s="11" t="s">
        <v>643</v>
      </c>
      <c r="B31" s="11" t="s">
        <v>94</v>
      </c>
      <c r="C31" s="12">
        <v>11</v>
      </c>
      <c r="D31" s="13">
        <v>5690</v>
      </c>
      <c r="E31" s="11" t="s">
        <v>9</v>
      </c>
      <c r="F31" s="15">
        <v>11677</v>
      </c>
      <c r="G31" s="14">
        <v>155</v>
      </c>
      <c r="H31" s="76">
        <v>1736</v>
      </c>
      <c r="I31" s="42"/>
      <c r="J31" s="43"/>
      <c r="K31" s="39"/>
      <c r="L31" s="77">
        <v>17.69</v>
      </c>
      <c r="M31" s="45" t="s">
        <v>690</v>
      </c>
      <c r="N31" s="378">
        <f>Forudsætninger!B21</f>
        <v>0.0102</v>
      </c>
      <c r="O31" s="343"/>
      <c r="P31" s="20"/>
      <c r="Q31" s="20"/>
      <c r="R31" s="14">
        <f t="shared" si="5"/>
        <v>17690</v>
      </c>
      <c r="S31" s="14">
        <f t="shared" si="3"/>
        <v>11.2</v>
      </c>
      <c r="T31" s="14">
        <f t="shared" si="4"/>
        <v>114.12903225806451</v>
      </c>
      <c r="U31" s="30">
        <v>1966</v>
      </c>
      <c r="V31" s="31" t="s">
        <v>199</v>
      </c>
      <c r="W31" s="31" t="s">
        <v>481</v>
      </c>
      <c r="X31" s="31" t="s">
        <v>482</v>
      </c>
      <c r="Y31" s="26"/>
      <c r="Z31" s="275"/>
      <c r="AA31" s="276">
        <f>(Bygninger!L31*N31*1000)/1000</f>
        <v>0.18043800000000002</v>
      </c>
      <c r="AB31" s="277"/>
      <c r="AC31" s="277"/>
      <c r="AD31" s="277"/>
      <c r="AE31" s="278"/>
    </row>
    <row r="32" spans="1:31" ht="14.25" outlineLevel="1">
      <c r="A32" s="11" t="s">
        <v>682</v>
      </c>
      <c r="B32" s="11" t="s">
        <v>99</v>
      </c>
      <c r="C32" s="12">
        <v>2</v>
      </c>
      <c r="D32" s="13">
        <v>5690</v>
      </c>
      <c r="E32" s="11" t="s">
        <v>9</v>
      </c>
      <c r="F32" s="15">
        <v>12700</v>
      </c>
      <c r="G32" s="14">
        <v>131</v>
      </c>
      <c r="H32" s="76">
        <v>15</v>
      </c>
      <c r="I32" s="42"/>
      <c r="J32" s="43"/>
      <c r="K32" s="39"/>
      <c r="L32" s="20"/>
      <c r="M32" s="44"/>
      <c r="N32" s="380"/>
      <c r="O32" s="20"/>
      <c r="P32" s="77">
        <v>2020</v>
      </c>
      <c r="Q32" s="341"/>
      <c r="R32" s="14">
        <f t="shared" si="5"/>
        <v>20143.888888888887</v>
      </c>
      <c r="S32" s="14">
        <f t="shared" si="3"/>
        <v>0.11450381679389313</v>
      </c>
      <c r="T32" s="14">
        <f t="shared" si="4"/>
        <v>153.7701441899915</v>
      </c>
      <c r="U32" s="30">
        <v>1877</v>
      </c>
      <c r="V32" s="31" t="s">
        <v>199</v>
      </c>
      <c r="W32" s="31" t="s">
        <v>481</v>
      </c>
      <c r="X32" s="31" t="s">
        <v>482</v>
      </c>
      <c r="Y32" s="26"/>
      <c r="Z32" s="275"/>
      <c r="AA32" s="276">
        <f>(Bygninger!L32*N32*1000)/1000</f>
        <v>0</v>
      </c>
      <c r="AB32" s="277"/>
      <c r="AC32" s="277"/>
      <c r="AD32" s="277"/>
      <c r="AE32" s="278"/>
    </row>
    <row r="33" spans="1:31" ht="14.25" outlineLevel="1">
      <c r="A33" s="11" t="s">
        <v>700</v>
      </c>
      <c r="B33" s="11" t="s">
        <v>92</v>
      </c>
      <c r="C33" s="12">
        <v>5</v>
      </c>
      <c r="D33" s="13">
        <v>5492</v>
      </c>
      <c r="E33" s="11" t="s">
        <v>11</v>
      </c>
      <c r="F33" s="15">
        <v>15163</v>
      </c>
      <c r="G33" s="429">
        <v>835</v>
      </c>
      <c r="H33" s="76">
        <v>48012</v>
      </c>
      <c r="I33" s="423"/>
      <c r="J33" s="45"/>
      <c r="K33" s="40"/>
      <c r="L33" s="20"/>
      <c r="M33" s="44"/>
      <c r="N33" s="380"/>
      <c r="O33" s="20"/>
      <c r="P33" s="78">
        <v>2500</v>
      </c>
      <c r="Q33" s="20"/>
      <c r="R33" s="20">
        <f t="shared" si="5"/>
        <v>24930.555555555555</v>
      </c>
      <c r="S33" s="20">
        <f t="shared" si="3"/>
        <v>57.49940119760479</v>
      </c>
      <c r="T33" s="20">
        <f t="shared" si="4"/>
        <v>29.856952761144377</v>
      </c>
      <c r="U33" s="30" t="s">
        <v>207</v>
      </c>
      <c r="V33" s="31">
        <v>1994</v>
      </c>
      <c r="W33" s="31" t="s">
        <v>369</v>
      </c>
      <c r="X33" s="31" t="s">
        <v>370</v>
      </c>
      <c r="Y33" s="26"/>
      <c r="Z33" s="275"/>
      <c r="AA33" s="276">
        <f>(Bygninger!L33*N33*1000)/1000</f>
        <v>0</v>
      </c>
      <c r="AB33" s="277"/>
      <c r="AC33" s="277"/>
      <c r="AD33" s="277"/>
      <c r="AE33" s="278"/>
    </row>
    <row r="34" spans="1:31" ht="14.25" outlineLevel="1">
      <c r="A34" s="11" t="s">
        <v>701</v>
      </c>
      <c r="B34" s="11"/>
      <c r="C34" s="12"/>
      <c r="D34" s="13"/>
      <c r="E34" s="11"/>
      <c r="F34" s="15"/>
      <c r="G34" s="430"/>
      <c r="H34" s="76">
        <v>12563</v>
      </c>
      <c r="I34" s="425"/>
      <c r="J34" s="45"/>
      <c r="K34" s="40"/>
      <c r="L34" s="20"/>
      <c r="M34" s="44"/>
      <c r="N34" s="380"/>
      <c r="O34" s="20"/>
      <c r="P34" s="78">
        <v>1754</v>
      </c>
      <c r="Q34" s="20"/>
      <c r="R34" s="20"/>
      <c r="S34" s="20"/>
      <c r="T34" s="20"/>
      <c r="U34" s="30"/>
      <c r="V34" s="31"/>
      <c r="W34" s="31"/>
      <c r="X34" s="31"/>
      <c r="Y34" s="26"/>
      <c r="Z34" s="275"/>
      <c r="AA34" s="276">
        <f>(Bygninger!L34*N34*1000)/1000</f>
        <v>0</v>
      </c>
      <c r="AB34" s="277"/>
      <c r="AC34" s="277"/>
      <c r="AD34" s="277"/>
      <c r="AE34" s="278"/>
    </row>
    <row r="35" spans="1:31" ht="14.25" outlineLevel="1">
      <c r="A35" s="24" t="s">
        <v>676</v>
      </c>
      <c r="B35" s="11" t="s">
        <v>20</v>
      </c>
      <c r="C35" s="12">
        <v>2</v>
      </c>
      <c r="D35" s="13">
        <v>5560</v>
      </c>
      <c r="E35" s="11" t="s">
        <v>7</v>
      </c>
      <c r="F35" s="15">
        <v>18676</v>
      </c>
      <c r="G35" s="14">
        <v>270</v>
      </c>
      <c r="H35" s="76">
        <v>3105</v>
      </c>
      <c r="I35" s="42"/>
      <c r="J35" s="43"/>
      <c r="K35" s="39"/>
      <c r="L35" s="20"/>
      <c r="M35" s="44"/>
      <c r="N35" s="378"/>
      <c r="O35" s="77">
        <v>3011</v>
      </c>
      <c r="P35" s="20"/>
      <c r="Q35" s="20"/>
      <c r="R35" s="14">
        <f t="shared" si="5"/>
        <v>33204.63888888889</v>
      </c>
      <c r="S35" s="14">
        <f t="shared" si="3"/>
        <v>11.5</v>
      </c>
      <c r="T35" s="14">
        <f t="shared" si="4"/>
        <v>122.98014403292181</v>
      </c>
      <c r="U35" s="30">
        <v>1949</v>
      </c>
      <c r="V35" s="31">
        <v>2000</v>
      </c>
      <c r="W35" s="31" t="s">
        <v>481</v>
      </c>
      <c r="X35" s="31" t="s">
        <v>482</v>
      </c>
      <c r="Y35" s="26"/>
      <c r="Z35" s="275"/>
      <c r="AA35" s="276">
        <f>(Bygninger!L35*N35*1000)/1000</f>
        <v>0</v>
      </c>
      <c r="AB35" s="277"/>
      <c r="AC35" s="277"/>
      <c r="AD35" s="277"/>
      <c r="AE35" s="278"/>
    </row>
    <row r="36" spans="1:31" ht="14.25" outlineLevel="1">
      <c r="A36" s="11" t="s">
        <v>82</v>
      </c>
      <c r="B36" s="11" t="s">
        <v>83</v>
      </c>
      <c r="C36" s="12">
        <v>4</v>
      </c>
      <c r="D36" s="13">
        <v>5560</v>
      </c>
      <c r="E36" s="11" t="s">
        <v>7</v>
      </c>
      <c r="F36" s="15">
        <v>18439</v>
      </c>
      <c r="G36" s="14">
        <v>1195</v>
      </c>
      <c r="H36" s="76">
        <v>38250</v>
      </c>
      <c r="I36" s="42"/>
      <c r="J36" s="43"/>
      <c r="K36" s="39"/>
      <c r="L36" s="20"/>
      <c r="M36" s="44"/>
      <c r="N36" s="380"/>
      <c r="O36" s="20"/>
      <c r="P36" s="77">
        <v>18905</v>
      </c>
      <c r="Q36" s="341"/>
      <c r="R36" s="14">
        <f t="shared" si="5"/>
        <v>188524.8611111111</v>
      </c>
      <c r="S36" s="14">
        <f t="shared" si="3"/>
        <v>32.00836820083682</v>
      </c>
      <c r="T36" s="14">
        <f t="shared" si="4"/>
        <v>157.761390051139</v>
      </c>
      <c r="U36" s="30">
        <v>1959</v>
      </c>
      <c r="V36" s="31">
        <v>1988</v>
      </c>
      <c r="W36" s="31" t="s">
        <v>374</v>
      </c>
      <c r="X36" s="31" t="s">
        <v>416</v>
      </c>
      <c r="Y36" s="26" t="s">
        <v>313</v>
      </c>
      <c r="Z36" s="275"/>
      <c r="AA36" s="276">
        <f>(Bygninger!L36*N36*1000)/1000</f>
        <v>0</v>
      </c>
      <c r="AB36" s="277"/>
      <c r="AC36" s="277"/>
      <c r="AD36" s="277"/>
      <c r="AE36" s="278"/>
    </row>
    <row r="37" spans="1:31" ht="14.25" outlineLevel="1">
      <c r="A37" s="11" t="s">
        <v>702</v>
      </c>
      <c r="B37" s="11" t="s">
        <v>21</v>
      </c>
      <c r="C37" s="12">
        <v>1</v>
      </c>
      <c r="D37" s="13">
        <v>5560</v>
      </c>
      <c r="E37" s="11" t="s">
        <v>7</v>
      </c>
      <c r="F37" s="15">
        <v>19438</v>
      </c>
      <c r="G37" s="14">
        <v>180</v>
      </c>
      <c r="H37" s="76">
        <v>5239</v>
      </c>
      <c r="I37" s="42"/>
      <c r="J37" s="43"/>
      <c r="K37" s="39"/>
      <c r="L37" s="20"/>
      <c r="M37" s="44"/>
      <c r="N37" s="378"/>
      <c r="O37" s="77">
        <v>0</v>
      </c>
      <c r="P37" s="20"/>
      <c r="Q37" s="20"/>
      <c r="R37" s="14">
        <f t="shared" si="5"/>
        <v>0</v>
      </c>
      <c r="S37" s="14">
        <f t="shared" si="3"/>
        <v>29.105555555555554</v>
      </c>
      <c r="T37" s="14">
        <f t="shared" si="4"/>
        <v>0</v>
      </c>
      <c r="U37" s="30">
        <v>1994</v>
      </c>
      <c r="V37" s="31" t="s">
        <v>199</v>
      </c>
      <c r="W37" s="31" t="s">
        <v>433</v>
      </c>
      <c r="X37" s="31" t="s">
        <v>434</v>
      </c>
      <c r="Y37" s="26"/>
      <c r="Z37" s="279"/>
      <c r="AA37" s="276">
        <f>(Bygninger!L37*N37*1000)/1000</f>
        <v>0</v>
      </c>
      <c r="AB37" s="280"/>
      <c r="AC37" s="280"/>
      <c r="AD37" s="280"/>
      <c r="AE37" s="281"/>
    </row>
    <row r="38" spans="1:31" s="56" customFormat="1" ht="15">
      <c r="A38" s="16" t="s">
        <v>497</v>
      </c>
      <c r="B38" s="16"/>
      <c r="C38" s="8"/>
      <c r="D38" s="7"/>
      <c r="E38" s="16"/>
      <c r="F38" s="10"/>
      <c r="G38" s="17">
        <f>SUM(G39:G56)</f>
        <v>97367</v>
      </c>
      <c r="H38" s="17">
        <f>SUM(H39:H56)</f>
        <v>1881296</v>
      </c>
      <c r="I38" s="17">
        <f>SUM(I39:I56)</f>
        <v>0</v>
      </c>
      <c r="J38" s="38"/>
      <c r="K38" s="62"/>
      <c r="L38" s="17">
        <f>SUM(L39:L56)</f>
        <v>5574.59</v>
      </c>
      <c r="M38" s="371"/>
      <c r="N38" s="379"/>
      <c r="O38" s="17">
        <f>SUM(O39:O56)</f>
        <v>357090</v>
      </c>
      <c r="P38" s="17">
        <f>SUM(P39:P56)</f>
        <v>58584</v>
      </c>
      <c r="Q38" s="17">
        <f>SUM(Q39:Q56)</f>
        <v>0</v>
      </c>
      <c r="R38" s="17">
        <f t="shared" si="5"/>
        <v>10096711.833333334</v>
      </c>
      <c r="S38" s="17">
        <f t="shared" si="3"/>
        <v>19.32170037076217</v>
      </c>
      <c r="T38" s="17">
        <f t="shared" si="4"/>
        <v>103.69747279194526</v>
      </c>
      <c r="U38" s="28"/>
      <c r="V38" s="63"/>
      <c r="W38" s="63"/>
      <c r="X38" s="63"/>
      <c r="Y38" s="36"/>
      <c r="Z38" s="270">
        <f>(Bygninger!H38*CO2_el)/1000</f>
        <v>824.007648</v>
      </c>
      <c r="AA38" s="270">
        <f>SUM(AA39:AA56)</f>
        <v>349.5549</v>
      </c>
      <c r="AB38" s="270">
        <f>(Bygninger!O38*CO2_naturgas)/1000</f>
        <v>801.66705</v>
      </c>
      <c r="AC38" s="270">
        <f>(Bygninger!P38*CO2_olie)/1000</f>
        <v>155.2476</v>
      </c>
      <c r="AD38" s="270">
        <f>SUM(AA38:AC38)</f>
        <v>1306.46955</v>
      </c>
      <c r="AE38" s="270">
        <f>Z38+AD38</f>
        <v>2130.477198</v>
      </c>
    </row>
    <row r="39" spans="1:31" ht="14.25" outlineLevel="1">
      <c r="A39" s="11" t="s">
        <v>141</v>
      </c>
      <c r="B39" s="11" t="s">
        <v>35</v>
      </c>
      <c r="C39" s="12">
        <v>29</v>
      </c>
      <c r="D39" s="13">
        <v>5610</v>
      </c>
      <c r="E39" s="11" t="s">
        <v>14</v>
      </c>
      <c r="F39" s="15">
        <v>3090</v>
      </c>
      <c r="G39" s="14">
        <v>11010</v>
      </c>
      <c r="H39" s="76">
        <v>280842</v>
      </c>
      <c r="I39" s="42"/>
      <c r="J39" s="43"/>
      <c r="K39" s="39"/>
      <c r="L39" s="77">
        <v>1044.36</v>
      </c>
      <c r="M39" s="45" t="s">
        <v>615</v>
      </c>
      <c r="N39" s="378">
        <f>Forudsætninger!B18</f>
        <v>0</v>
      </c>
      <c r="O39" s="20"/>
      <c r="P39" s="20"/>
      <c r="Q39" s="20"/>
      <c r="R39" s="14">
        <f t="shared" si="5"/>
        <v>1044359.9999999999</v>
      </c>
      <c r="S39" s="14">
        <f t="shared" si="3"/>
        <v>25.50790190735695</v>
      </c>
      <c r="T39" s="14">
        <f t="shared" si="4"/>
        <v>94.85558583106265</v>
      </c>
      <c r="U39" s="30" t="s">
        <v>208</v>
      </c>
      <c r="V39" s="31" t="s">
        <v>199</v>
      </c>
      <c r="W39" s="31" t="s">
        <v>371</v>
      </c>
      <c r="X39" s="31" t="s">
        <v>368</v>
      </c>
      <c r="Y39" s="26" t="s">
        <v>315</v>
      </c>
      <c r="Z39" s="271"/>
      <c r="AA39" s="272">
        <f>(Bygninger!L39*N39*1000)/1000</f>
        <v>0</v>
      </c>
      <c r="AB39" s="273"/>
      <c r="AC39" s="273"/>
      <c r="AD39" s="273"/>
      <c r="AE39" s="274"/>
    </row>
    <row r="40" spans="1:31" ht="14.25" outlineLevel="1">
      <c r="A40" s="24" t="s">
        <v>134</v>
      </c>
      <c r="B40" s="24" t="s">
        <v>34</v>
      </c>
      <c r="C40" s="18">
        <v>10</v>
      </c>
      <c r="D40" s="19">
        <v>5610</v>
      </c>
      <c r="E40" s="24" t="s">
        <v>14</v>
      </c>
      <c r="F40" s="21">
        <v>2526</v>
      </c>
      <c r="G40" s="20">
        <v>2067</v>
      </c>
      <c r="H40" s="76">
        <v>76020</v>
      </c>
      <c r="I40" s="44"/>
      <c r="J40" s="45"/>
      <c r="K40" s="40"/>
      <c r="L40" s="77">
        <v>244.72</v>
      </c>
      <c r="M40" s="45" t="s">
        <v>615</v>
      </c>
      <c r="N40" s="378">
        <f>Forudsætninger!B18</f>
        <v>0</v>
      </c>
      <c r="O40" s="20"/>
      <c r="P40" s="20"/>
      <c r="Q40" s="20"/>
      <c r="R40" s="14">
        <f t="shared" si="5"/>
        <v>244720</v>
      </c>
      <c r="S40" s="14">
        <f aca="true" t="shared" si="6" ref="S40:S102">H40/G40</f>
        <v>36.77793904208998</v>
      </c>
      <c r="T40" s="14">
        <f aca="true" t="shared" si="7" ref="T40:T102">R40/G40</f>
        <v>118.39380745041123</v>
      </c>
      <c r="U40" s="32" t="s">
        <v>209</v>
      </c>
      <c r="V40" s="31" t="s">
        <v>210</v>
      </c>
      <c r="W40" s="31" t="s">
        <v>396</v>
      </c>
      <c r="X40" s="31" t="s">
        <v>397</v>
      </c>
      <c r="Y40" s="26"/>
      <c r="Z40" s="275"/>
      <c r="AA40" s="276">
        <f>(Bygninger!L40*N40*1000)/1000</f>
        <v>0</v>
      </c>
      <c r="AB40" s="277"/>
      <c r="AC40" s="277"/>
      <c r="AD40" s="277"/>
      <c r="AE40" s="278"/>
    </row>
    <row r="41" spans="1:31" ht="14.25" outlineLevel="1">
      <c r="A41" s="24" t="s">
        <v>132</v>
      </c>
      <c r="B41" s="24" t="s">
        <v>36</v>
      </c>
      <c r="C41" s="18">
        <v>28</v>
      </c>
      <c r="D41" s="19">
        <v>5610</v>
      </c>
      <c r="E41" s="24" t="s">
        <v>14</v>
      </c>
      <c r="F41" s="21" t="s">
        <v>118</v>
      </c>
      <c r="G41" s="20">
        <v>3169</v>
      </c>
      <c r="H41" s="76">
        <v>80679</v>
      </c>
      <c r="I41" s="44"/>
      <c r="J41" s="45"/>
      <c r="K41" s="40"/>
      <c r="L41" s="20"/>
      <c r="M41" s="44"/>
      <c r="N41" s="380"/>
      <c r="O41" s="20"/>
      <c r="P41" s="77">
        <v>58584</v>
      </c>
      <c r="Q41" s="341"/>
      <c r="R41" s="14">
        <f t="shared" si="5"/>
        <v>584212.6666666666</v>
      </c>
      <c r="S41" s="14">
        <f t="shared" si="6"/>
        <v>25.458819816976963</v>
      </c>
      <c r="T41" s="14">
        <f t="shared" si="7"/>
        <v>184.35237193646785</v>
      </c>
      <c r="U41" s="32" t="s">
        <v>211</v>
      </c>
      <c r="V41" s="31" t="s">
        <v>212</v>
      </c>
      <c r="W41" s="31" t="s">
        <v>459</v>
      </c>
      <c r="X41" s="31" t="s">
        <v>460</v>
      </c>
      <c r="Y41" s="26" t="s">
        <v>316</v>
      </c>
      <c r="Z41" s="275"/>
      <c r="AA41" s="276">
        <f>(Bygninger!L41*N41*1000)/1000</f>
        <v>0</v>
      </c>
      <c r="AB41" s="277"/>
      <c r="AC41" s="277"/>
      <c r="AD41" s="277"/>
      <c r="AE41" s="278"/>
    </row>
    <row r="42" spans="1:31" ht="14.25" outlineLevel="1">
      <c r="A42" s="24" t="s">
        <v>125</v>
      </c>
      <c r="B42" s="24" t="s">
        <v>19</v>
      </c>
      <c r="C42" s="18">
        <v>4</v>
      </c>
      <c r="D42" s="19">
        <v>5631</v>
      </c>
      <c r="E42" s="24" t="s">
        <v>98</v>
      </c>
      <c r="F42" s="21">
        <v>3118</v>
      </c>
      <c r="G42" s="20">
        <v>6331</v>
      </c>
      <c r="H42" s="76">
        <v>117168</v>
      </c>
      <c r="I42" s="44"/>
      <c r="J42" s="45"/>
      <c r="K42" s="40"/>
      <c r="L42" s="20"/>
      <c r="M42" s="44"/>
      <c r="N42" s="378"/>
      <c r="O42" s="77">
        <v>66984</v>
      </c>
      <c r="P42" s="20"/>
      <c r="Q42" s="20"/>
      <c r="R42" s="14">
        <f t="shared" si="5"/>
        <v>738684.6666666667</v>
      </c>
      <c r="S42" s="14">
        <f t="shared" si="6"/>
        <v>18.507028905386196</v>
      </c>
      <c r="T42" s="14">
        <f t="shared" si="7"/>
        <v>116.6774074659085</v>
      </c>
      <c r="U42" s="32" t="s">
        <v>213</v>
      </c>
      <c r="V42" s="31" t="s">
        <v>216</v>
      </c>
      <c r="W42" s="31" t="s">
        <v>420</v>
      </c>
      <c r="X42" s="31" t="s">
        <v>421</v>
      </c>
      <c r="Y42" s="26"/>
      <c r="Z42" s="275"/>
      <c r="AA42" s="276">
        <f>(Bygninger!L42*N42*1000)/1000</f>
        <v>0</v>
      </c>
      <c r="AB42" s="277"/>
      <c r="AC42" s="277"/>
      <c r="AD42" s="277"/>
      <c r="AE42" s="278"/>
    </row>
    <row r="43" spans="1:31" ht="14.25" outlineLevel="1">
      <c r="A43" s="24" t="s">
        <v>136</v>
      </c>
      <c r="B43" s="24" t="s">
        <v>25</v>
      </c>
      <c r="C43" s="18" t="s">
        <v>171</v>
      </c>
      <c r="D43" s="19">
        <v>5620</v>
      </c>
      <c r="E43" s="24" t="s">
        <v>16</v>
      </c>
      <c r="F43" s="21">
        <v>6754</v>
      </c>
      <c r="G43" s="20">
        <v>2281</v>
      </c>
      <c r="H43" s="76">
        <v>47567</v>
      </c>
      <c r="I43" s="44"/>
      <c r="J43" s="45"/>
      <c r="K43" s="40"/>
      <c r="L43" s="20"/>
      <c r="M43" s="44"/>
      <c r="N43" s="378"/>
      <c r="O43" s="77">
        <v>27591</v>
      </c>
      <c r="P43" s="20"/>
      <c r="Q43" s="20"/>
      <c r="R43" s="14">
        <f t="shared" si="5"/>
        <v>304267.4166666667</v>
      </c>
      <c r="S43" s="14">
        <f t="shared" si="6"/>
        <v>20.853572994300745</v>
      </c>
      <c r="T43" s="14">
        <f t="shared" si="7"/>
        <v>133.39211603098056</v>
      </c>
      <c r="U43" s="32" t="s">
        <v>214</v>
      </c>
      <c r="V43" s="31" t="s">
        <v>215</v>
      </c>
      <c r="W43" s="31" t="s">
        <v>382</v>
      </c>
      <c r="X43" s="31" t="s">
        <v>383</v>
      </c>
      <c r="Y43" s="26"/>
      <c r="Z43" s="275"/>
      <c r="AA43" s="276">
        <f>(Bygninger!L43*N43*1000)/1000</f>
        <v>0</v>
      </c>
      <c r="AB43" s="277"/>
      <c r="AC43" s="277"/>
      <c r="AD43" s="277"/>
      <c r="AE43" s="278"/>
    </row>
    <row r="44" spans="1:31" ht="14.25" outlineLevel="1">
      <c r="A44" s="24" t="s">
        <v>126</v>
      </c>
      <c r="B44" s="24" t="s">
        <v>23</v>
      </c>
      <c r="C44" s="18">
        <v>10</v>
      </c>
      <c r="D44" s="19">
        <v>5620</v>
      </c>
      <c r="E44" s="24" t="s">
        <v>16</v>
      </c>
      <c r="F44" s="21" t="s">
        <v>253</v>
      </c>
      <c r="G44" s="20">
        <v>7568</v>
      </c>
      <c r="H44" s="76">
        <v>141928</v>
      </c>
      <c r="I44" s="44"/>
      <c r="J44" s="45"/>
      <c r="K44" s="40"/>
      <c r="L44" s="77">
        <v>791.8</v>
      </c>
      <c r="M44" s="45" t="s">
        <v>617</v>
      </c>
      <c r="N44" s="378">
        <f>Forudsætninger!B19</f>
        <v>0.1021</v>
      </c>
      <c r="O44" s="20"/>
      <c r="P44" s="20"/>
      <c r="Q44" s="20"/>
      <c r="R44" s="14">
        <f t="shared" si="5"/>
        <v>791800</v>
      </c>
      <c r="S44" s="14">
        <f t="shared" si="6"/>
        <v>18.75369978858351</v>
      </c>
      <c r="T44" s="14">
        <f t="shared" si="7"/>
        <v>104.6247357293869</v>
      </c>
      <c r="U44" s="32" t="s">
        <v>217</v>
      </c>
      <c r="V44" s="31" t="s">
        <v>218</v>
      </c>
      <c r="W44" s="31" t="s">
        <v>372</v>
      </c>
      <c r="X44" s="31" t="s">
        <v>373</v>
      </c>
      <c r="Y44" s="26"/>
      <c r="Z44" s="275"/>
      <c r="AA44" s="276">
        <f>(Bygninger!L44*N44*1000)/1000</f>
        <v>80.84277999999999</v>
      </c>
      <c r="AB44" s="277"/>
      <c r="AC44" s="277"/>
      <c r="AD44" s="277"/>
      <c r="AE44" s="278"/>
    </row>
    <row r="45" spans="1:31" ht="14.25" outlineLevel="1">
      <c r="A45" s="24" t="s">
        <v>135</v>
      </c>
      <c r="B45" s="24" t="s">
        <v>24</v>
      </c>
      <c r="C45" s="18">
        <v>57</v>
      </c>
      <c r="D45" s="19">
        <v>5620</v>
      </c>
      <c r="E45" s="24" t="s">
        <v>16</v>
      </c>
      <c r="F45" s="21">
        <v>5914</v>
      </c>
      <c r="G45" s="20">
        <v>2022</v>
      </c>
      <c r="H45" s="76">
        <v>52629</v>
      </c>
      <c r="I45" s="44"/>
      <c r="J45" s="45"/>
      <c r="K45" s="40"/>
      <c r="L45" s="341"/>
      <c r="M45" s="45"/>
      <c r="N45" s="378"/>
      <c r="O45" s="77">
        <v>30909</v>
      </c>
      <c r="P45" s="20"/>
      <c r="Q45" s="20"/>
      <c r="R45" s="14">
        <f t="shared" si="5"/>
        <v>340857.5833333333</v>
      </c>
      <c r="S45" s="14">
        <f t="shared" si="6"/>
        <v>26.02818991097923</v>
      </c>
      <c r="T45" s="14">
        <f t="shared" si="7"/>
        <v>168.57447246950213</v>
      </c>
      <c r="U45" s="32" t="s">
        <v>219</v>
      </c>
      <c r="V45" s="31" t="s">
        <v>220</v>
      </c>
      <c r="W45" s="31" t="s">
        <v>412</v>
      </c>
      <c r="X45" s="31" t="s">
        <v>413</v>
      </c>
      <c r="Y45" s="26"/>
      <c r="Z45" s="275"/>
      <c r="AA45" s="276">
        <f>(Bygninger!L45*N45*1000)/1000</f>
        <v>0</v>
      </c>
      <c r="AB45" s="277"/>
      <c r="AC45" s="277"/>
      <c r="AD45" s="277"/>
      <c r="AE45" s="278"/>
    </row>
    <row r="46" spans="1:31" ht="14.25" outlineLevel="1">
      <c r="A46" s="24" t="s">
        <v>127</v>
      </c>
      <c r="B46" s="24" t="s">
        <v>33</v>
      </c>
      <c r="C46" s="18">
        <v>27</v>
      </c>
      <c r="D46" s="19">
        <v>5683</v>
      </c>
      <c r="E46" s="24" t="s">
        <v>12</v>
      </c>
      <c r="F46" s="21">
        <v>9772</v>
      </c>
      <c r="G46" s="20">
        <v>1921</v>
      </c>
      <c r="H46" s="76">
        <v>54946</v>
      </c>
      <c r="I46" s="44"/>
      <c r="J46" s="45"/>
      <c r="K46" s="40"/>
      <c r="L46" s="341"/>
      <c r="M46" s="45"/>
      <c r="N46" s="378"/>
      <c r="O46" s="77">
        <v>34324</v>
      </c>
      <c r="P46" s="20"/>
      <c r="Q46" s="20"/>
      <c r="R46" s="14">
        <f t="shared" si="5"/>
        <v>378517.44444444444</v>
      </c>
      <c r="S46" s="14">
        <f t="shared" si="6"/>
        <v>28.60281103591879</v>
      </c>
      <c r="T46" s="14">
        <f t="shared" si="7"/>
        <v>197.04187633755566</v>
      </c>
      <c r="U46" s="32" t="s">
        <v>221</v>
      </c>
      <c r="V46" s="31" t="s">
        <v>222</v>
      </c>
      <c r="W46" s="31" t="s">
        <v>378</v>
      </c>
      <c r="X46" s="31" t="s">
        <v>379</v>
      </c>
      <c r="Y46" s="26"/>
      <c r="Z46" s="275"/>
      <c r="AA46" s="276">
        <f>(Bygninger!L46*N46*1000)/1000</f>
        <v>0</v>
      </c>
      <c r="AB46" s="277"/>
      <c r="AC46" s="277"/>
      <c r="AD46" s="277"/>
      <c r="AE46" s="278"/>
    </row>
    <row r="47" spans="1:31" ht="14.25" outlineLevel="1">
      <c r="A47" s="24" t="s">
        <v>164</v>
      </c>
      <c r="B47" s="24" t="s">
        <v>32</v>
      </c>
      <c r="C47" s="18" t="s">
        <v>182</v>
      </c>
      <c r="D47" s="19">
        <v>5683</v>
      </c>
      <c r="E47" s="24" t="s">
        <v>12</v>
      </c>
      <c r="F47" s="21" t="s">
        <v>119</v>
      </c>
      <c r="G47" s="20">
        <v>6705</v>
      </c>
      <c r="H47" s="76">
        <v>147707</v>
      </c>
      <c r="I47" s="44"/>
      <c r="J47" s="45"/>
      <c r="K47" s="40"/>
      <c r="L47" s="77">
        <v>800</v>
      </c>
      <c r="M47" s="45" t="s">
        <v>618</v>
      </c>
      <c r="N47" s="378">
        <f>Forudsætninger!B20</f>
        <v>0.143</v>
      </c>
      <c r="O47" s="20"/>
      <c r="P47" s="20"/>
      <c r="Q47" s="20"/>
      <c r="R47" s="14">
        <f t="shared" si="5"/>
        <v>800000</v>
      </c>
      <c r="S47" s="14">
        <f t="shared" si="6"/>
        <v>22.02938105891126</v>
      </c>
      <c r="T47" s="14">
        <f t="shared" si="7"/>
        <v>119.31394481730052</v>
      </c>
      <c r="U47" s="32" t="s">
        <v>223</v>
      </c>
      <c r="V47" s="31" t="s">
        <v>224</v>
      </c>
      <c r="W47" s="31" t="s">
        <v>374</v>
      </c>
      <c r="X47" s="31" t="s">
        <v>375</v>
      </c>
      <c r="Y47" s="26"/>
      <c r="Z47" s="275"/>
      <c r="AA47" s="276">
        <f>(Bygninger!L47*N47*1000)/1000</f>
        <v>114.39999999999999</v>
      </c>
      <c r="AB47" s="277"/>
      <c r="AC47" s="277"/>
      <c r="AD47" s="277"/>
      <c r="AE47" s="278"/>
    </row>
    <row r="48" spans="1:31" ht="14.25" outlineLevel="1">
      <c r="A48" s="24" t="s">
        <v>173</v>
      </c>
      <c r="B48" s="24" t="s">
        <v>28</v>
      </c>
      <c r="C48" s="18" t="s">
        <v>181</v>
      </c>
      <c r="D48" s="19">
        <v>5690</v>
      </c>
      <c r="E48" s="24" t="s">
        <v>9</v>
      </c>
      <c r="F48" s="21">
        <v>13089</v>
      </c>
      <c r="G48" s="20">
        <v>4721</v>
      </c>
      <c r="H48" s="76">
        <v>80520</v>
      </c>
      <c r="I48" s="44"/>
      <c r="J48" s="45"/>
      <c r="K48" s="40"/>
      <c r="L48" s="20"/>
      <c r="M48" s="44"/>
      <c r="N48" s="378"/>
      <c r="O48" s="77">
        <v>27958</v>
      </c>
      <c r="P48" s="20"/>
      <c r="Q48" s="20"/>
      <c r="R48" s="14">
        <f t="shared" si="5"/>
        <v>308314.6111111111</v>
      </c>
      <c r="S48" s="14">
        <f t="shared" si="6"/>
        <v>17.05570853632705</v>
      </c>
      <c r="T48" s="14">
        <f t="shared" si="7"/>
        <v>65.30705594389136</v>
      </c>
      <c r="U48" s="32" t="s">
        <v>225</v>
      </c>
      <c r="V48" s="31" t="s">
        <v>226</v>
      </c>
      <c r="W48" s="31" t="s">
        <v>390</v>
      </c>
      <c r="X48" s="31" t="s">
        <v>391</v>
      </c>
      <c r="Y48" s="26"/>
      <c r="Z48" s="275"/>
      <c r="AA48" s="276">
        <f>(Bygninger!L48*N48*1000)/1000</f>
        <v>0</v>
      </c>
      <c r="AB48" s="277"/>
      <c r="AC48" s="277"/>
      <c r="AD48" s="277"/>
      <c r="AE48" s="278"/>
    </row>
    <row r="49" spans="1:31" ht="14.25" outlineLevel="1">
      <c r="A49" s="24" t="s">
        <v>174</v>
      </c>
      <c r="B49" s="24" t="s">
        <v>175</v>
      </c>
      <c r="C49" s="25" t="s">
        <v>183</v>
      </c>
      <c r="D49" s="19">
        <v>5690</v>
      </c>
      <c r="E49" s="24" t="s">
        <v>9</v>
      </c>
      <c r="F49" s="21">
        <v>13035</v>
      </c>
      <c r="G49" s="20">
        <v>8039</v>
      </c>
      <c r="H49" s="76">
        <v>142084</v>
      </c>
      <c r="I49" s="423"/>
      <c r="J49" s="45"/>
      <c r="K49" s="40"/>
      <c r="L49" s="77">
        <v>751.64</v>
      </c>
      <c r="M49" s="45" t="s">
        <v>698</v>
      </c>
      <c r="N49" s="378">
        <f>Forudsætninger!B23</f>
        <v>0.0878</v>
      </c>
      <c r="O49" s="20"/>
      <c r="P49" s="20"/>
      <c r="Q49" s="20"/>
      <c r="R49" s="14">
        <f t="shared" si="5"/>
        <v>751640</v>
      </c>
      <c r="S49" s="408">
        <f>SUM(H49:H51)/G49</f>
        <v>21.67769623087449</v>
      </c>
      <c r="T49" s="408">
        <f>SUM(R49:R51)/G49</f>
        <v>99.82958079363105</v>
      </c>
      <c r="U49" s="32" t="s">
        <v>227</v>
      </c>
      <c r="V49" s="31" t="s">
        <v>228</v>
      </c>
      <c r="W49" s="31" t="s">
        <v>384</v>
      </c>
      <c r="X49" s="31" t="s">
        <v>385</v>
      </c>
      <c r="Y49" s="26"/>
      <c r="Z49" s="275"/>
      <c r="AA49" s="276">
        <f>(Bygninger!L49*N49*1000)/1000</f>
        <v>65.99399200000002</v>
      </c>
      <c r="AB49" s="277"/>
      <c r="AC49" s="277"/>
      <c r="AD49" s="277"/>
      <c r="AE49" s="278"/>
    </row>
    <row r="50" spans="1:31" ht="14.25" outlineLevel="1">
      <c r="A50" s="24"/>
      <c r="B50" s="24"/>
      <c r="C50" s="25"/>
      <c r="D50" s="19"/>
      <c r="E50" s="24"/>
      <c r="F50" s="21"/>
      <c r="G50" s="20" t="s">
        <v>487</v>
      </c>
      <c r="H50" s="76">
        <v>31203</v>
      </c>
      <c r="I50" s="424"/>
      <c r="J50" s="45"/>
      <c r="K50" s="40"/>
      <c r="L50" s="77">
        <v>28.15</v>
      </c>
      <c r="M50" s="45" t="s">
        <v>698</v>
      </c>
      <c r="N50" s="378">
        <f>Forudsætninger!B23</f>
        <v>0.0878</v>
      </c>
      <c r="O50" s="20"/>
      <c r="P50" s="20"/>
      <c r="Q50" s="20"/>
      <c r="R50" s="14">
        <f t="shared" si="5"/>
        <v>28150</v>
      </c>
      <c r="S50" s="409"/>
      <c r="T50" s="409"/>
      <c r="U50" s="32"/>
      <c r="V50" s="31"/>
      <c r="W50" s="31"/>
      <c r="X50" s="31"/>
      <c r="Y50" s="26"/>
      <c r="Z50" s="275"/>
      <c r="AA50" s="276">
        <f>(Bygninger!L50*N50*1000)/1000</f>
        <v>2.47157</v>
      </c>
      <c r="AB50" s="277"/>
      <c r="AC50" s="277"/>
      <c r="AD50" s="277"/>
      <c r="AE50" s="278"/>
    </row>
    <row r="51" spans="1:31" ht="14.25" outlineLevel="1">
      <c r="A51" s="24"/>
      <c r="B51" s="24"/>
      <c r="C51" s="25"/>
      <c r="D51" s="19"/>
      <c r="E51" s="24"/>
      <c r="F51" s="21"/>
      <c r="G51" s="20" t="s">
        <v>669</v>
      </c>
      <c r="H51" s="76">
        <v>980</v>
      </c>
      <c r="I51" s="425"/>
      <c r="J51" s="45"/>
      <c r="K51" s="40"/>
      <c r="L51" s="77">
        <v>22.74</v>
      </c>
      <c r="M51" s="45" t="s">
        <v>698</v>
      </c>
      <c r="N51" s="378">
        <f>Forudsætninger!B23</f>
        <v>0.0878</v>
      </c>
      <c r="O51" s="20"/>
      <c r="P51" s="20"/>
      <c r="Q51" s="20"/>
      <c r="R51" s="14">
        <f t="shared" si="5"/>
        <v>22740</v>
      </c>
      <c r="S51" s="410"/>
      <c r="T51" s="410"/>
      <c r="U51" s="32"/>
      <c r="V51" s="31"/>
      <c r="W51" s="31"/>
      <c r="X51" s="31"/>
      <c r="Y51" s="26"/>
      <c r="Z51" s="275"/>
      <c r="AA51" s="276">
        <f>(Bygninger!L51*N51*1000)/1000</f>
        <v>1.996572</v>
      </c>
      <c r="AB51" s="277"/>
      <c r="AC51" s="277"/>
      <c r="AD51" s="277"/>
      <c r="AE51" s="278"/>
    </row>
    <row r="52" spans="1:31" ht="14.25" outlineLevel="1">
      <c r="A52" s="24" t="s">
        <v>176</v>
      </c>
      <c r="B52" s="24" t="s">
        <v>177</v>
      </c>
      <c r="C52" s="25" t="s">
        <v>184</v>
      </c>
      <c r="D52" s="19">
        <v>5690</v>
      </c>
      <c r="E52" s="24" t="s">
        <v>9</v>
      </c>
      <c r="F52" s="21" t="s">
        <v>178</v>
      </c>
      <c r="G52" s="20">
        <v>9334</v>
      </c>
      <c r="H52" s="76">
        <v>120479</v>
      </c>
      <c r="I52" s="44"/>
      <c r="J52" s="45"/>
      <c r="K52" s="40"/>
      <c r="L52" s="77">
        <v>877.68</v>
      </c>
      <c r="M52" s="45" t="s">
        <v>690</v>
      </c>
      <c r="N52" s="378">
        <f>Forudsætninger!B21</f>
        <v>0.0102</v>
      </c>
      <c r="O52" s="20"/>
      <c r="P52" s="20"/>
      <c r="Q52" s="20"/>
      <c r="R52" s="14">
        <f t="shared" si="5"/>
        <v>877680</v>
      </c>
      <c r="S52" s="14">
        <f t="shared" si="6"/>
        <v>12.907542318405827</v>
      </c>
      <c r="T52" s="14">
        <f t="shared" si="7"/>
        <v>94.03042639811441</v>
      </c>
      <c r="U52" s="32" t="s">
        <v>229</v>
      </c>
      <c r="V52" s="31" t="s">
        <v>230</v>
      </c>
      <c r="W52" s="31" t="s">
        <v>392</v>
      </c>
      <c r="X52" s="31" t="s">
        <v>393</v>
      </c>
      <c r="Y52" s="26"/>
      <c r="Z52" s="275"/>
      <c r="AA52" s="276">
        <f>(Bygninger!L52*N52*1000)/1000</f>
        <v>8.952336</v>
      </c>
      <c r="AB52" s="277"/>
      <c r="AC52" s="277"/>
      <c r="AD52" s="277"/>
      <c r="AE52" s="278"/>
    </row>
    <row r="53" spans="1:31" ht="14.25" outlineLevel="1">
      <c r="A53" s="24" t="s">
        <v>137</v>
      </c>
      <c r="B53" s="24" t="s">
        <v>29</v>
      </c>
      <c r="C53" s="18">
        <v>1</v>
      </c>
      <c r="D53" s="19">
        <v>5690</v>
      </c>
      <c r="E53" s="24" t="s">
        <v>9</v>
      </c>
      <c r="F53" s="21">
        <v>11958</v>
      </c>
      <c r="G53" s="20">
        <v>7479</v>
      </c>
      <c r="H53" s="76">
        <v>60428</v>
      </c>
      <c r="I53" s="44"/>
      <c r="J53" s="45"/>
      <c r="K53" s="40"/>
      <c r="L53" s="20"/>
      <c r="M53" s="44"/>
      <c r="N53" s="378"/>
      <c r="O53" s="77">
        <v>36264</v>
      </c>
      <c r="P53" s="20"/>
      <c r="Q53" s="20"/>
      <c r="R53" s="14">
        <f t="shared" si="5"/>
        <v>399911.3333333333</v>
      </c>
      <c r="S53" s="14">
        <f t="shared" si="6"/>
        <v>8.07968979810135</v>
      </c>
      <c r="T53" s="14">
        <f t="shared" si="7"/>
        <v>53.47123055666978</v>
      </c>
      <c r="U53" s="32" t="s">
        <v>231</v>
      </c>
      <c r="V53" s="31" t="s">
        <v>232</v>
      </c>
      <c r="W53" s="31" t="s">
        <v>394</v>
      </c>
      <c r="X53" s="31" t="s">
        <v>395</v>
      </c>
      <c r="Y53" s="26"/>
      <c r="Z53" s="275"/>
      <c r="AA53" s="276">
        <f>(Bygninger!L53*N53*1000)/1000</f>
        <v>0</v>
      </c>
      <c r="AB53" s="277"/>
      <c r="AC53" s="277"/>
      <c r="AD53" s="277"/>
      <c r="AE53" s="278"/>
    </row>
    <row r="54" spans="1:31" ht="14.25" outlineLevel="1">
      <c r="A54" s="24" t="s">
        <v>179</v>
      </c>
      <c r="B54" s="24" t="s">
        <v>31</v>
      </c>
      <c r="C54" s="18">
        <v>84</v>
      </c>
      <c r="D54" s="19">
        <v>5492</v>
      </c>
      <c r="E54" s="24" t="s">
        <v>11</v>
      </c>
      <c r="F54" s="21" t="s">
        <v>271</v>
      </c>
      <c r="G54" s="20">
        <v>3887</v>
      </c>
      <c r="H54" s="76">
        <v>49605</v>
      </c>
      <c r="I54" s="44"/>
      <c r="J54" s="45"/>
      <c r="K54" s="40"/>
      <c r="L54" s="20"/>
      <c r="M54" s="44"/>
      <c r="N54" s="378"/>
      <c r="O54" s="77">
        <v>36138</v>
      </c>
      <c r="P54" s="20"/>
      <c r="Q54" s="20"/>
      <c r="R54" s="14">
        <f t="shared" si="5"/>
        <v>398521.8333333334</v>
      </c>
      <c r="S54" s="14">
        <f t="shared" si="6"/>
        <v>12.761770002572678</v>
      </c>
      <c r="T54" s="14">
        <f t="shared" si="7"/>
        <v>102.52684160878142</v>
      </c>
      <c r="U54" s="32" t="s">
        <v>272</v>
      </c>
      <c r="V54" s="31" t="s">
        <v>224</v>
      </c>
      <c r="W54" s="31" t="s">
        <v>388</v>
      </c>
      <c r="X54" s="31" t="s">
        <v>389</v>
      </c>
      <c r="Y54" s="26"/>
      <c r="Z54" s="275"/>
      <c r="AA54" s="276">
        <f>(Bygninger!L54*N54*1000)/1000</f>
        <v>0</v>
      </c>
      <c r="AB54" s="277"/>
      <c r="AC54" s="277"/>
      <c r="AD54" s="277"/>
      <c r="AE54" s="278"/>
    </row>
    <row r="55" spans="1:31" ht="14.25" outlineLevel="1">
      <c r="A55" s="24" t="s">
        <v>142</v>
      </c>
      <c r="B55" s="24" t="s">
        <v>30</v>
      </c>
      <c r="C55" s="18" t="s">
        <v>180</v>
      </c>
      <c r="D55" s="19">
        <v>5492</v>
      </c>
      <c r="E55" s="24" t="s">
        <v>11</v>
      </c>
      <c r="F55" s="21">
        <v>16148</v>
      </c>
      <c r="G55" s="20">
        <v>12314</v>
      </c>
      <c r="H55" s="76">
        <v>186004</v>
      </c>
      <c r="I55" s="44"/>
      <c r="J55" s="45"/>
      <c r="K55" s="40"/>
      <c r="L55" s="77">
        <v>1013.5</v>
      </c>
      <c r="M55" s="45" t="s">
        <v>616</v>
      </c>
      <c r="N55" s="378">
        <f>Forudsætninger!B22</f>
        <v>0.0739</v>
      </c>
      <c r="O55" s="20"/>
      <c r="P55" s="20"/>
      <c r="Q55" s="20"/>
      <c r="R55" s="14">
        <f>L55*1000+O55*energiindhold_naturgas/3.6+P55*energiindhold_olie/3.6</f>
        <v>1013500</v>
      </c>
      <c r="S55" s="14">
        <f t="shared" si="6"/>
        <v>15.105083644632126</v>
      </c>
      <c r="T55" s="14">
        <f t="shared" si="7"/>
        <v>82.30469384440474</v>
      </c>
      <c r="U55" s="32" t="s">
        <v>234</v>
      </c>
      <c r="V55" s="31" t="s">
        <v>235</v>
      </c>
      <c r="W55" s="31" t="s">
        <v>410</v>
      </c>
      <c r="X55" s="31" t="s">
        <v>411</v>
      </c>
      <c r="Y55" s="26" t="s">
        <v>245</v>
      </c>
      <c r="Z55" s="275"/>
      <c r="AA55" s="276">
        <f>(Bygninger!L55*N55*1000)/1000</f>
        <v>74.89765</v>
      </c>
      <c r="AB55" s="277"/>
      <c r="AC55" s="277"/>
      <c r="AD55" s="277"/>
      <c r="AE55" s="278"/>
    </row>
    <row r="56" spans="1:31" ht="14.25" outlineLevel="1">
      <c r="A56" s="24" t="s">
        <v>166</v>
      </c>
      <c r="B56" s="24" t="s">
        <v>8</v>
      </c>
      <c r="C56" s="18" t="s">
        <v>167</v>
      </c>
      <c r="D56" s="19">
        <v>5560</v>
      </c>
      <c r="E56" s="24" t="s">
        <v>7</v>
      </c>
      <c r="F56" s="21">
        <v>18297</v>
      </c>
      <c r="G56" s="20">
        <v>8519</v>
      </c>
      <c r="H56" s="76">
        <v>210507</v>
      </c>
      <c r="I56" s="44"/>
      <c r="J56" s="45"/>
      <c r="K56" s="40"/>
      <c r="L56" s="20"/>
      <c r="M56" s="44"/>
      <c r="N56" s="378"/>
      <c r="O56" s="357">
        <v>96922</v>
      </c>
      <c r="P56" s="20"/>
      <c r="Q56" s="20"/>
      <c r="R56" s="14">
        <f t="shared" si="5"/>
        <v>1068834.2777777778</v>
      </c>
      <c r="S56" s="14">
        <f t="shared" si="6"/>
        <v>24.7102946355206</v>
      </c>
      <c r="T56" s="14">
        <f t="shared" si="7"/>
        <v>125.46475851364923</v>
      </c>
      <c r="U56" s="32" t="s">
        <v>237</v>
      </c>
      <c r="V56" s="31" t="s">
        <v>238</v>
      </c>
      <c r="W56" s="31" t="s">
        <v>376</v>
      </c>
      <c r="X56" s="31" t="s">
        <v>377</v>
      </c>
      <c r="Y56" s="26"/>
      <c r="Z56" s="275"/>
      <c r="AA56" s="276">
        <f>(Bygninger!L56*N56*1000)/1000</f>
        <v>0</v>
      </c>
      <c r="AB56" s="277"/>
      <c r="AC56" s="277"/>
      <c r="AD56" s="277"/>
      <c r="AE56" s="278"/>
    </row>
    <row r="57" spans="1:31" s="56" customFormat="1" ht="15">
      <c r="A57" s="16" t="s">
        <v>498</v>
      </c>
      <c r="B57" s="16"/>
      <c r="C57" s="8"/>
      <c r="D57" s="7"/>
      <c r="E57" s="16"/>
      <c r="F57" s="10"/>
      <c r="G57" s="17">
        <f>SUM(G58:G85)</f>
        <v>17954</v>
      </c>
      <c r="H57" s="17">
        <f>SUM(H58:H85)</f>
        <v>505477</v>
      </c>
      <c r="I57" s="17">
        <f>SUM(I58:I85)</f>
        <v>2204</v>
      </c>
      <c r="J57" s="38"/>
      <c r="K57" s="62"/>
      <c r="L57" s="17">
        <f>SUM(L58:L85)</f>
        <v>735.509</v>
      </c>
      <c r="M57" s="371"/>
      <c r="N57" s="379"/>
      <c r="O57" s="17">
        <f>SUM(O58:O85)</f>
        <v>100926</v>
      </c>
      <c r="P57" s="17">
        <f>SUM(P58:P85)</f>
        <v>33375</v>
      </c>
      <c r="Q57" s="17">
        <f>SUM(Q58:Q85)</f>
        <v>0</v>
      </c>
      <c r="R57" s="17">
        <f t="shared" si="5"/>
        <v>2181321.4166666665</v>
      </c>
      <c r="S57" s="17">
        <f>H57/G57</f>
        <v>28.15400467862315</v>
      </c>
      <c r="T57" s="17">
        <f t="shared" si="7"/>
        <v>121.49501039694032</v>
      </c>
      <c r="U57" s="28"/>
      <c r="V57" s="63"/>
      <c r="W57" s="63"/>
      <c r="X57" s="63"/>
      <c r="Y57" s="36"/>
      <c r="Z57" s="270">
        <f>(Bygninger!H57*CO2_el)/1000</f>
        <v>221.39892600000002</v>
      </c>
      <c r="AA57" s="270">
        <f>SUM(AA58:AA85)</f>
        <v>36.9270224</v>
      </c>
      <c r="AB57" s="270">
        <f>(Bygninger!O57*CO2_naturgas)/1000</f>
        <v>226.57887000000002</v>
      </c>
      <c r="AC57" s="270">
        <f>(Bygninger!P57*CO2_olie)/1000</f>
        <v>88.44375</v>
      </c>
      <c r="AD57" s="270">
        <f>SUM(AA57:AC57)</f>
        <v>351.9496424</v>
      </c>
      <c r="AE57" s="270">
        <f>Z57+AD57</f>
        <v>573.3485684</v>
      </c>
    </row>
    <row r="58" spans="1:31" s="1" customFormat="1" ht="14.25" outlineLevel="1">
      <c r="A58" s="11" t="s">
        <v>128</v>
      </c>
      <c r="B58" s="11" t="s">
        <v>55</v>
      </c>
      <c r="C58" s="12">
        <v>76</v>
      </c>
      <c r="D58" s="13">
        <v>5610</v>
      </c>
      <c r="E58" s="11" t="s">
        <v>14</v>
      </c>
      <c r="F58" s="15">
        <v>4844</v>
      </c>
      <c r="G58" s="14">
        <v>867</v>
      </c>
      <c r="H58" s="76">
        <v>22469</v>
      </c>
      <c r="I58" s="42"/>
      <c r="J58" s="43"/>
      <c r="K58" s="39"/>
      <c r="L58" s="77">
        <v>50.54</v>
      </c>
      <c r="M58" s="45" t="s">
        <v>615</v>
      </c>
      <c r="N58" s="378">
        <f>Forudsætninger!B18</f>
        <v>0</v>
      </c>
      <c r="O58" s="20"/>
      <c r="P58" s="20"/>
      <c r="Q58" s="20"/>
      <c r="R58" s="14">
        <f t="shared" si="5"/>
        <v>50540</v>
      </c>
      <c r="S58" s="14">
        <f t="shared" si="6"/>
        <v>25.915801614763552</v>
      </c>
      <c r="T58" s="14">
        <f t="shared" si="7"/>
        <v>58.292964244521336</v>
      </c>
      <c r="U58" s="30" t="s">
        <v>240</v>
      </c>
      <c r="V58" s="33" t="s">
        <v>199</v>
      </c>
      <c r="W58" s="33" t="s">
        <v>324</v>
      </c>
      <c r="X58" s="33" t="s">
        <v>325</v>
      </c>
      <c r="Y58" s="27"/>
      <c r="Z58" s="285"/>
      <c r="AA58" s="272">
        <f>(Bygninger!L58*N58*1000)/1000</f>
        <v>0</v>
      </c>
      <c r="AB58" s="286"/>
      <c r="AC58" s="286"/>
      <c r="AD58" s="286"/>
      <c r="AE58" s="287"/>
    </row>
    <row r="59" spans="1:31" s="1" customFormat="1" ht="14.25" outlineLevel="1">
      <c r="A59" s="11" t="s">
        <v>143</v>
      </c>
      <c r="B59" s="11" t="s">
        <v>56</v>
      </c>
      <c r="C59" s="12">
        <v>8</v>
      </c>
      <c r="D59" s="13">
        <v>5610</v>
      </c>
      <c r="E59" s="11" t="s">
        <v>14</v>
      </c>
      <c r="F59" s="15">
        <v>1714</v>
      </c>
      <c r="G59" s="14">
        <v>1225</v>
      </c>
      <c r="H59" s="76">
        <v>16044</v>
      </c>
      <c r="I59" s="42"/>
      <c r="J59" s="43"/>
      <c r="K59" s="39"/>
      <c r="L59" s="20"/>
      <c r="M59" s="44"/>
      <c r="N59" s="380"/>
      <c r="O59" s="20"/>
      <c r="P59" s="77">
        <v>3374</v>
      </c>
      <c r="Q59" s="341"/>
      <c r="R59" s="14">
        <f t="shared" si="5"/>
        <v>33646.277777777774</v>
      </c>
      <c r="S59" s="14">
        <f t="shared" si="6"/>
        <v>13.097142857142858</v>
      </c>
      <c r="T59" s="14">
        <f t="shared" si="7"/>
        <v>27.466349206349204</v>
      </c>
      <c r="U59" s="30" t="s">
        <v>241</v>
      </c>
      <c r="V59" s="33" t="s">
        <v>242</v>
      </c>
      <c r="W59" s="33" t="s">
        <v>326</v>
      </c>
      <c r="X59" s="33" t="s">
        <v>327</v>
      </c>
      <c r="Y59" s="27"/>
      <c r="Z59" s="288"/>
      <c r="AA59" s="276">
        <f>(Bygninger!L59*N59*1000)/1000</f>
        <v>0</v>
      </c>
      <c r="AB59" s="289"/>
      <c r="AC59" s="289"/>
      <c r="AD59" s="289"/>
      <c r="AE59" s="290"/>
    </row>
    <row r="60" spans="1:31" s="1" customFormat="1" ht="14.25" outlineLevel="1">
      <c r="A60" s="24" t="s">
        <v>159</v>
      </c>
      <c r="B60" s="24" t="s">
        <v>58</v>
      </c>
      <c r="C60" s="18">
        <v>93</v>
      </c>
      <c r="D60" s="19">
        <v>5610</v>
      </c>
      <c r="E60" s="24" t="s">
        <v>14</v>
      </c>
      <c r="F60" s="21">
        <v>4944</v>
      </c>
      <c r="G60" s="20">
        <v>884</v>
      </c>
      <c r="H60" s="76">
        <v>25420</v>
      </c>
      <c r="I60" s="44"/>
      <c r="J60" s="45"/>
      <c r="K60" s="40"/>
      <c r="L60" s="77">
        <v>124.605</v>
      </c>
      <c r="M60" s="45" t="s">
        <v>615</v>
      </c>
      <c r="N60" s="378">
        <f>Forudsætninger!B18</f>
        <v>0</v>
      </c>
      <c r="O60" s="20"/>
      <c r="P60" s="20"/>
      <c r="Q60" s="20"/>
      <c r="R60" s="14">
        <f t="shared" si="5"/>
        <v>124605</v>
      </c>
      <c r="S60" s="14">
        <f t="shared" si="6"/>
        <v>28.755656108597286</v>
      </c>
      <c r="T60" s="14">
        <f t="shared" si="7"/>
        <v>140.9558823529412</v>
      </c>
      <c r="U60" s="32" t="s">
        <v>243</v>
      </c>
      <c r="V60" s="33" t="s">
        <v>244</v>
      </c>
      <c r="W60" s="33" t="s">
        <v>328</v>
      </c>
      <c r="X60" s="33" t="s">
        <v>329</v>
      </c>
      <c r="Y60" s="27" t="s">
        <v>483</v>
      </c>
      <c r="Z60" s="288"/>
      <c r="AA60" s="276">
        <f>(Bygninger!L60*N60*1000)/1000</f>
        <v>0</v>
      </c>
      <c r="AB60" s="289"/>
      <c r="AC60" s="289"/>
      <c r="AD60" s="289"/>
      <c r="AE60" s="290"/>
    </row>
    <row r="61" spans="1:31" s="1" customFormat="1" ht="14.25" outlineLevel="1">
      <c r="A61" s="24" t="s">
        <v>129</v>
      </c>
      <c r="B61" s="24" t="s">
        <v>59</v>
      </c>
      <c r="C61" s="18">
        <v>12</v>
      </c>
      <c r="D61" s="19">
        <v>5610</v>
      </c>
      <c r="E61" s="24" t="s">
        <v>14</v>
      </c>
      <c r="F61" s="21">
        <v>3968</v>
      </c>
      <c r="G61" s="20">
        <v>377</v>
      </c>
      <c r="H61" s="76">
        <v>8970</v>
      </c>
      <c r="I61" s="44"/>
      <c r="J61" s="45"/>
      <c r="K61" s="40"/>
      <c r="L61" s="77">
        <v>72.035</v>
      </c>
      <c r="M61" s="45" t="s">
        <v>615</v>
      </c>
      <c r="N61" s="378">
        <f>Forudsætninger!B18</f>
        <v>0</v>
      </c>
      <c r="O61" s="20"/>
      <c r="P61" s="20"/>
      <c r="Q61" s="20"/>
      <c r="R61" s="14">
        <f t="shared" si="5"/>
        <v>72035</v>
      </c>
      <c r="S61" s="14">
        <f t="shared" si="6"/>
        <v>23.79310344827586</v>
      </c>
      <c r="T61" s="14">
        <f t="shared" si="7"/>
        <v>191.07427055702917</v>
      </c>
      <c r="U61" s="32" t="s">
        <v>246</v>
      </c>
      <c r="V61" s="33" t="s">
        <v>199</v>
      </c>
      <c r="W61" s="33" t="s">
        <v>330</v>
      </c>
      <c r="X61" s="33" t="s">
        <v>331</v>
      </c>
      <c r="Y61" s="27"/>
      <c r="Z61" s="288"/>
      <c r="AA61" s="276">
        <f>(Bygninger!L61*N61*1000)/1000</f>
        <v>0</v>
      </c>
      <c r="AB61" s="289"/>
      <c r="AC61" s="289"/>
      <c r="AD61" s="289"/>
      <c r="AE61" s="290"/>
    </row>
    <row r="62" spans="1:31" s="1" customFormat="1" ht="14.25" outlineLevel="1">
      <c r="A62" s="24" t="s">
        <v>131</v>
      </c>
      <c r="B62" s="24" t="s">
        <v>57</v>
      </c>
      <c r="C62" s="18">
        <v>11</v>
      </c>
      <c r="D62" s="19">
        <v>5610</v>
      </c>
      <c r="E62" s="24" t="s">
        <v>14</v>
      </c>
      <c r="F62" s="21" t="s">
        <v>120</v>
      </c>
      <c r="G62" s="20">
        <v>253</v>
      </c>
      <c r="H62" s="79" t="s">
        <v>469</v>
      </c>
      <c r="I62" s="44"/>
      <c r="J62" s="45"/>
      <c r="K62" s="40"/>
      <c r="L62" s="20"/>
      <c r="M62" s="44"/>
      <c r="N62" s="380"/>
      <c r="O62" s="20"/>
      <c r="P62" s="20"/>
      <c r="Q62" s="20"/>
      <c r="R62" s="14"/>
      <c r="S62" s="14"/>
      <c r="T62" s="14"/>
      <c r="U62" s="32" t="s">
        <v>247</v>
      </c>
      <c r="V62" s="33" t="s">
        <v>199</v>
      </c>
      <c r="W62" s="33" t="s">
        <v>322</v>
      </c>
      <c r="X62" s="33" t="s">
        <v>323</v>
      </c>
      <c r="Y62" s="27"/>
      <c r="Z62" s="288"/>
      <c r="AA62" s="276">
        <f>(Bygninger!L62*N62*1000)/1000</f>
        <v>0</v>
      </c>
      <c r="AB62" s="289"/>
      <c r="AC62" s="289"/>
      <c r="AD62" s="289"/>
      <c r="AE62" s="290"/>
    </row>
    <row r="63" spans="1:31" s="1" customFormat="1" ht="14.25" outlineLevel="1">
      <c r="A63" s="24" t="s">
        <v>672</v>
      </c>
      <c r="B63" s="24" t="s">
        <v>168</v>
      </c>
      <c r="C63" s="18">
        <v>4</v>
      </c>
      <c r="D63" s="19">
        <v>5610</v>
      </c>
      <c r="E63" s="24" t="s">
        <v>14</v>
      </c>
      <c r="F63" s="21">
        <v>2223</v>
      </c>
      <c r="G63" s="20">
        <v>704</v>
      </c>
      <c r="H63" s="76">
        <v>83</v>
      </c>
      <c r="I63" s="44"/>
      <c r="J63" s="45"/>
      <c r="K63" s="40"/>
      <c r="L63" s="77">
        <v>36.909</v>
      </c>
      <c r="M63" s="45" t="s">
        <v>615</v>
      </c>
      <c r="N63" s="378">
        <f>Forudsætninger!B18</f>
        <v>0</v>
      </c>
      <c r="O63" s="20"/>
      <c r="P63" s="20"/>
      <c r="Q63" s="20"/>
      <c r="R63" s="14">
        <f>L63*1000+O63*energiindhold_naturgas/3.6+P63*energiindhold_olie/3.6</f>
        <v>36909</v>
      </c>
      <c r="S63" s="14">
        <f t="shared" si="6"/>
        <v>0.11789772727272728</v>
      </c>
      <c r="T63" s="14">
        <f t="shared" si="7"/>
        <v>52.42755681818182</v>
      </c>
      <c r="U63" s="32" t="s">
        <v>248</v>
      </c>
      <c r="V63" s="33" t="s">
        <v>199</v>
      </c>
      <c r="W63" s="31" t="s">
        <v>481</v>
      </c>
      <c r="X63" s="31" t="s">
        <v>482</v>
      </c>
      <c r="Y63" s="27"/>
      <c r="Z63" s="288"/>
      <c r="AA63" s="276">
        <f>(Bygninger!L63*N63*1000)/1000</f>
        <v>0</v>
      </c>
      <c r="AB63" s="289"/>
      <c r="AC63" s="289"/>
      <c r="AD63" s="289"/>
      <c r="AE63" s="290"/>
    </row>
    <row r="64" spans="1:31" s="1" customFormat="1" ht="14.25" outlineLevel="1">
      <c r="A64" s="24" t="s">
        <v>54</v>
      </c>
      <c r="B64" s="24" t="s">
        <v>19</v>
      </c>
      <c r="C64" s="18">
        <v>6</v>
      </c>
      <c r="D64" s="19">
        <v>5631</v>
      </c>
      <c r="E64" s="24" t="s">
        <v>98</v>
      </c>
      <c r="F64" s="21">
        <v>4841</v>
      </c>
      <c r="G64" s="20">
        <v>378</v>
      </c>
      <c r="H64" s="76">
        <v>11428</v>
      </c>
      <c r="I64" s="44"/>
      <c r="J64" s="45"/>
      <c r="K64" s="40"/>
      <c r="L64" s="20"/>
      <c r="M64" s="44"/>
      <c r="N64" s="378"/>
      <c r="O64" s="77">
        <v>3681</v>
      </c>
      <c r="P64" s="20"/>
      <c r="Q64" s="20"/>
      <c r="R64" s="14">
        <f>L64*1000+O64*energiindhold_naturgas/3.6+P64*energiindhold_olie/3.6</f>
        <v>40593.25</v>
      </c>
      <c r="S64" s="14">
        <f t="shared" si="6"/>
        <v>30.232804232804234</v>
      </c>
      <c r="T64" s="14">
        <f t="shared" si="7"/>
        <v>107.38955026455027</v>
      </c>
      <c r="U64" s="32" t="s">
        <v>249</v>
      </c>
      <c r="V64" s="33" t="s">
        <v>199</v>
      </c>
      <c r="W64" s="33" t="s">
        <v>320</v>
      </c>
      <c r="X64" s="33" t="s">
        <v>321</v>
      </c>
      <c r="Y64" s="27"/>
      <c r="Z64" s="288"/>
      <c r="AA64" s="276">
        <f>(Bygninger!L64*N64*1000)/1000</f>
        <v>0</v>
      </c>
      <c r="AB64" s="289"/>
      <c r="AC64" s="289"/>
      <c r="AD64" s="289"/>
      <c r="AE64" s="290"/>
    </row>
    <row r="65" spans="1:31" s="1" customFormat="1" ht="14.25" outlineLevel="1">
      <c r="A65" s="24" t="s">
        <v>144</v>
      </c>
      <c r="B65" s="24" t="s">
        <v>23</v>
      </c>
      <c r="C65" s="18">
        <v>2</v>
      </c>
      <c r="D65" s="19">
        <v>5620</v>
      </c>
      <c r="E65" s="24" t="s">
        <v>16</v>
      </c>
      <c r="F65" s="21">
        <v>8049</v>
      </c>
      <c r="G65" s="20">
        <v>538</v>
      </c>
      <c r="H65" s="76">
        <v>38249</v>
      </c>
      <c r="I65" s="44"/>
      <c r="J65" s="45"/>
      <c r="K65" s="40"/>
      <c r="L65" s="77">
        <v>37.5</v>
      </c>
      <c r="M65" s="45"/>
      <c r="N65" s="378"/>
      <c r="O65" s="20"/>
      <c r="P65" s="20"/>
      <c r="Q65" s="20"/>
      <c r="R65" s="14">
        <f>L65*1000+O65*energiindhold_naturgas/3.6+P65*energiindhold_olie/3.6</f>
        <v>37500</v>
      </c>
      <c r="S65" s="14">
        <f t="shared" si="6"/>
        <v>71.09479553903346</v>
      </c>
      <c r="T65" s="14">
        <f t="shared" si="7"/>
        <v>69.70260223048327</v>
      </c>
      <c r="U65" s="32" t="s">
        <v>250</v>
      </c>
      <c r="V65" s="33" t="s">
        <v>251</v>
      </c>
      <c r="W65" s="33" t="s">
        <v>338</v>
      </c>
      <c r="X65" s="33" t="s">
        <v>339</v>
      </c>
      <c r="Y65" s="27"/>
      <c r="Z65" s="288"/>
      <c r="AA65" s="276">
        <f>(Bygninger!L65*N65*1000)/1000</f>
        <v>0</v>
      </c>
      <c r="AB65" s="289"/>
      <c r="AC65" s="289"/>
      <c r="AD65" s="289"/>
      <c r="AE65" s="290"/>
    </row>
    <row r="66" spans="1:31" s="1" customFormat="1" ht="14.25" outlineLevel="1">
      <c r="A66" s="24" t="s">
        <v>170</v>
      </c>
      <c r="B66" s="24" t="s">
        <v>23</v>
      </c>
      <c r="C66" s="18">
        <v>4</v>
      </c>
      <c r="D66" s="19">
        <v>5620</v>
      </c>
      <c r="E66" s="24" t="s">
        <v>16</v>
      </c>
      <c r="F66" s="21" t="s">
        <v>252</v>
      </c>
      <c r="G66" s="20">
        <v>156</v>
      </c>
      <c r="H66" s="79" t="s">
        <v>707</v>
      </c>
      <c r="I66" s="44"/>
      <c r="J66" s="45"/>
      <c r="K66" s="40"/>
      <c r="L66" s="20"/>
      <c r="M66" s="44"/>
      <c r="N66" s="380"/>
      <c r="O66" s="20"/>
      <c r="P66" s="20"/>
      <c r="Q66" s="20"/>
      <c r="R66" s="14"/>
      <c r="S66" s="14"/>
      <c r="T66" s="14"/>
      <c r="U66" s="32" t="s">
        <v>220</v>
      </c>
      <c r="V66" s="33" t="s">
        <v>199</v>
      </c>
      <c r="W66" s="31" t="s">
        <v>372</v>
      </c>
      <c r="X66" s="31" t="s">
        <v>373</v>
      </c>
      <c r="Y66" s="27"/>
      <c r="Z66" s="288"/>
      <c r="AA66" s="276">
        <f>(Bygninger!L66*N66*1000)/1000</f>
        <v>0</v>
      </c>
      <c r="AB66" s="289"/>
      <c r="AC66" s="289"/>
      <c r="AD66" s="289"/>
      <c r="AE66" s="290"/>
    </row>
    <row r="67" spans="1:31" s="1" customFormat="1" ht="14.25" outlineLevel="1">
      <c r="A67" s="11" t="s">
        <v>46</v>
      </c>
      <c r="B67" s="11" t="s">
        <v>47</v>
      </c>
      <c r="C67" s="12">
        <v>12</v>
      </c>
      <c r="D67" s="13">
        <v>5683</v>
      </c>
      <c r="E67" s="11" t="s">
        <v>12</v>
      </c>
      <c r="F67" s="15">
        <v>10675</v>
      </c>
      <c r="G67" s="14">
        <v>298</v>
      </c>
      <c r="H67" s="76">
        <v>5679</v>
      </c>
      <c r="I67" s="42"/>
      <c r="J67" s="43"/>
      <c r="K67" s="39"/>
      <c r="L67" s="20"/>
      <c r="M67" s="44"/>
      <c r="N67" s="378"/>
      <c r="O67" s="77">
        <v>2804</v>
      </c>
      <c r="P67" s="20"/>
      <c r="Q67" s="20"/>
      <c r="R67" s="14">
        <f aca="true" t="shared" si="8" ref="R67:R95">L67*1000+O67*energiindhold_naturgas/3.6+P67*energiindhold_olie/3.6</f>
        <v>30921.88888888889</v>
      </c>
      <c r="S67" s="14">
        <f t="shared" si="6"/>
        <v>19.05704697986577</v>
      </c>
      <c r="T67" s="14">
        <f t="shared" si="7"/>
        <v>103.7647278150634</v>
      </c>
      <c r="U67" s="30" t="s">
        <v>254</v>
      </c>
      <c r="V67" s="33" t="s">
        <v>199</v>
      </c>
      <c r="W67" s="33" t="s">
        <v>332</v>
      </c>
      <c r="X67" s="33" t="s">
        <v>333</v>
      </c>
      <c r="Y67" s="27"/>
      <c r="Z67" s="288"/>
      <c r="AA67" s="276">
        <f>(Bygninger!L67*N67*1000)/1000</f>
        <v>0</v>
      </c>
      <c r="AB67" s="289"/>
      <c r="AC67" s="289"/>
      <c r="AD67" s="289"/>
      <c r="AE67" s="290"/>
    </row>
    <row r="68" spans="1:31" s="1" customFormat="1" ht="14.25" outlineLevel="1">
      <c r="A68" s="11" t="s">
        <v>145</v>
      </c>
      <c r="B68" s="11" t="s">
        <v>44</v>
      </c>
      <c r="C68" s="12">
        <v>6</v>
      </c>
      <c r="D68" s="13">
        <v>5683</v>
      </c>
      <c r="E68" s="11" t="s">
        <v>12</v>
      </c>
      <c r="F68" s="15">
        <v>10526</v>
      </c>
      <c r="G68" s="14">
        <v>236</v>
      </c>
      <c r="H68" s="76">
        <v>11024</v>
      </c>
      <c r="I68" s="42"/>
      <c r="J68" s="43"/>
      <c r="K68" s="39"/>
      <c r="L68" s="77">
        <v>69.728</v>
      </c>
      <c r="M68" s="45" t="s">
        <v>618</v>
      </c>
      <c r="N68" s="378">
        <f>Forudsætninger!B20</f>
        <v>0.143</v>
      </c>
      <c r="O68" s="20"/>
      <c r="P68" s="20"/>
      <c r="Q68" s="20"/>
      <c r="R68" s="14">
        <f t="shared" si="8"/>
        <v>69728</v>
      </c>
      <c r="S68" s="14">
        <f t="shared" si="6"/>
        <v>46.71186440677966</v>
      </c>
      <c r="T68" s="14">
        <f t="shared" si="7"/>
        <v>295.45762711864404</v>
      </c>
      <c r="U68" s="30" t="s">
        <v>255</v>
      </c>
      <c r="V68" s="33" t="s">
        <v>199</v>
      </c>
      <c r="W68" s="33" t="s">
        <v>334</v>
      </c>
      <c r="X68" s="33" t="s">
        <v>335</v>
      </c>
      <c r="Y68" s="27"/>
      <c r="Z68" s="288"/>
      <c r="AA68" s="276">
        <f>(Bygninger!L68*N68*1000)/1000</f>
        <v>9.971103999999999</v>
      </c>
      <c r="AB68" s="289"/>
      <c r="AC68" s="289"/>
      <c r="AD68" s="289"/>
      <c r="AE68" s="290"/>
    </row>
    <row r="69" spans="1:31" s="1" customFormat="1" ht="14.25" outlineLevel="1">
      <c r="A69" s="11" t="s">
        <v>146</v>
      </c>
      <c r="B69" s="11" t="s">
        <v>45</v>
      </c>
      <c r="C69" s="12">
        <v>2</v>
      </c>
      <c r="D69" s="13">
        <v>5683</v>
      </c>
      <c r="E69" s="11" t="s">
        <v>12</v>
      </c>
      <c r="F69" s="15">
        <v>9289</v>
      </c>
      <c r="G69" s="14">
        <v>516</v>
      </c>
      <c r="H69" s="76">
        <v>22157</v>
      </c>
      <c r="I69" s="42"/>
      <c r="J69" s="43"/>
      <c r="K69" s="39"/>
      <c r="L69" s="77">
        <v>73.055</v>
      </c>
      <c r="M69" s="45" t="s">
        <v>618</v>
      </c>
      <c r="N69" s="378">
        <f>Forudsætninger!B20</f>
        <v>0.143</v>
      </c>
      <c r="O69" s="20"/>
      <c r="P69" s="20"/>
      <c r="Q69" s="20"/>
      <c r="R69" s="14">
        <f t="shared" si="8"/>
        <v>73055</v>
      </c>
      <c r="S69" s="14">
        <f t="shared" si="6"/>
        <v>42.939922480620154</v>
      </c>
      <c r="T69" s="14">
        <f t="shared" si="7"/>
        <v>141.5794573643411</v>
      </c>
      <c r="U69" s="30" t="s">
        <v>256</v>
      </c>
      <c r="V69" s="33" t="s">
        <v>199</v>
      </c>
      <c r="W69" s="33" t="s">
        <v>336</v>
      </c>
      <c r="X69" s="33" t="s">
        <v>337</v>
      </c>
      <c r="Y69" s="27"/>
      <c r="Z69" s="288"/>
      <c r="AA69" s="276">
        <f>(Bygninger!L69*N69*1000)/1000</f>
        <v>10.446865</v>
      </c>
      <c r="AB69" s="289"/>
      <c r="AC69" s="289"/>
      <c r="AD69" s="289"/>
      <c r="AE69" s="290"/>
    </row>
    <row r="70" spans="1:31" s="1" customFormat="1" ht="14.25" outlineLevel="1">
      <c r="A70" s="11" t="s">
        <v>130</v>
      </c>
      <c r="B70" s="11" t="s">
        <v>48</v>
      </c>
      <c r="C70" s="12" t="s">
        <v>197</v>
      </c>
      <c r="D70" s="13">
        <v>5690</v>
      </c>
      <c r="E70" s="11" t="s">
        <v>9</v>
      </c>
      <c r="F70" s="15" t="s">
        <v>195</v>
      </c>
      <c r="G70" s="14">
        <v>781</v>
      </c>
      <c r="H70" s="76">
        <v>15314</v>
      </c>
      <c r="I70" s="42"/>
      <c r="J70" s="43"/>
      <c r="K70" s="39"/>
      <c r="L70" s="20"/>
      <c r="M70" s="44"/>
      <c r="N70" s="378"/>
      <c r="O70" s="77">
        <v>5429</v>
      </c>
      <c r="P70" s="20"/>
      <c r="Q70" s="20"/>
      <c r="R70" s="14">
        <f t="shared" si="8"/>
        <v>59869.80555555556</v>
      </c>
      <c r="S70" s="14">
        <f t="shared" si="6"/>
        <v>19.60819462227913</v>
      </c>
      <c r="T70" s="14">
        <f t="shared" si="7"/>
        <v>76.65788163323376</v>
      </c>
      <c r="U70" s="30" t="s">
        <v>257</v>
      </c>
      <c r="V70" s="33" t="s">
        <v>258</v>
      </c>
      <c r="W70" s="33" t="s">
        <v>340</v>
      </c>
      <c r="X70" s="33" t="s">
        <v>341</v>
      </c>
      <c r="Y70" s="27"/>
      <c r="Z70" s="288"/>
      <c r="AA70" s="276">
        <f>(Bygninger!L70*N70*1000)/1000</f>
        <v>0</v>
      </c>
      <c r="AB70" s="289"/>
      <c r="AC70" s="289"/>
      <c r="AD70" s="289"/>
      <c r="AE70" s="290"/>
    </row>
    <row r="71" spans="1:31" s="1" customFormat="1" ht="14.25" outlineLevel="1">
      <c r="A71" s="11" t="s">
        <v>49</v>
      </c>
      <c r="B71" s="11" t="s">
        <v>28</v>
      </c>
      <c r="C71" s="12" t="s">
        <v>108</v>
      </c>
      <c r="D71" s="13">
        <v>5690</v>
      </c>
      <c r="E71" s="11" t="s">
        <v>9</v>
      </c>
      <c r="F71" s="15">
        <v>13939</v>
      </c>
      <c r="G71" s="14">
        <v>328</v>
      </c>
      <c r="H71" s="76">
        <v>10421</v>
      </c>
      <c r="I71" s="42"/>
      <c r="J71" s="43"/>
      <c r="K71" s="39"/>
      <c r="L71" s="20"/>
      <c r="M71" s="44"/>
      <c r="N71" s="380"/>
      <c r="O71" s="78">
        <v>2917</v>
      </c>
      <c r="P71" s="341"/>
      <c r="Q71" s="341"/>
      <c r="R71" s="14">
        <f t="shared" si="8"/>
        <v>32168.02777777778</v>
      </c>
      <c r="S71" s="14">
        <f t="shared" si="6"/>
        <v>31.771341463414632</v>
      </c>
      <c r="T71" s="14">
        <f t="shared" si="7"/>
        <v>98.07325542005421</v>
      </c>
      <c r="U71" s="30" t="s">
        <v>259</v>
      </c>
      <c r="V71" s="33" t="s">
        <v>199</v>
      </c>
      <c r="W71" s="33" t="s">
        <v>342</v>
      </c>
      <c r="X71" s="33" t="s">
        <v>343</v>
      </c>
      <c r="Y71" s="27"/>
      <c r="Z71" s="288"/>
      <c r="AA71" s="276">
        <f>(Bygninger!L71*N71*1000)/1000</f>
        <v>0</v>
      </c>
      <c r="AB71" s="289"/>
      <c r="AC71" s="289"/>
      <c r="AD71" s="289"/>
      <c r="AE71" s="290"/>
    </row>
    <row r="72" spans="1:31" s="1" customFormat="1" ht="15" outlineLevel="1">
      <c r="A72" s="11" t="s">
        <v>711</v>
      </c>
      <c r="B72" s="11" t="s">
        <v>100</v>
      </c>
      <c r="C72" s="12">
        <v>1</v>
      </c>
      <c r="D72" s="13">
        <v>5690</v>
      </c>
      <c r="E72" s="11" t="s">
        <v>9</v>
      </c>
      <c r="F72" s="15">
        <v>11738</v>
      </c>
      <c r="G72" s="14">
        <v>597</v>
      </c>
      <c r="H72" s="76">
        <v>2002</v>
      </c>
      <c r="I72" s="42"/>
      <c r="J72" s="43"/>
      <c r="K72" s="39"/>
      <c r="L72" s="20"/>
      <c r="M72" s="44"/>
      <c r="N72" s="378"/>
      <c r="O72" s="340"/>
      <c r="P72" s="20"/>
      <c r="Q72" s="20"/>
      <c r="R72" s="14">
        <f t="shared" si="8"/>
        <v>0</v>
      </c>
      <c r="S72" s="14">
        <f t="shared" si="6"/>
        <v>3.353433835845896</v>
      </c>
      <c r="T72" s="14">
        <f t="shared" si="7"/>
        <v>0</v>
      </c>
      <c r="U72" s="30" t="s">
        <v>260</v>
      </c>
      <c r="V72" s="33" t="s">
        <v>261</v>
      </c>
      <c r="W72" s="31" t="s">
        <v>481</v>
      </c>
      <c r="X72" s="31" t="s">
        <v>482</v>
      </c>
      <c r="Y72" s="27"/>
      <c r="Z72" s="288"/>
      <c r="AA72" s="276">
        <f>(Bygninger!L72*N72*1000)/1000</f>
        <v>0</v>
      </c>
      <c r="AB72" s="289"/>
      <c r="AC72" s="289"/>
      <c r="AD72" s="289"/>
      <c r="AE72" s="290"/>
    </row>
    <row r="73" spans="1:31" s="1" customFormat="1" ht="14.25" outlineLevel="1">
      <c r="A73" s="11" t="s">
        <v>50</v>
      </c>
      <c r="B73" s="11" t="s">
        <v>51</v>
      </c>
      <c r="C73" s="12" t="s">
        <v>107</v>
      </c>
      <c r="D73" s="13">
        <v>5690</v>
      </c>
      <c r="E73" s="11" t="s">
        <v>9</v>
      </c>
      <c r="F73" s="15">
        <v>13938</v>
      </c>
      <c r="G73" s="14">
        <v>534</v>
      </c>
      <c r="H73" s="76">
        <v>21101</v>
      </c>
      <c r="I73" s="42">
        <v>270</v>
      </c>
      <c r="J73" s="43"/>
      <c r="K73" s="39"/>
      <c r="L73" s="20"/>
      <c r="M73" s="44"/>
      <c r="N73" s="378"/>
      <c r="O73" s="77">
        <v>5246</v>
      </c>
      <c r="P73" s="20"/>
      <c r="Q73" s="20"/>
      <c r="R73" s="14">
        <f t="shared" si="8"/>
        <v>57851.722222222226</v>
      </c>
      <c r="S73" s="14">
        <f t="shared" si="6"/>
        <v>39.51498127340824</v>
      </c>
      <c r="T73" s="14">
        <f t="shared" si="7"/>
        <v>108.33655846858095</v>
      </c>
      <c r="U73" s="30" t="s">
        <v>262</v>
      </c>
      <c r="V73" s="33" t="s">
        <v>224</v>
      </c>
      <c r="W73" s="33" t="s">
        <v>344</v>
      </c>
      <c r="X73" s="33" t="s">
        <v>345</v>
      </c>
      <c r="Y73" s="27"/>
      <c r="Z73" s="288"/>
      <c r="AA73" s="276">
        <f>(Bygninger!L73*N73*1000)/1000</f>
        <v>0</v>
      </c>
      <c r="AB73" s="289"/>
      <c r="AC73" s="289"/>
      <c r="AD73" s="289"/>
      <c r="AE73" s="290"/>
    </row>
    <row r="74" spans="1:31" s="1" customFormat="1" ht="14.25" outlineLevel="1">
      <c r="A74" s="11" t="s">
        <v>147</v>
      </c>
      <c r="B74" s="11" t="s">
        <v>53</v>
      </c>
      <c r="C74" s="12">
        <v>32</v>
      </c>
      <c r="D74" s="13">
        <v>5690</v>
      </c>
      <c r="E74" s="11" t="s">
        <v>9</v>
      </c>
      <c r="F74" s="15">
        <v>12672</v>
      </c>
      <c r="G74" s="14">
        <v>587</v>
      </c>
      <c r="H74" s="76">
        <v>22522</v>
      </c>
      <c r="I74" s="42"/>
      <c r="J74" s="43"/>
      <c r="K74" s="39"/>
      <c r="L74" s="20"/>
      <c r="M74" s="44"/>
      <c r="N74" s="380"/>
      <c r="O74" s="20"/>
      <c r="P74" s="77">
        <v>7003</v>
      </c>
      <c r="Q74" s="341"/>
      <c r="R74" s="14">
        <f t="shared" si="8"/>
        <v>69835.47222222222</v>
      </c>
      <c r="S74" s="14">
        <f t="shared" si="6"/>
        <v>38.3679727427598</v>
      </c>
      <c r="T74" s="14">
        <f t="shared" si="7"/>
        <v>118.97014007192882</v>
      </c>
      <c r="U74" s="30" t="s">
        <v>263</v>
      </c>
      <c r="V74" s="33" t="s">
        <v>264</v>
      </c>
      <c r="W74" s="33" t="s">
        <v>346</v>
      </c>
      <c r="X74" s="33" t="s">
        <v>347</v>
      </c>
      <c r="Y74" s="27"/>
      <c r="Z74" s="288"/>
      <c r="AA74" s="276">
        <f>(Bygninger!L74*N74*1000)/1000</f>
        <v>0</v>
      </c>
      <c r="AB74" s="289"/>
      <c r="AC74" s="289"/>
      <c r="AD74" s="289"/>
      <c r="AE74" s="290"/>
    </row>
    <row r="75" spans="1:31" s="1" customFormat="1" ht="14.25" outlineLevel="1">
      <c r="A75" s="11" t="s">
        <v>658</v>
      </c>
      <c r="B75" s="11" t="s">
        <v>48</v>
      </c>
      <c r="C75" s="12">
        <v>3</v>
      </c>
      <c r="D75" s="13">
        <v>5690</v>
      </c>
      <c r="E75" s="11" t="s">
        <v>9</v>
      </c>
      <c r="F75" s="15" t="s">
        <v>121</v>
      </c>
      <c r="G75" s="14">
        <v>262</v>
      </c>
      <c r="H75" s="76">
        <v>3642</v>
      </c>
      <c r="I75" s="42"/>
      <c r="J75" s="43"/>
      <c r="K75" s="39"/>
      <c r="L75" s="20"/>
      <c r="M75" s="44"/>
      <c r="N75" s="378"/>
      <c r="O75" s="77">
        <v>4706</v>
      </c>
      <c r="P75" s="20"/>
      <c r="Q75" s="20"/>
      <c r="R75" s="14">
        <f t="shared" si="8"/>
        <v>51896.722222222226</v>
      </c>
      <c r="S75" s="14">
        <f t="shared" si="6"/>
        <v>13.900763358778626</v>
      </c>
      <c r="T75" s="14">
        <f t="shared" si="7"/>
        <v>198.07909245122988</v>
      </c>
      <c r="U75" s="30" t="s">
        <v>265</v>
      </c>
      <c r="V75" s="33" t="s">
        <v>249</v>
      </c>
      <c r="W75" s="33" t="s">
        <v>423</v>
      </c>
      <c r="X75" s="33" t="s">
        <v>424</v>
      </c>
      <c r="Y75" s="27"/>
      <c r="Z75" s="288"/>
      <c r="AA75" s="276">
        <f>(Bygninger!L75*N75*1000)/1000</f>
        <v>0</v>
      </c>
      <c r="AB75" s="289"/>
      <c r="AC75" s="289"/>
      <c r="AD75" s="289"/>
      <c r="AE75" s="290"/>
    </row>
    <row r="76" spans="1:31" s="1" customFormat="1" ht="14.25" outlineLevel="1">
      <c r="A76" s="11" t="s">
        <v>149</v>
      </c>
      <c r="B76" s="11" t="s">
        <v>52</v>
      </c>
      <c r="C76" s="12">
        <v>1</v>
      </c>
      <c r="D76" s="13">
        <v>5690</v>
      </c>
      <c r="E76" s="11" t="s">
        <v>9</v>
      </c>
      <c r="F76" s="15">
        <v>13038</v>
      </c>
      <c r="G76" s="14">
        <v>510</v>
      </c>
      <c r="H76" s="76">
        <v>35005</v>
      </c>
      <c r="I76" s="42"/>
      <c r="J76" s="43"/>
      <c r="K76" s="39"/>
      <c r="L76" s="77">
        <v>67.7</v>
      </c>
      <c r="M76" s="45" t="s">
        <v>698</v>
      </c>
      <c r="N76" s="378">
        <f>Forudsætninger!B23</f>
        <v>0.0878</v>
      </c>
      <c r="O76" s="20"/>
      <c r="P76" s="20"/>
      <c r="Q76" s="20"/>
      <c r="R76" s="14">
        <f t="shared" si="8"/>
        <v>67700</v>
      </c>
      <c r="S76" s="14">
        <f t="shared" si="6"/>
        <v>68.63725490196079</v>
      </c>
      <c r="T76" s="14">
        <f t="shared" si="7"/>
        <v>132.7450980392157</v>
      </c>
      <c r="U76" s="30" t="s">
        <v>266</v>
      </c>
      <c r="V76" s="33" t="s">
        <v>220</v>
      </c>
      <c r="W76" s="33" t="s">
        <v>348</v>
      </c>
      <c r="X76" s="33" t="s">
        <v>349</v>
      </c>
      <c r="Y76" s="27"/>
      <c r="Z76" s="288"/>
      <c r="AA76" s="276">
        <f>(Bygninger!L76*N76*1000)/1000</f>
        <v>5.94406</v>
      </c>
      <c r="AB76" s="289"/>
      <c r="AC76" s="289"/>
      <c r="AD76" s="289"/>
      <c r="AE76" s="290"/>
    </row>
    <row r="77" spans="1:31" s="1" customFormat="1" ht="14.25" outlineLevel="1">
      <c r="A77" s="11" t="s">
        <v>148</v>
      </c>
      <c r="B77" s="11" t="s">
        <v>19</v>
      </c>
      <c r="C77" s="12">
        <v>44</v>
      </c>
      <c r="D77" s="13">
        <v>5690</v>
      </c>
      <c r="E77" s="11" t="s">
        <v>9</v>
      </c>
      <c r="F77" s="15">
        <v>12580</v>
      </c>
      <c r="G77" s="14">
        <v>412</v>
      </c>
      <c r="H77" s="76">
        <v>12205</v>
      </c>
      <c r="I77" s="42"/>
      <c r="J77" s="43"/>
      <c r="K77" s="39"/>
      <c r="L77" s="77">
        <v>70.157</v>
      </c>
      <c r="M77" s="45" t="s">
        <v>690</v>
      </c>
      <c r="N77" s="378">
        <f>Forudsætninger!B21</f>
        <v>0.0102</v>
      </c>
      <c r="O77" s="20"/>
      <c r="P77" s="20"/>
      <c r="Q77" s="20"/>
      <c r="R77" s="14">
        <f t="shared" si="8"/>
        <v>70157</v>
      </c>
      <c r="S77" s="14">
        <f t="shared" si="6"/>
        <v>29.62378640776699</v>
      </c>
      <c r="T77" s="14">
        <f t="shared" si="7"/>
        <v>170.28398058252426</v>
      </c>
      <c r="U77" s="30" t="s">
        <v>267</v>
      </c>
      <c r="V77" s="33" t="s">
        <v>251</v>
      </c>
      <c r="W77" s="33" t="s">
        <v>350</v>
      </c>
      <c r="X77" s="33" t="s">
        <v>351</v>
      </c>
      <c r="Y77" s="27"/>
      <c r="Z77" s="288"/>
      <c r="AA77" s="276">
        <f>(Bygninger!L77*N77*1000)/1000</f>
        <v>0.7156014</v>
      </c>
      <c r="AB77" s="289"/>
      <c r="AC77" s="289"/>
      <c r="AD77" s="289"/>
      <c r="AE77" s="290"/>
    </row>
    <row r="78" spans="1:31" s="1" customFormat="1" ht="14.25" outlineLevel="1">
      <c r="A78" s="11" t="s">
        <v>41</v>
      </c>
      <c r="B78" s="11" t="s">
        <v>38</v>
      </c>
      <c r="C78" s="12">
        <v>82</v>
      </c>
      <c r="D78" s="13">
        <v>5492</v>
      </c>
      <c r="E78" s="11" t="s">
        <v>11</v>
      </c>
      <c r="F78" s="15" t="s">
        <v>273</v>
      </c>
      <c r="G78" s="14">
        <v>838</v>
      </c>
      <c r="H78" s="76">
        <v>11504</v>
      </c>
      <c r="I78" s="42"/>
      <c r="J78" s="43"/>
      <c r="K78" s="39"/>
      <c r="L78" s="20"/>
      <c r="M78" s="44"/>
      <c r="N78" s="378"/>
      <c r="O78" s="77">
        <v>10085</v>
      </c>
      <c r="P78" s="20"/>
      <c r="Q78" s="20"/>
      <c r="R78" s="14">
        <f t="shared" si="8"/>
        <v>111215.13888888889</v>
      </c>
      <c r="S78" s="14">
        <f t="shared" si="6"/>
        <v>13.727923627684964</v>
      </c>
      <c r="T78" s="14">
        <f t="shared" si="7"/>
        <v>132.71496287456907</v>
      </c>
      <c r="U78" s="30" t="s">
        <v>270</v>
      </c>
      <c r="V78" s="33" t="s">
        <v>233</v>
      </c>
      <c r="W78" s="33" t="s">
        <v>352</v>
      </c>
      <c r="X78" s="33" t="s">
        <v>353</v>
      </c>
      <c r="Y78" s="27"/>
      <c r="Z78" s="288"/>
      <c r="AA78" s="276">
        <f>(Bygninger!L78*N78*1000)/1000</f>
        <v>0</v>
      </c>
      <c r="AB78" s="289"/>
      <c r="AC78" s="289"/>
      <c r="AD78" s="289"/>
      <c r="AE78" s="290"/>
    </row>
    <row r="79" spans="1:31" s="1" customFormat="1" ht="14.25" outlineLevel="1">
      <c r="A79" s="11" t="s">
        <v>150</v>
      </c>
      <c r="B79" s="11" t="s">
        <v>43</v>
      </c>
      <c r="C79" s="12">
        <v>82</v>
      </c>
      <c r="D79" s="13">
        <v>5492</v>
      </c>
      <c r="E79" s="11" t="s">
        <v>11</v>
      </c>
      <c r="F79" s="15">
        <v>14844</v>
      </c>
      <c r="G79" s="14">
        <v>1294</v>
      </c>
      <c r="H79" s="76">
        <v>49280</v>
      </c>
      <c r="I79" s="42">
        <v>1934</v>
      </c>
      <c r="J79" s="43"/>
      <c r="K79" s="39"/>
      <c r="L79" s="20"/>
      <c r="M79" s="44"/>
      <c r="N79" s="378"/>
      <c r="O79" s="77">
        <v>17574</v>
      </c>
      <c r="P79" s="20"/>
      <c r="Q79" s="20"/>
      <c r="R79" s="14">
        <f t="shared" si="8"/>
        <v>193802.1666666667</v>
      </c>
      <c r="S79" s="14">
        <f t="shared" si="6"/>
        <v>38.08346213292118</v>
      </c>
      <c r="T79" s="14">
        <f t="shared" si="7"/>
        <v>149.76983513652758</v>
      </c>
      <c r="U79" s="30" t="s">
        <v>274</v>
      </c>
      <c r="V79" s="33" t="s">
        <v>275</v>
      </c>
      <c r="W79" s="33" t="s">
        <v>354</v>
      </c>
      <c r="X79" s="33" t="s">
        <v>355</v>
      </c>
      <c r="Y79" s="27"/>
      <c r="Z79" s="288"/>
      <c r="AA79" s="276">
        <f>(Bygninger!L79*N79*1000)/1000</f>
        <v>0</v>
      </c>
      <c r="AB79" s="289"/>
      <c r="AC79" s="289"/>
      <c r="AD79" s="289"/>
      <c r="AE79" s="290"/>
    </row>
    <row r="80" spans="1:31" s="1" customFormat="1" ht="14.25" outlineLevel="1">
      <c r="A80" s="11" t="s">
        <v>647</v>
      </c>
      <c r="B80" s="11" t="s">
        <v>19</v>
      </c>
      <c r="C80" s="12">
        <v>4</v>
      </c>
      <c r="D80" s="13">
        <v>5492</v>
      </c>
      <c r="E80" s="11" t="s">
        <v>11</v>
      </c>
      <c r="F80" s="15">
        <v>15879</v>
      </c>
      <c r="G80" s="14">
        <v>1691</v>
      </c>
      <c r="H80" s="76">
        <v>37177</v>
      </c>
      <c r="I80" s="42"/>
      <c r="J80" s="43"/>
      <c r="K80" s="39"/>
      <c r="L80" s="20"/>
      <c r="M80" s="44"/>
      <c r="N80" s="378"/>
      <c r="O80" s="77">
        <v>24337</v>
      </c>
      <c r="P80" s="20"/>
      <c r="Q80" s="20"/>
      <c r="R80" s="14">
        <f t="shared" si="8"/>
        <v>268383.02777777775</v>
      </c>
      <c r="S80" s="14">
        <f t="shared" si="6"/>
        <v>21.98521584861029</v>
      </c>
      <c r="T80" s="14">
        <f t="shared" si="7"/>
        <v>158.7126125238189</v>
      </c>
      <c r="U80" s="30" t="s">
        <v>276</v>
      </c>
      <c r="V80" s="33" t="s">
        <v>277</v>
      </c>
      <c r="W80" s="33" t="s">
        <v>358</v>
      </c>
      <c r="X80" s="33" t="s">
        <v>319</v>
      </c>
      <c r="Y80" s="27"/>
      <c r="Z80" s="288"/>
      <c r="AA80" s="276">
        <f>(Bygninger!L80*N80*1000)/1000</f>
        <v>0</v>
      </c>
      <c r="AB80" s="289"/>
      <c r="AC80" s="289"/>
      <c r="AD80" s="289"/>
      <c r="AE80" s="290"/>
    </row>
    <row r="81" spans="1:31" s="1" customFormat="1" ht="14.25" outlineLevel="1">
      <c r="A81" s="11" t="s">
        <v>151</v>
      </c>
      <c r="B81" s="11" t="s">
        <v>42</v>
      </c>
      <c r="C81" s="12">
        <v>1</v>
      </c>
      <c r="D81" s="13">
        <v>5492</v>
      </c>
      <c r="E81" s="11" t="s">
        <v>11</v>
      </c>
      <c r="F81" s="15">
        <v>15323</v>
      </c>
      <c r="G81" s="14">
        <v>1056</v>
      </c>
      <c r="H81" s="76">
        <v>22803</v>
      </c>
      <c r="I81" s="42"/>
      <c r="J81" s="43"/>
      <c r="K81" s="39"/>
      <c r="L81" s="77">
        <v>133.28</v>
      </c>
      <c r="M81" s="45" t="s">
        <v>616</v>
      </c>
      <c r="N81" s="378">
        <f>Forudsætninger!B22</f>
        <v>0.0739</v>
      </c>
      <c r="O81" s="20"/>
      <c r="P81" s="20"/>
      <c r="Q81" s="20"/>
      <c r="R81" s="14">
        <f t="shared" si="8"/>
        <v>133280</v>
      </c>
      <c r="S81" s="14">
        <f t="shared" si="6"/>
        <v>21.59375</v>
      </c>
      <c r="T81" s="14">
        <f t="shared" si="7"/>
        <v>126.21212121212122</v>
      </c>
      <c r="U81" s="30" t="s">
        <v>256</v>
      </c>
      <c r="V81" s="33" t="s">
        <v>233</v>
      </c>
      <c r="W81" s="33" t="s">
        <v>365</v>
      </c>
      <c r="X81" s="33" t="s">
        <v>366</v>
      </c>
      <c r="Y81" s="27"/>
      <c r="Z81" s="288"/>
      <c r="AA81" s="276">
        <f>(Bygninger!L81*N81*1000)/1000</f>
        <v>9.849392</v>
      </c>
      <c r="AB81" s="289"/>
      <c r="AC81" s="289"/>
      <c r="AD81" s="289"/>
      <c r="AE81" s="290"/>
    </row>
    <row r="82" spans="1:31" s="1" customFormat="1" ht="14.25" outlineLevel="1">
      <c r="A82" s="11" t="s">
        <v>152</v>
      </c>
      <c r="B82" s="11" t="s">
        <v>40</v>
      </c>
      <c r="C82" s="12">
        <v>59</v>
      </c>
      <c r="D82" s="13">
        <v>5560</v>
      </c>
      <c r="E82" s="11" t="s">
        <v>7</v>
      </c>
      <c r="F82" s="15" t="s">
        <v>122</v>
      </c>
      <c r="G82" s="14">
        <v>842</v>
      </c>
      <c r="H82" s="76">
        <v>19461</v>
      </c>
      <c r="I82" s="42"/>
      <c r="J82" s="43"/>
      <c r="K82" s="39"/>
      <c r="L82" s="20"/>
      <c r="M82" s="44"/>
      <c r="N82" s="380"/>
      <c r="O82" s="20"/>
      <c r="P82" s="77">
        <v>15936</v>
      </c>
      <c r="Q82" s="341"/>
      <c r="R82" s="14">
        <f t="shared" si="8"/>
        <v>158917.33333333334</v>
      </c>
      <c r="S82" s="14">
        <f t="shared" si="6"/>
        <v>23.112826603325416</v>
      </c>
      <c r="T82" s="14">
        <f t="shared" si="7"/>
        <v>188.7379255740301</v>
      </c>
      <c r="U82" s="30" t="s">
        <v>234</v>
      </c>
      <c r="V82" s="33" t="s">
        <v>269</v>
      </c>
      <c r="W82" s="33" t="s">
        <v>356</v>
      </c>
      <c r="X82" s="33" t="s">
        <v>357</v>
      </c>
      <c r="Y82" s="27" t="s">
        <v>312</v>
      </c>
      <c r="Z82" s="288"/>
      <c r="AA82" s="276">
        <f>(Bygninger!L82*N82*1000)/1000</f>
        <v>0</v>
      </c>
      <c r="AB82" s="289"/>
      <c r="AC82" s="289"/>
      <c r="AD82" s="289"/>
      <c r="AE82" s="290"/>
    </row>
    <row r="83" spans="1:31" s="1" customFormat="1" ht="14.25" outlineLevel="1">
      <c r="A83" s="11" t="s">
        <v>153</v>
      </c>
      <c r="B83" s="11" t="s">
        <v>39</v>
      </c>
      <c r="C83" s="12">
        <v>41</v>
      </c>
      <c r="D83" s="13">
        <v>5560</v>
      </c>
      <c r="E83" s="11" t="s">
        <v>7</v>
      </c>
      <c r="F83" s="15">
        <v>19218</v>
      </c>
      <c r="G83" s="20">
        <v>564</v>
      </c>
      <c r="H83" s="76">
        <v>14314</v>
      </c>
      <c r="I83" s="44"/>
      <c r="J83" s="45"/>
      <c r="K83" s="40"/>
      <c r="L83" s="20"/>
      <c r="M83" s="44"/>
      <c r="N83" s="378"/>
      <c r="O83" s="77">
        <v>5977</v>
      </c>
      <c r="P83" s="20"/>
      <c r="Q83" s="20"/>
      <c r="R83" s="14">
        <f t="shared" si="8"/>
        <v>65913.02777777778</v>
      </c>
      <c r="S83" s="14">
        <f t="shared" si="6"/>
        <v>25.379432624113477</v>
      </c>
      <c r="T83" s="14">
        <f t="shared" si="7"/>
        <v>116.86707052797479</v>
      </c>
      <c r="U83" s="30" t="s">
        <v>278</v>
      </c>
      <c r="V83" s="33" t="s">
        <v>199</v>
      </c>
      <c r="W83" s="33" t="s">
        <v>359</v>
      </c>
      <c r="X83" s="33" t="s">
        <v>360</v>
      </c>
      <c r="Y83" s="27"/>
      <c r="Z83" s="288"/>
      <c r="AA83" s="276">
        <f>(Bygninger!L83*N83*1000)/1000</f>
        <v>0</v>
      </c>
      <c r="AB83" s="289"/>
      <c r="AC83" s="289"/>
      <c r="AD83" s="289"/>
      <c r="AE83" s="290"/>
    </row>
    <row r="84" spans="1:31" s="1" customFormat="1" ht="14.25" outlineLevel="1">
      <c r="A84" s="11" t="s">
        <v>154</v>
      </c>
      <c r="B84" s="11" t="s">
        <v>27</v>
      </c>
      <c r="C84" s="12" t="s">
        <v>279</v>
      </c>
      <c r="D84" s="13">
        <v>5560</v>
      </c>
      <c r="E84" s="11" t="s">
        <v>7</v>
      </c>
      <c r="F84" s="15">
        <v>19440</v>
      </c>
      <c r="G84" s="14">
        <v>491</v>
      </c>
      <c r="H84" s="76">
        <v>14109</v>
      </c>
      <c r="I84" s="42"/>
      <c r="J84" s="43"/>
      <c r="K84" s="39"/>
      <c r="L84" s="20"/>
      <c r="M84" s="44"/>
      <c r="N84" s="380"/>
      <c r="O84" s="20"/>
      <c r="P84" s="77">
        <v>7062</v>
      </c>
      <c r="Q84" s="341"/>
      <c r="R84" s="14">
        <f t="shared" si="8"/>
        <v>70423.83333333333</v>
      </c>
      <c r="S84" s="14">
        <f t="shared" si="6"/>
        <v>28.735234215885946</v>
      </c>
      <c r="T84" s="14">
        <f t="shared" si="7"/>
        <v>143.4293957909029</v>
      </c>
      <c r="U84" s="30" t="s">
        <v>256</v>
      </c>
      <c r="V84" s="33" t="s">
        <v>280</v>
      </c>
      <c r="W84" s="33" t="s">
        <v>361</v>
      </c>
      <c r="X84" s="33" t="s">
        <v>362</v>
      </c>
      <c r="Y84" s="27"/>
      <c r="Z84" s="288"/>
      <c r="AA84" s="276">
        <f>(Bygninger!L84*N84*1000)/1000</f>
        <v>0</v>
      </c>
      <c r="AB84" s="289"/>
      <c r="AC84" s="289"/>
      <c r="AD84" s="289"/>
      <c r="AE84" s="290"/>
    </row>
    <row r="85" spans="1:31" s="1" customFormat="1" ht="14.25" outlineLevel="1">
      <c r="A85" s="11" t="s">
        <v>163</v>
      </c>
      <c r="B85" s="11" t="s">
        <v>6</v>
      </c>
      <c r="C85" s="12">
        <v>4</v>
      </c>
      <c r="D85" s="13">
        <v>5560</v>
      </c>
      <c r="E85" s="11" t="s">
        <v>7</v>
      </c>
      <c r="F85" s="15">
        <v>19049</v>
      </c>
      <c r="G85" s="14">
        <v>735</v>
      </c>
      <c r="H85" s="76">
        <v>53094</v>
      </c>
      <c r="I85" s="42"/>
      <c r="J85" s="43"/>
      <c r="K85" s="39"/>
      <c r="L85" s="20"/>
      <c r="M85" s="44"/>
      <c r="N85" s="378"/>
      <c r="O85" s="77">
        <v>18170</v>
      </c>
      <c r="P85" s="20"/>
      <c r="Q85" s="20"/>
      <c r="R85" s="14">
        <f t="shared" si="8"/>
        <v>200374.72222222222</v>
      </c>
      <c r="S85" s="14">
        <f t="shared" si="6"/>
        <v>72.23673469387755</v>
      </c>
      <c r="T85" s="14">
        <f t="shared" si="7"/>
        <v>272.6186696900983</v>
      </c>
      <c r="U85" s="30" t="s">
        <v>281</v>
      </c>
      <c r="V85" s="33" t="s">
        <v>250</v>
      </c>
      <c r="W85" s="33" t="s">
        <v>363</v>
      </c>
      <c r="X85" s="33" t="s">
        <v>364</v>
      </c>
      <c r="Y85" s="27"/>
      <c r="Z85" s="288"/>
      <c r="AA85" s="276">
        <f>(Bygninger!L85*N85*1000)/1000</f>
        <v>0</v>
      </c>
      <c r="AB85" s="289"/>
      <c r="AC85" s="289"/>
      <c r="AD85" s="289"/>
      <c r="AE85" s="290"/>
    </row>
    <row r="86" spans="1:31" s="56" customFormat="1" ht="15">
      <c r="A86" s="16" t="s">
        <v>60</v>
      </c>
      <c r="B86" s="16"/>
      <c r="C86" s="8"/>
      <c r="D86" s="7"/>
      <c r="E86" s="16"/>
      <c r="F86" s="10"/>
      <c r="G86" s="23">
        <f>SUM(G87:G105)</f>
        <v>34722</v>
      </c>
      <c r="H86" s="23">
        <f>SUM(H87:H105)</f>
        <v>1494554</v>
      </c>
      <c r="I86" s="23">
        <f>SUM(I87:I105)</f>
        <v>1653</v>
      </c>
      <c r="J86" s="38"/>
      <c r="K86" s="62"/>
      <c r="L86" s="17">
        <f>SUM(L87:L105)</f>
        <v>2792.6</v>
      </c>
      <c r="M86" s="373"/>
      <c r="N86" s="379"/>
      <c r="O86" s="17">
        <f>SUM(O87:O105)</f>
        <v>131630</v>
      </c>
      <c r="P86" s="17">
        <f>SUM(P87:P105)</f>
        <v>0</v>
      </c>
      <c r="Q86" s="17">
        <f>SUM(Q87:Q105)</f>
        <v>0</v>
      </c>
      <c r="R86" s="17">
        <f t="shared" si="8"/>
        <v>4244186.388888889</v>
      </c>
      <c r="S86" s="17">
        <f t="shared" si="6"/>
        <v>43.04343067795634</v>
      </c>
      <c r="T86" s="17">
        <f t="shared" si="7"/>
        <v>122.23335029344189</v>
      </c>
      <c r="U86" s="28"/>
      <c r="V86" s="63"/>
      <c r="W86" s="63"/>
      <c r="X86" s="63"/>
      <c r="Y86" s="36"/>
      <c r="Z86" s="270">
        <f>(Bygninger!H86*CO2_el)/1000</f>
        <v>654.614652</v>
      </c>
      <c r="AA86" s="270">
        <f>SUM(AA87:AA105)</f>
        <v>61.73045929999999</v>
      </c>
      <c r="AB86" s="270">
        <f>(Bygninger!O86*CO2_naturgas)/1000</f>
        <v>295.50935000000004</v>
      </c>
      <c r="AC86" s="270">
        <f>(Bygninger!P86*CO2_olie)/1000</f>
        <v>0</v>
      </c>
      <c r="AD86" s="270">
        <f>SUM(AA86:AC86)</f>
        <v>357.23980930000005</v>
      </c>
      <c r="AE86" s="270">
        <f>Z86+AD86</f>
        <v>1011.8544613</v>
      </c>
    </row>
    <row r="87" spans="1:31" s="1" customFormat="1" ht="15" outlineLevel="1">
      <c r="A87" s="11" t="s">
        <v>664</v>
      </c>
      <c r="B87" s="11" t="s">
        <v>61</v>
      </c>
      <c r="C87" s="18" t="s">
        <v>106</v>
      </c>
      <c r="D87" s="19">
        <v>5610</v>
      </c>
      <c r="E87" s="11" t="s">
        <v>14</v>
      </c>
      <c r="F87" s="21" t="s">
        <v>123</v>
      </c>
      <c r="G87" s="20">
        <v>1790</v>
      </c>
      <c r="H87" s="76">
        <v>355846</v>
      </c>
      <c r="I87" s="44"/>
      <c r="J87" s="45"/>
      <c r="K87" s="40"/>
      <c r="L87" s="77">
        <v>250.488</v>
      </c>
      <c r="M87" s="371"/>
      <c r="N87" s="378"/>
      <c r="O87" s="20"/>
      <c r="P87" s="20"/>
      <c r="Q87" s="20"/>
      <c r="R87" s="14">
        <f>L87*1000+O87*energiindhold_naturgas/3.6+P87*energiindhold_olie/3.6</f>
        <v>250488</v>
      </c>
      <c r="S87" s="14">
        <f t="shared" si="6"/>
        <v>198.79664804469274</v>
      </c>
      <c r="T87" s="14">
        <f t="shared" si="7"/>
        <v>139.93743016759777</v>
      </c>
      <c r="U87" s="30" t="s">
        <v>274</v>
      </c>
      <c r="V87" s="33" t="s">
        <v>283</v>
      </c>
      <c r="W87" s="33" t="s">
        <v>404</v>
      </c>
      <c r="X87" s="33" t="s">
        <v>405</v>
      </c>
      <c r="Y87" s="27"/>
      <c r="Z87" s="285"/>
      <c r="AA87" s="272">
        <f>(Bygninger!L87*N87*1000)/1000</f>
        <v>0</v>
      </c>
      <c r="AB87" s="286"/>
      <c r="AC87" s="286"/>
      <c r="AD87" s="286"/>
      <c r="AE87" s="287"/>
    </row>
    <row r="88" spans="1:31" s="1" customFormat="1" ht="14.25" outlineLevel="1">
      <c r="A88" s="11" t="s">
        <v>655</v>
      </c>
      <c r="B88" s="11" t="s">
        <v>35</v>
      </c>
      <c r="C88" s="18" t="s">
        <v>62</v>
      </c>
      <c r="D88" s="22">
        <v>5610</v>
      </c>
      <c r="E88" s="11" t="s">
        <v>14</v>
      </c>
      <c r="F88" s="21">
        <v>5353</v>
      </c>
      <c r="G88" s="20">
        <v>1646</v>
      </c>
      <c r="H88" s="76">
        <v>71760</v>
      </c>
      <c r="I88" s="44"/>
      <c r="J88" s="45"/>
      <c r="K88" s="40"/>
      <c r="L88" s="77">
        <v>224.906</v>
      </c>
      <c r="M88" s="45" t="s">
        <v>615</v>
      </c>
      <c r="N88" s="378">
        <f>Forudsætninger!B18</f>
        <v>0</v>
      </c>
      <c r="O88" s="20"/>
      <c r="P88" s="20"/>
      <c r="Q88" s="20"/>
      <c r="R88" s="14">
        <f>L88*1000+O88*energiindhold_naturgas/3.6+P88*energiindhold_olie/3.6</f>
        <v>224906</v>
      </c>
      <c r="S88" s="14">
        <f t="shared" si="6"/>
        <v>43.59659781287971</v>
      </c>
      <c r="T88" s="14">
        <f t="shared" si="7"/>
        <v>136.63791008505467</v>
      </c>
      <c r="U88" s="30" t="s">
        <v>242</v>
      </c>
      <c r="V88" s="33" t="s">
        <v>199</v>
      </c>
      <c r="W88" s="33" t="s">
        <v>444</v>
      </c>
      <c r="X88" s="33" t="s">
        <v>445</v>
      </c>
      <c r="Y88" s="27"/>
      <c r="Z88" s="288"/>
      <c r="AA88" s="276">
        <f>(Bygninger!L88*N88*1000)/1000</f>
        <v>0</v>
      </c>
      <c r="AB88" s="289"/>
      <c r="AC88" s="289"/>
      <c r="AD88" s="289"/>
      <c r="AE88" s="290"/>
    </row>
    <row r="89" spans="1:31" s="1" customFormat="1" ht="14.25" outlineLevel="1">
      <c r="A89" s="11" t="s">
        <v>661</v>
      </c>
      <c r="B89" s="11" t="s">
        <v>80</v>
      </c>
      <c r="C89" s="18">
        <v>78</v>
      </c>
      <c r="D89" s="19">
        <v>5610</v>
      </c>
      <c r="E89" s="11" t="s">
        <v>14</v>
      </c>
      <c r="F89" s="21">
        <v>4410</v>
      </c>
      <c r="G89" s="20">
        <v>3994</v>
      </c>
      <c r="H89" s="411">
        <v>112308</v>
      </c>
      <c r="I89" s="44"/>
      <c r="J89" s="421"/>
      <c r="K89" s="40"/>
      <c r="L89" s="80">
        <v>459.7</v>
      </c>
      <c r="M89" s="45" t="s">
        <v>615</v>
      </c>
      <c r="N89" s="378">
        <f>Forudsætninger!B18</f>
        <v>0</v>
      </c>
      <c r="O89" s="20"/>
      <c r="P89" s="20"/>
      <c r="Q89" s="20"/>
      <c r="R89" s="14">
        <f>L89*1000+O89*energiindhold_naturgas/3.6+P89*energiindhold_olie/3.6</f>
        <v>459700</v>
      </c>
      <c r="S89" s="14">
        <f t="shared" si="6"/>
        <v>28.119178768152228</v>
      </c>
      <c r="T89" s="14">
        <f t="shared" si="7"/>
        <v>115.09764646970456</v>
      </c>
      <c r="U89" s="30" t="s">
        <v>285</v>
      </c>
      <c r="V89" s="33" t="s">
        <v>199</v>
      </c>
      <c r="W89" s="33" t="s">
        <v>446</v>
      </c>
      <c r="X89" s="33" t="s">
        <v>447</v>
      </c>
      <c r="Y89" s="27"/>
      <c r="Z89" s="288"/>
      <c r="AA89" s="276">
        <f>(Bygninger!L89*N89*1000)/1000</f>
        <v>0</v>
      </c>
      <c r="AB89" s="289"/>
      <c r="AC89" s="289"/>
      <c r="AD89" s="289"/>
      <c r="AE89" s="290"/>
    </row>
    <row r="90" spans="1:31" s="1" customFormat="1" ht="14.25" outlineLevel="1">
      <c r="A90" s="11" t="s">
        <v>662</v>
      </c>
      <c r="B90" s="11" t="s">
        <v>55</v>
      </c>
      <c r="C90" s="18">
        <v>80</v>
      </c>
      <c r="D90" s="19">
        <v>5610</v>
      </c>
      <c r="E90" s="11" t="s">
        <v>14</v>
      </c>
      <c r="F90" s="21">
        <v>5281</v>
      </c>
      <c r="G90" s="20">
        <v>1174</v>
      </c>
      <c r="H90" s="420"/>
      <c r="I90" s="44"/>
      <c r="J90" s="422"/>
      <c r="K90" s="40"/>
      <c r="L90" s="81">
        <v>90.503</v>
      </c>
      <c r="M90" s="45" t="s">
        <v>615</v>
      </c>
      <c r="N90" s="378">
        <f>Forudsætninger!B18</f>
        <v>0</v>
      </c>
      <c r="O90" s="20"/>
      <c r="P90" s="20"/>
      <c r="Q90" s="20"/>
      <c r="R90" s="14">
        <f>L90*1000+O90*energiindhold_naturgas/3.6+P90*energiindhold_olie/3.6</f>
        <v>90503</v>
      </c>
      <c r="S90" s="14">
        <f t="shared" si="6"/>
        <v>0</v>
      </c>
      <c r="T90" s="14">
        <f t="shared" si="7"/>
        <v>77.08943781942078</v>
      </c>
      <c r="U90" s="30" t="s">
        <v>284</v>
      </c>
      <c r="V90" s="33" t="s">
        <v>199</v>
      </c>
      <c r="W90" s="33" t="s">
        <v>446</v>
      </c>
      <c r="X90" s="33" t="s">
        <v>447</v>
      </c>
      <c r="Y90" s="27" t="s">
        <v>470</v>
      </c>
      <c r="Z90" s="288"/>
      <c r="AA90" s="276">
        <f>(Bygninger!L90*N90*1000)/1000</f>
        <v>0</v>
      </c>
      <c r="AB90" s="289"/>
      <c r="AC90" s="289"/>
      <c r="AD90" s="289"/>
      <c r="AE90" s="290"/>
    </row>
    <row r="91" spans="1:31" s="1" customFormat="1" ht="14.25" outlineLevel="1">
      <c r="A91" s="11" t="s">
        <v>671</v>
      </c>
      <c r="B91" s="11" t="s">
        <v>58</v>
      </c>
      <c r="C91" s="18">
        <v>84</v>
      </c>
      <c r="D91" s="22">
        <v>5610</v>
      </c>
      <c r="E91" s="11" t="s">
        <v>14</v>
      </c>
      <c r="F91" s="21">
        <v>2563</v>
      </c>
      <c r="G91" s="20">
        <v>4397</v>
      </c>
      <c r="H91" s="76">
        <v>45207</v>
      </c>
      <c r="I91" s="44"/>
      <c r="J91" s="45"/>
      <c r="K91" s="40"/>
      <c r="L91" s="77">
        <v>421.37</v>
      </c>
      <c r="M91" s="45" t="s">
        <v>615</v>
      </c>
      <c r="N91" s="378">
        <f>Forudsætninger!B18</f>
        <v>0</v>
      </c>
      <c r="O91" s="341"/>
      <c r="P91" s="20"/>
      <c r="Q91" s="20"/>
      <c r="R91" s="14">
        <f t="shared" si="8"/>
        <v>421370</v>
      </c>
      <c r="S91" s="14">
        <f t="shared" si="6"/>
        <v>10.281328178303388</v>
      </c>
      <c r="T91" s="14">
        <f t="shared" si="7"/>
        <v>95.83124857857631</v>
      </c>
      <c r="U91" s="30" t="s">
        <v>286</v>
      </c>
      <c r="V91" s="33" t="s">
        <v>287</v>
      </c>
      <c r="W91" s="33" t="s">
        <v>461</v>
      </c>
      <c r="X91" s="33" t="s">
        <v>462</v>
      </c>
      <c r="Y91" s="27"/>
      <c r="Z91" s="288"/>
      <c r="AA91" s="276">
        <f>(Bygninger!L91*N91*1000)/1000</f>
        <v>0</v>
      </c>
      <c r="AB91" s="289"/>
      <c r="AC91" s="289"/>
      <c r="AD91" s="289"/>
      <c r="AE91" s="290"/>
    </row>
    <row r="92" spans="1:31" s="1" customFormat="1" ht="14.25" outlineLevel="1">
      <c r="A92" s="11" t="s">
        <v>654</v>
      </c>
      <c r="B92" s="11" t="s">
        <v>63</v>
      </c>
      <c r="C92" s="18" t="s">
        <v>105</v>
      </c>
      <c r="D92" s="19">
        <v>5610</v>
      </c>
      <c r="E92" s="11" t="s">
        <v>14</v>
      </c>
      <c r="F92" s="21">
        <v>5523</v>
      </c>
      <c r="G92" s="20">
        <v>1990</v>
      </c>
      <c r="H92" s="76"/>
      <c r="I92" s="44"/>
      <c r="J92" s="45"/>
      <c r="K92" s="40"/>
      <c r="L92" s="77">
        <v>256.8</v>
      </c>
      <c r="M92" s="45" t="s">
        <v>615</v>
      </c>
      <c r="N92" s="378">
        <f>Forudsætninger!B18</f>
        <v>0</v>
      </c>
      <c r="O92" s="20"/>
      <c r="P92" s="20"/>
      <c r="Q92" s="20"/>
      <c r="R92" s="14">
        <f t="shared" si="8"/>
        <v>256800</v>
      </c>
      <c r="S92" s="14">
        <f t="shared" si="6"/>
        <v>0</v>
      </c>
      <c r="T92" s="14">
        <f t="shared" si="7"/>
        <v>129.04522613065328</v>
      </c>
      <c r="U92" s="30" t="s">
        <v>255</v>
      </c>
      <c r="V92" s="33" t="s">
        <v>199</v>
      </c>
      <c r="W92" s="33" t="s">
        <v>448</v>
      </c>
      <c r="X92" s="33" t="s">
        <v>449</v>
      </c>
      <c r="Y92" s="27"/>
      <c r="Z92" s="288"/>
      <c r="AA92" s="276">
        <f>(Bygninger!L92*N92*1000)/1000</f>
        <v>0</v>
      </c>
      <c r="AB92" s="289"/>
      <c r="AC92" s="289"/>
      <c r="AD92" s="289"/>
      <c r="AE92" s="290"/>
    </row>
    <row r="93" spans="1:31" s="1" customFormat="1" ht="14.25" outlineLevel="1">
      <c r="A93" s="11" t="s">
        <v>666</v>
      </c>
      <c r="B93" s="11" t="s">
        <v>67</v>
      </c>
      <c r="C93" s="18">
        <v>5</v>
      </c>
      <c r="D93" s="19">
        <v>5620</v>
      </c>
      <c r="E93" s="11" t="s">
        <v>16</v>
      </c>
      <c r="F93" s="21">
        <v>7856</v>
      </c>
      <c r="G93" s="20">
        <v>1449</v>
      </c>
      <c r="H93" s="76">
        <v>42290</v>
      </c>
      <c r="I93" s="44"/>
      <c r="J93" s="45"/>
      <c r="K93" s="40"/>
      <c r="L93" s="77">
        <v>5.9</v>
      </c>
      <c r="M93" s="45" t="s">
        <v>615</v>
      </c>
      <c r="N93" s="378">
        <f>Forudsætninger!B18</f>
        <v>0</v>
      </c>
      <c r="O93" s="20"/>
      <c r="P93" s="20"/>
      <c r="Q93" s="20"/>
      <c r="R93" s="14">
        <f t="shared" si="8"/>
        <v>5900</v>
      </c>
      <c r="S93" s="14">
        <f t="shared" si="6"/>
        <v>29.185645272601793</v>
      </c>
      <c r="T93" s="14">
        <f t="shared" si="7"/>
        <v>4.071773636991028</v>
      </c>
      <c r="U93" s="30" t="s">
        <v>288</v>
      </c>
      <c r="V93" s="33" t="s">
        <v>266</v>
      </c>
      <c r="W93" s="33" t="s">
        <v>400</v>
      </c>
      <c r="X93" s="33" t="s">
        <v>401</v>
      </c>
      <c r="Y93" s="27"/>
      <c r="Z93" s="288"/>
      <c r="AA93" s="276">
        <f>(Bygninger!L93*N93*1000)/1000</f>
        <v>0</v>
      </c>
      <c r="AB93" s="289"/>
      <c r="AC93" s="289"/>
      <c r="AD93" s="289"/>
      <c r="AE93" s="290"/>
    </row>
    <row r="94" spans="1:31" s="1" customFormat="1" ht="14.25" outlineLevel="1">
      <c r="A94" s="11" t="s">
        <v>68</v>
      </c>
      <c r="B94" s="11" t="s">
        <v>37</v>
      </c>
      <c r="C94" s="18">
        <v>3</v>
      </c>
      <c r="D94" s="19">
        <v>5620</v>
      </c>
      <c r="E94" s="11" t="s">
        <v>16</v>
      </c>
      <c r="F94" s="21">
        <v>6684</v>
      </c>
      <c r="G94" s="20">
        <v>1680</v>
      </c>
      <c r="H94" s="76">
        <v>76227</v>
      </c>
      <c r="I94" s="44"/>
      <c r="J94" s="45"/>
      <c r="K94" s="40"/>
      <c r="L94" s="77">
        <v>277.233</v>
      </c>
      <c r="M94" s="45" t="s">
        <v>617</v>
      </c>
      <c r="N94" s="378">
        <f>Forudsætninger!B19</f>
        <v>0.1021</v>
      </c>
      <c r="O94" s="20"/>
      <c r="P94" s="20"/>
      <c r="Q94" s="20"/>
      <c r="R94" s="14">
        <f t="shared" si="8"/>
        <v>277233</v>
      </c>
      <c r="S94" s="14">
        <f t="shared" si="6"/>
        <v>45.37321428571428</v>
      </c>
      <c r="T94" s="14">
        <f t="shared" si="7"/>
        <v>165.01964285714286</v>
      </c>
      <c r="U94" s="30" t="s">
        <v>289</v>
      </c>
      <c r="V94" s="33" t="s">
        <v>250</v>
      </c>
      <c r="W94" s="33" t="s">
        <v>452</v>
      </c>
      <c r="X94" s="33" t="s">
        <v>453</v>
      </c>
      <c r="Y94" s="27"/>
      <c r="Z94" s="288"/>
      <c r="AA94" s="276">
        <f>(Bygninger!L94*N94*1000)/1000</f>
        <v>28.305489299999998</v>
      </c>
      <c r="AB94" s="289"/>
      <c r="AC94" s="289"/>
      <c r="AD94" s="289"/>
      <c r="AE94" s="290"/>
    </row>
    <row r="95" spans="1:31" s="1" customFormat="1" ht="14.25" outlineLevel="1">
      <c r="A95" s="11" t="s">
        <v>155</v>
      </c>
      <c r="B95" s="11" t="s">
        <v>69</v>
      </c>
      <c r="C95" s="18">
        <v>4</v>
      </c>
      <c r="D95" s="19">
        <v>5620</v>
      </c>
      <c r="E95" s="11" t="s">
        <v>16</v>
      </c>
      <c r="F95" s="21">
        <v>7541</v>
      </c>
      <c r="G95" s="20">
        <v>1574</v>
      </c>
      <c r="H95" s="76">
        <v>146064</v>
      </c>
      <c r="I95" s="44">
        <v>1653</v>
      </c>
      <c r="J95" s="45"/>
      <c r="K95" s="40"/>
      <c r="L95" s="20"/>
      <c r="M95" s="45" t="s">
        <v>617</v>
      </c>
      <c r="N95" s="378">
        <f>Forudsætninger!B19</f>
        <v>0.1021</v>
      </c>
      <c r="O95" s="77">
        <v>28161</v>
      </c>
      <c r="P95" s="20"/>
      <c r="Q95" s="20"/>
      <c r="R95" s="14">
        <f t="shared" si="8"/>
        <v>310553.25000000006</v>
      </c>
      <c r="S95" s="14">
        <f t="shared" si="6"/>
        <v>92.79796696315121</v>
      </c>
      <c r="T95" s="14">
        <f t="shared" si="7"/>
        <v>197.30193773824655</v>
      </c>
      <c r="U95" s="30" t="s">
        <v>290</v>
      </c>
      <c r="V95" s="33" t="s">
        <v>291</v>
      </c>
      <c r="W95" s="33" t="s">
        <v>454</v>
      </c>
      <c r="X95" s="33" t="s">
        <v>455</v>
      </c>
      <c r="Y95" s="27"/>
      <c r="Z95" s="288"/>
      <c r="AA95" s="276">
        <f>(Bygninger!L95*N95*1000)/1000</f>
        <v>0</v>
      </c>
      <c r="AB95" s="289"/>
      <c r="AC95" s="289"/>
      <c r="AD95" s="289"/>
      <c r="AE95" s="290"/>
    </row>
    <row r="96" spans="1:31" s="1" customFormat="1" ht="14.25" outlineLevel="1">
      <c r="A96" s="24" t="s">
        <v>680</v>
      </c>
      <c r="B96" s="24" t="s">
        <v>133</v>
      </c>
      <c r="C96" s="18">
        <v>81</v>
      </c>
      <c r="D96" s="19">
        <v>5683</v>
      </c>
      <c r="E96" s="24" t="s">
        <v>12</v>
      </c>
      <c r="F96" s="21">
        <v>10012</v>
      </c>
      <c r="G96" s="20">
        <v>3149</v>
      </c>
      <c r="H96" s="76">
        <v>56056</v>
      </c>
      <c r="I96" s="44"/>
      <c r="J96" s="45"/>
      <c r="K96" s="40"/>
      <c r="L96" s="77">
        <v>462.19</v>
      </c>
      <c r="M96" s="44"/>
      <c r="N96" s="378"/>
      <c r="O96" s="341"/>
      <c r="P96" s="20"/>
      <c r="Q96" s="20"/>
      <c r="R96" s="14">
        <f aca="true" t="shared" si="9" ref="R96:R120">L96*1000+O96*energiindhold_naturgas/3.6+P96*energiindhold_olie/3.6</f>
        <v>462190</v>
      </c>
      <c r="S96" s="14">
        <f t="shared" si="6"/>
        <v>17.801206732295967</v>
      </c>
      <c r="T96" s="14">
        <f t="shared" si="7"/>
        <v>146.77357891394092</v>
      </c>
      <c r="U96" s="32" t="s">
        <v>268</v>
      </c>
      <c r="V96" s="33" t="s">
        <v>292</v>
      </c>
      <c r="W96" s="33" t="s">
        <v>450</v>
      </c>
      <c r="X96" s="33" t="s">
        <v>451</v>
      </c>
      <c r="Y96" s="27"/>
      <c r="Z96" s="288"/>
      <c r="AA96" s="276">
        <f>(Bygninger!L96*N96*1000)/1000</f>
        <v>0</v>
      </c>
      <c r="AB96" s="289"/>
      <c r="AC96" s="289"/>
      <c r="AD96" s="289"/>
      <c r="AE96" s="290"/>
    </row>
    <row r="97" spans="1:31" s="1" customFormat="1" ht="14.25" outlineLevel="1">
      <c r="A97" s="11" t="s">
        <v>156</v>
      </c>
      <c r="B97" s="11" t="s">
        <v>73</v>
      </c>
      <c r="C97" s="18">
        <v>22</v>
      </c>
      <c r="D97" s="19">
        <v>5683</v>
      </c>
      <c r="E97" s="11" t="s">
        <v>12</v>
      </c>
      <c r="F97" s="21">
        <v>10912</v>
      </c>
      <c r="G97" s="20">
        <v>1035</v>
      </c>
      <c r="H97" s="76">
        <v>148744</v>
      </c>
      <c r="I97" s="44"/>
      <c r="J97" s="45"/>
      <c r="K97" s="40"/>
      <c r="L97" s="77">
        <v>150.33</v>
      </c>
      <c r="M97" s="45" t="s">
        <v>618</v>
      </c>
      <c r="N97" s="378">
        <f>Forudsætninger!B20</f>
        <v>0.143</v>
      </c>
      <c r="O97" s="341"/>
      <c r="P97" s="20"/>
      <c r="Q97" s="20"/>
      <c r="R97" s="14">
        <f t="shared" si="9"/>
        <v>150330</v>
      </c>
      <c r="S97" s="14">
        <f t="shared" si="6"/>
        <v>143.71400966183575</v>
      </c>
      <c r="T97" s="14">
        <f t="shared" si="7"/>
        <v>145.2463768115942</v>
      </c>
      <c r="U97" s="30" t="s">
        <v>220</v>
      </c>
      <c r="V97" s="33" t="s">
        <v>199</v>
      </c>
      <c r="W97" s="33" t="s">
        <v>457</v>
      </c>
      <c r="X97" s="33" t="s">
        <v>458</v>
      </c>
      <c r="Y97" s="27"/>
      <c r="Z97" s="288"/>
      <c r="AA97" s="276">
        <f>(Bygninger!L97*N97*1000)/1000</f>
        <v>21.49719</v>
      </c>
      <c r="AB97" s="289"/>
      <c r="AC97" s="289"/>
      <c r="AD97" s="289"/>
      <c r="AE97" s="290"/>
    </row>
    <row r="98" spans="1:31" s="1" customFormat="1" ht="14.25" outlineLevel="1">
      <c r="A98" s="11" t="s">
        <v>644</v>
      </c>
      <c r="B98" s="11" t="s">
        <v>71</v>
      </c>
      <c r="C98" s="18">
        <v>100</v>
      </c>
      <c r="D98" s="19">
        <v>5690</v>
      </c>
      <c r="E98" s="11" t="s">
        <v>9</v>
      </c>
      <c r="F98" s="21">
        <v>14294</v>
      </c>
      <c r="G98" s="20">
        <v>908</v>
      </c>
      <c r="H98" s="76">
        <v>38237</v>
      </c>
      <c r="I98" s="44"/>
      <c r="J98" s="45"/>
      <c r="K98" s="40"/>
      <c r="L98" s="77">
        <v>74.98</v>
      </c>
      <c r="M98" s="45" t="s">
        <v>618</v>
      </c>
      <c r="N98" s="378">
        <f>Forudsætninger!B20</f>
        <v>0.143</v>
      </c>
      <c r="O98" s="341"/>
      <c r="P98" s="20"/>
      <c r="Q98" s="20"/>
      <c r="R98" s="14">
        <f t="shared" si="9"/>
        <v>74980</v>
      </c>
      <c r="S98" s="14">
        <f t="shared" si="6"/>
        <v>42.11123348017621</v>
      </c>
      <c r="T98" s="14">
        <f t="shared" si="7"/>
        <v>82.57709251101322</v>
      </c>
      <c r="U98" s="30" t="s">
        <v>280</v>
      </c>
      <c r="V98" s="33" t="s">
        <v>222</v>
      </c>
      <c r="W98" s="33" t="s">
        <v>456</v>
      </c>
      <c r="X98" s="33" t="s">
        <v>422</v>
      </c>
      <c r="Y98" s="27"/>
      <c r="Z98" s="288"/>
      <c r="AA98" s="276">
        <f>(Bygninger!L98*N98*1000)/1000</f>
        <v>10.72214</v>
      </c>
      <c r="AB98" s="289"/>
      <c r="AC98" s="289"/>
      <c r="AD98" s="289"/>
      <c r="AE98" s="290"/>
    </row>
    <row r="99" spans="1:31" s="1" customFormat="1" ht="14.25" outlineLevel="1">
      <c r="A99" s="11" t="s">
        <v>679</v>
      </c>
      <c r="B99" s="11" t="s">
        <v>71</v>
      </c>
      <c r="C99" s="18">
        <v>101</v>
      </c>
      <c r="D99" s="19">
        <v>5690</v>
      </c>
      <c r="E99" s="11" t="s">
        <v>9</v>
      </c>
      <c r="F99" s="21">
        <v>14293</v>
      </c>
      <c r="G99" s="20">
        <v>783</v>
      </c>
      <c r="H99" s="76">
        <v>24611</v>
      </c>
      <c r="I99" s="44"/>
      <c r="J99" s="45"/>
      <c r="K99" s="40"/>
      <c r="L99" s="77">
        <v>83</v>
      </c>
      <c r="M99" s="45" t="s">
        <v>690</v>
      </c>
      <c r="N99" s="378">
        <f>Forudsætninger!B21</f>
        <v>0.0102</v>
      </c>
      <c r="O99" s="341"/>
      <c r="P99" s="20"/>
      <c r="Q99" s="20"/>
      <c r="R99" s="14">
        <f t="shared" si="9"/>
        <v>83000</v>
      </c>
      <c r="S99" s="14">
        <f t="shared" si="6"/>
        <v>31.431673052362708</v>
      </c>
      <c r="T99" s="14">
        <f t="shared" si="7"/>
        <v>106.00255427841634</v>
      </c>
      <c r="U99" s="30" t="s">
        <v>280</v>
      </c>
      <c r="V99" s="33" t="s">
        <v>199</v>
      </c>
      <c r="W99" s="33" t="s">
        <v>456</v>
      </c>
      <c r="X99" s="33" t="s">
        <v>422</v>
      </c>
      <c r="Y99" s="27"/>
      <c r="Z99" s="288"/>
      <c r="AA99" s="276">
        <f>(Bygninger!L99*N99*1000)/1000</f>
        <v>0.8466</v>
      </c>
      <c r="AB99" s="289"/>
      <c r="AC99" s="289"/>
      <c r="AD99" s="289"/>
      <c r="AE99" s="290"/>
    </row>
    <row r="100" spans="1:31" s="1" customFormat="1" ht="14.25" outlineLevel="1">
      <c r="A100" s="11" t="s">
        <v>72</v>
      </c>
      <c r="B100" s="11" t="s">
        <v>51</v>
      </c>
      <c r="C100" s="18">
        <v>101</v>
      </c>
      <c r="D100" s="19">
        <v>5690</v>
      </c>
      <c r="E100" s="11" t="s">
        <v>9</v>
      </c>
      <c r="F100" s="21">
        <v>11469</v>
      </c>
      <c r="G100" s="20">
        <v>2046</v>
      </c>
      <c r="H100" s="76">
        <v>55912</v>
      </c>
      <c r="I100" s="44"/>
      <c r="J100" s="45"/>
      <c r="K100" s="40"/>
      <c r="L100" s="20"/>
      <c r="M100" s="45"/>
      <c r="N100" s="378"/>
      <c r="O100" s="77">
        <v>15866</v>
      </c>
      <c r="P100" s="20"/>
      <c r="Q100" s="20"/>
      <c r="R100" s="14">
        <f t="shared" si="9"/>
        <v>174966.72222222225</v>
      </c>
      <c r="S100" s="14">
        <f t="shared" si="6"/>
        <v>27.327468230694038</v>
      </c>
      <c r="T100" s="14">
        <f t="shared" si="7"/>
        <v>85.51648202454655</v>
      </c>
      <c r="U100" s="30" t="s">
        <v>293</v>
      </c>
      <c r="V100" s="33" t="s">
        <v>294</v>
      </c>
      <c r="W100" s="33" t="s">
        <v>456</v>
      </c>
      <c r="X100" s="33" t="s">
        <v>422</v>
      </c>
      <c r="Y100" s="27"/>
      <c r="Z100" s="288"/>
      <c r="AA100" s="276">
        <f>(Bygninger!L100*N100*1000)/1000</f>
        <v>0</v>
      </c>
      <c r="AB100" s="289"/>
      <c r="AC100" s="289"/>
      <c r="AD100" s="289"/>
      <c r="AE100" s="290"/>
    </row>
    <row r="101" spans="1:31" s="1" customFormat="1" ht="14.25" outlineLevel="1">
      <c r="A101" s="11" t="s">
        <v>109</v>
      </c>
      <c r="B101" s="11" t="s">
        <v>70</v>
      </c>
      <c r="C101" s="18">
        <v>1</v>
      </c>
      <c r="D101" s="19">
        <v>5690</v>
      </c>
      <c r="E101" s="11" t="s">
        <v>9</v>
      </c>
      <c r="F101" s="21">
        <v>12807</v>
      </c>
      <c r="G101" s="20">
        <v>296</v>
      </c>
      <c r="H101" s="76">
        <v>4086</v>
      </c>
      <c r="I101" s="44"/>
      <c r="J101" s="45"/>
      <c r="K101" s="40"/>
      <c r="L101" s="358">
        <v>35.2</v>
      </c>
      <c r="M101" s="45" t="s">
        <v>690</v>
      </c>
      <c r="N101" s="378">
        <f>Forudsætninger!B21</f>
        <v>0.0102</v>
      </c>
      <c r="O101" s="20"/>
      <c r="P101" s="20"/>
      <c r="Q101" s="20"/>
      <c r="R101" s="14">
        <f t="shared" si="9"/>
        <v>35200</v>
      </c>
      <c r="S101" s="14">
        <f t="shared" si="6"/>
        <v>13.804054054054054</v>
      </c>
      <c r="T101" s="14">
        <f t="shared" si="7"/>
        <v>118.91891891891892</v>
      </c>
      <c r="U101" s="30" t="s">
        <v>219</v>
      </c>
      <c r="V101" s="33" t="s">
        <v>254</v>
      </c>
      <c r="W101" s="33" t="s">
        <v>427</v>
      </c>
      <c r="X101" s="33" t="s">
        <v>428</v>
      </c>
      <c r="Y101" s="27"/>
      <c r="Z101" s="288"/>
      <c r="AA101" s="276">
        <f>(Bygninger!L101*N101*1000)/1000</f>
        <v>0.3590400000000001</v>
      </c>
      <c r="AB101" s="289"/>
      <c r="AC101" s="289"/>
      <c r="AD101" s="289"/>
      <c r="AE101" s="290"/>
    </row>
    <row r="102" spans="1:31" s="1" customFormat="1" ht="14.25" outlineLevel="1">
      <c r="A102" s="11" t="s">
        <v>157</v>
      </c>
      <c r="B102" s="11" t="s">
        <v>65</v>
      </c>
      <c r="C102" s="18">
        <v>3</v>
      </c>
      <c r="D102" s="19">
        <v>5560</v>
      </c>
      <c r="E102" s="11" t="s">
        <v>7</v>
      </c>
      <c r="F102" s="21">
        <v>17294</v>
      </c>
      <c r="G102" s="20">
        <v>1813</v>
      </c>
      <c r="H102" s="76">
        <v>710</v>
      </c>
      <c r="I102" s="44"/>
      <c r="J102" s="45"/>
      <c r="K102" s="40"/>
      <c r="L102" s="20"/>
      <c r="M102" s="44"/>
      <c r="N102" s="378"/>
      <c r="O102" s="359">
        <v>20238</v>
      </c>
      <c r="P102" s="20"/>
      <c r="Q102" s="20"/>
      <c r="R102" s="14">
        <f t="shared" si="9"/>
        <v>223180.1666666667</v>
      </c>
      <c r="S102" s="14">
        <f t="shared" si="6"/>
        <v>0.39161610590182017</v>
      </c>
      <c r="T102" s="14">
        <f t="shared" si="7"/>
        <v>123.09992645706933</v>
      </c>
      <c r="U102" s="30" t="s">
        <v>295</v>
      </c>
      <c r="V102" s="33" t="s">
        <v>220</v>
      </c>
      <c r="W102" s="33"/>
      <c r="X102" s="33"/>
      <c r="Y102" s="27"/>
      <c r="Z102" s="288"/>
      <c r="AA102" s="276">
        <f>(Bygninger!L102*N102*1000)/1000</f>
        <v>0</v>
      </c>
      <c r="AB102" s="289"/>
      <c r="AC102" s="289"/>
      <c r="AD102" s="289"/>
      <c r="AE102" s="290"/>
    </row>
    <row r="103" spans="1:31" s="1" customFormat="1" ht="14.25" outlineLevel="1">
      <c r="A103" s="11" t="s">
        <v>659</v>
      </c>
      <c r="B103" s="11" t="s">
        <v>81</v>
      </c>
      <c r="C103" s="18">
        <v>12</v>
      </c>
      <c r="D103" s="19">
        <v>5560</v>
      </c>
      <c r="E103" s="11" t="s">
        <v>7</v>
      </c>
      <c r="F103" s="21">
        <v>18133</v>
      </c>
      <c r="G103" s="20">
        <v>4078</v>
      </c>
      <c r="H103" s="411">
        <v>316496</v>
      </c>
      <c r="I103" s="44"/>
      <c r="J103" s="45"/>
      <c r="K103" s="40"/>
      <c r="L103" s="20"/>
      <c r="M103" s="44"/>
      <c r="N103" s="384"/>
      <c r="O103" s="356">
        <v>54500</v>
      </c>
      <c r="P103" s="349"/>
      <c r="Q103" s="20"/>
      <c r="R103" s="14">
        <f t="shared" si="9"/>
        <v>601013.8888888889</v>
      </c>
      <c r="S103" s="14">
        <f>H103/G103</f>
        <v>77.61059342815105</v>
      </c>
      <c r="T103" s="14">
        <f>R103/G103</f>
        <v>147.37957059560787</v>
      </c>
      <c r="U103" s="30" t="s">
        <v>296</v>
      </c>
      <c r="V103" s="33" t="s">
        <v>224</v>
      </c>
      <c r="W103" s="33" t="s">
        <v>463</v>
      </c>
      <c r="X103" s="33" t="s">
        <v>464</v>
      </c>
      <c r="Y103" s="27" t="s">
        <v>314</v>
      </c>
      <c r="Z103" s="288"/>
      <c r="AA103" s="276">
        <f>(Bygninger!L103*N103*1000)/1000</f>
        <v>0</v>
      </c>
      <c r="AB103" s="289"/>
      <c r="AC103" s="289"/>
      <c r="AD103" s="289"/>
      <c r="AE103" s="290"/>
    </row>
    <row r="104" spans="1:31" s="1" customFormat="1" ht="14.25" outlineLevel="1">
      <c r="A104" s="11" t="s">
        <v>660</v>
      </c>
      <c r="B104" s="11" t="s">
        <v>81</v>
      </c>
      <c r="C104" s="25" t="s">
        <v>187</v>
      </c>
      <c r="D104" s="19">
        <v>5560</v>
      </c>
      <c r="E104" s="11" t="s">
        <v>7</v>
      </c>
      <c r="F104" s="21" t="s">
        <v>189</v>
      </c>
      <c r="G104" s="20">
        <v>137</v>
      </c>
      <c r="H104" s="426"/>
      <c r="I104" s="44"/>
      <c r="J104" s="45"/>
      <c r="K104" s="40"/>
      <c r="L104" s="20"/>
      <c r="M104" s="44"/>
      <c r="N104" s="384"/>
      <c r="O104" s="77">
        <v>12865</v>
      </c>
      <c r="P104" s="349"/>
      <c r="Q104" s="20"/>
      <c r="R104" s="14">
        <f t="shared" si="9"/>
        <v>141872.36111111112</v>
      </c>
      <c r="S104" s="14">
        <f>H104/G104</f>
        <v>0</v>
      </c>
      <c r="T104" s="14">
        <f>R104/G104</f>
        <v>1035.564679643147</v>
      </c>
      <c r="U104" s="30" t="s">
        <v>295</v>
      </c>
      <c r="V104" s="33" t="s">
        <v>280</v>
      </c>
      <c r="W104" s="33" t="s">
        <v>463</v>
      </c>
      <c r="X104" s="33" t="s">
        <v>464</v>
      </c>
      <c r="Y104" s="27"/>
      <c r="Z104" s="288"/>
      <c r="AA104" s="276">
        <f>(Bygninger!L104*N104*1000)/1000</f>
        <v>0</v>
      </c>
      <c r="AB104" s="289"/>
      <c r="AC104" s="289"/>
      <c r="AD104" s="289"/>
      <c r="AE104" s="290"/>
    </row>
    <row r="105" spans="1:31" s="1" customFormat="1" ht="14.25" outlineLevel="1">
      <c r="A105" s="11" t="s">
        <v>678</v>
      </c>
      <c r="B105" s="11" t="s">
        <v>81</v>
      </c>
      <c r="C105" s="25" t="s">
        <v>186</v>
      </c>
      <c r="D105" s="19">
        <v>5560</v>
      </c>
      <c r="E105" s="11" t="s">
        <v>7</v>
      </c>
      <c r="F105" s="21" t="s">
        <v>188</v>
      </c>
      <c r="G105" s="20">
        <v>783</v>
      </c>
      <c r="H105" s="420"/>
      <c r="I105" s="44"/>
      <c r="J105" s="45"/>
      <c r="K105" s="40"/>
      <c r="L105" s="20"/>
      <c r="M105" s="44"/>
      <c r="N105" s="384"/>
      <c r="O105" s="362">
        <v>0</v>
      </c>
      <c r="P105" s="349"/>
      <c r="Q105" s="20"/>
      <c r="R105" s="14">
        <f t="shared" si="9"/>
        <v>0</v>
      </c>
      <c r="S105" s="14">
        <f>H105/G105</f>
        <v>0</v>
      </c>
      <c r="T105" s="14">
        <f>R105/G105</f>
        <v>0</v>
      </c>
      <c r="U105" s="30" t="s">
        <v>280</v>
      </c>
      <c r="V105" s="33" t="s">
        <v>232</v>
      </c>
      <c r="W105" s="37" t="s">
        <v>406</v>
      </c>
      <c r="X105" s="33" t="s">
        <v>407</v>
      </c>
      <c r="Y105" s="27"/>
      <c r="Z105" s="291"/>
      <c r="AA105" s="276">
        <f>(Bygninger!L105*N105*1000)/1000</f>
        <v>0</v>
      </c>
      <c r="AB105" s="292"/>
      <c r="AC105" s="292"/>
      <c r="AD105" s="292"/>
      <c r="AE105" s="293"/>
    </row>
    <row r="106" spans="1:31" s="56" customFormat="1" ht="15">
      <c r="A106" s="16" t="s">
        <v>506</v>
      </c>
      <c r="B106" s="16"/>
      <c r="C106" s="8"/>
      <c r="D106" s="7"/>
      <c r="E106" s="16"/>
      <c r="F106" s="10"/>
      <c r="G106" s="17">
        <f>SUM(G107:G112)</f>
        <v>3607</v>
      </c>
      <c r="H106" s="17">
        <f aca="true" t="shared" si="10" ref="H106:O106">SUM(H107:H112)</f>
        <v>95795</v>
      </c>
      <c r="I106" s="17">
        <f t="shared" si="10"/>
        <v>0</v>
      </c>
      <c r="J106" s="17">
        <f t="shared" si="10"/>
        <v>0</v>
      </c>
      <c r="K106" s="17">
        <f t="shared" si="10"/>
        <v>0</v>
      </c>
      <c r="L106" s="17">
        <f t="shared" si="10"/>
        <v>147.1</v>
      </c>
      <c r="M106" s="371"/>
      <c r="N106" s="379"/>
      <c r="O106" s="355">
        <f t="shared" si="10"/>
        <v>5426</v>
      </c>
      <c r="P106" s="17">
        <f>SUM(P107:P112)</f>
        <v>0</v>
      </c>
      <c r="Q106" s="17">
        <f>SUM(Q107:Q112)</f>
        <v>0</v>
      </c>
      <c r="R106" s="17">
        <f>L106*1000+O106*energiindhold_naturgas/3.6+P106*energiindhold_olie/3.6</f>
        <v>206936.72222222222</v>
      </c>
      <c r="S106" s="17">
        <f>H106/G106</f>
        <v>26.558081508178542</v>
      </c>
      <c r="T106" s="17">
        <f>R106/G106</f>
        <v>57.3708683732249</v>
      </c>
      <c r="U106" s="28"/>
      <c r="V106" s="63"/>
      <c r="W106" s="63"/>
      <c r="X106" s="63"/>
      <c r="Y106" s="36"/>
      <c r="Z106" s="270">
        <f>(Bygninger!H106*CO2_el)/1000</f>
        <v>41.95821</v>
      </c>
      <c r="AA106" s="270">
        <f>SUM(AA107:AA112)</f>
        <v>13.38049</v>
      </c>
      <c r="AB106" s="270">
        <f>(Bygninger!O106*CO2_naturgas)/1000</f>
        <v>12.181370000000001</v>
      </c>
      <c r="AC106" s="270">
        <f>(Bygninger!P106*CO2_olie)/1000</f>
        <v>0</v>
      </c>
      <c r="AD106" s="270">
        <f>SUM(AA106:AC106)</f>
        <v>25.561860000000003</v>
      </c>
      <c r="AE106" s="270">
        <f>Z106+AD106</f>
        <v>67.52007</v>
      </c>
    </row>
    <row r="107" spans="1:31" s="1" customFormat="1" ht="14.25" outlineLevel="1">
      <c r="A107" s="11" t="s">
        <v>77</v>
      </c>
      <c r="B107" s="11" t="s">
        <v>74</v>
      </c>
      <c r="C107" s="12" t="s">
        <v>103</v>
      </c>
      <c r="D107" s="13">
        <v>5620</v>
      </c>
      <c r="E107" s="11" t="s">
        <v>16</v>
      </c>
      <c r="F107" s="15">
        <v>7434</v>
      </c>
      <c r="G107" s="14">
        <v>779</v>
      </c>
      <c r="H107" s="76">
        <v>20320</v>
      </c>
      <c r="I107" s="42"/>
      <c r="J107" s="43"/>
      <c r="K107" s="39"/>
      <c r="L107" s="77">
        <v>89</v>
      </c>
      <c r="M107" s="45" t="s">
        <v>617</v>
      </c>
      <c r="N107" s="378">
        <f>Forudsætninger!B19</f>
        <v>0.1021</v>
      </c>
      <c r="O107" s="20"/>
      <c r="P107" s="20"/>
      <c r="Q107" s="20"/>
      <c r="R107" s="14">
        <f>L107*1000+O107*energiindhold_naturgas/3.6+P107*energiindhold_olie/3.6</f>
        <v>89000</v>
      </c>
      <c r="S107" s="14">
        <f>H107/G107</f>
        <v>26.084724005134788</v>
      </c>
      <c r="T107" s="14">
        <f>R107/G107</f>
        <v>114.24903722721437</v>
      </c>
      <c r="U107" s="30" t="s">
        <v>302</v>
      </c>
      <c r="V107" s="33" t="s">
        <v>199</v>
      </c>
      <c r="W107" s="33" t="s">
        <v>408</v>
      </c>
      <c r="X107" s="33" t="s">
        <v>409</v>
      </c>
      <c r="Y107" s="27"/>
      <c r="Z107" s="285"/>
      <c r="AA107" s="272">
        <f>(Bygninger!L107*N107*1000)/1000</f>
        <v>9.0869</v>
      </c>
      <c r="AB107" s="286"/>
      <c r="AC107" s="286"/>
      <c r="AD107" s="286"/>
      <c r="AE107" s="287"/>
    </row>
    <row r="108" spans="1:31" s="1" customFormat="1" ht="14.25" outlineLevel="1">
      <c r="A108" s="11" t="s">
        <v>190</v>
      </c>
      <c r="B108" s="11" t="s">
        <v>191</v>
      </c>
      <c r="C108" s="12">
        <v>16</v>
      </c>
      <c r="D108" s="13">
        <v>5683</v>
      </c>
      <c r="E108" s="11" t="s">
        <v>12</v>
      </c>
      <c r="F108" s="15" t="s">
        <v>192</v>
      </c>
      <c r="G108" s="14">
        <v>446</v>
      </c>
      <c r="H108" s="417" t="s">
        <v>708</v>
      </c>
      <c r="I108" s="418"/>
      <c r="J108" s="418"/>
      <c r="K108" s="419"/>
      <c r="L108" s="349"/>
      <c r="M108" s="374"/>
      <c r="N108" s="385"/>
      <c r="O108" s="349"/>
      <c r="P108" s="349"/>
      <c r="Q108" s="349"/>
      <c r="R108" s="14"/>
      <c r="S108" s="14"/>
      <c r="T108" s="14"/>
      <c r="U108" s="30" t="s">
        <v>304</v>
      </c>
      <c r="V108" s="33" t="s">
        <v>305</v>
      </c>
      <c r="W108" s="33" t="s">
        <v>408</v>
      </c>
      <c r="X108" s="33" t="s">
        <v>409</v>
      </c>
      <c r="Y108" s="27"/>
      <c r="Z108" s="288"/>
      <c r="AA108" s="276">
        <f>(Bygninger!L108*N108*1000)/1000</f>
        <v>0</v>
      </c>
      <c r="AB108" s="289"/>
      <c r="AC108" s="289"/>
      <c r="AD108" s="289"/>
      <c r="AE108" s="290"/>
    </row>
    <row r="109" spans="1:31" s="1" customFormat="1" ht="14.25" outlineLevel="1">
      <c r="A109" s="11" t="s">
        <v>162</v>
      </c>
      <c r="B109" s="11" t="s">
        <v>48</v>
      </c>
      <c r="C109" s="12">
        <v>3</v>
      </c>
      <c r="D109" s="13">
        <v>5690</v>
      </c>
      <c r="E109" s="11" t="s">
        <v>9</v>
      </c>
      <c r="F109" s="15" t="s">
        <v>124</v>
      </c>
      <c r="G109" s="14">
        <v>106</v>
      </c>
      <c r="H109" s="39" t="s">
        <v>709</v>
      </c>
      <c r="I109" s="42"/>
      <c r="J109" s="43"/>
      <c r="K109" s="39"/>
      <c r="L109" s="20"/>
      <c r="M109" s="44"/>
      <c r="N109" s="378"/>
      <c r="O109" s="20"/>
      <c r="P109" s="20"/>
      <c r="Q109" s="20"/>
      <c r="R109" s="14"/>
      <c r="S109" s="14"/>
      <c r="T109" s="14"/>
      <c r="U109" s="30" t="s">
        <v>306</v>
      </c>
      <c r="V109" s="33" t="s">
        <v>199</v>
      </c>
      <c r="W109" s="33" t="s">
        <v>423</v>
      </c>
      <c r="X109" s="33" t="s">
        <v>424</v>
      </c>
      <c r="Y109" s="27"/>
      <c r="Z109" s="288"/>
      <c r="AA109" s="276">
        <f>(Bygninger!L109*N109*1000)/1000</f>
        <v>0</v>
      </c>
      <c r="AB109" s="289"/>
      <c r="AC109" s="289"/>
      <c r="AD109" s="289"/>
      <c r="AE109" s="290"/>
    </row>
    <row r="110" spans="1:31" s="1" customFormat="1" ht="15" outlineLevel="1">
      <c r="A110" s="11" t="s">
        <v>675</v>
      </c>
      <c r="B110" s="11" t="s">
        <v>84</v>
      </c>
      <c r="C110" s="12">
        <v>50</v>
      </c>
      <c r="D110" s="13">
        <v>5690</v>
      </c>
      <c r="E110" s="11" t="s">
        <v>9</v>
      </c>
      <c r="F110" s="15">
        <v>13765</v>
      </c>
      <c r="G110" s="14">
        <v>280</v>
      </c>
      <c r="H110" s="76">
        <v>4582</v>
      </c>
      <c r="I110" s="42"/>
      <c r="J110" s="43"/>
      <c r="K110" s="39"/>
      <c r="L110" s="20"/>
      <c r="M110" s="44"/>
      <c r="N110" s="380"/>
      <c r="O110" s="20"/>
      <c r="P110" s="361">
        <v>0</v>
      </c>
      <c r="Q110" s="348"/>
      <c r="R110" s="14">
        <f>L110*1000+O110*energiindhold_naturgas/3.6+P110*energiindhold_olie/3.6</f>
        <v>0</v>
      </c>
      <c r="S110" s="14">
        <f>H110/G110</f>
        <v>16.364285714285714</v>
      </c>
      <c r="T110" s="14">
        <f>R110/G110</f>
        <v>0</v>
      </c>
      <c r="U110" s="30" t="s">
        <v>249</v>
      </c>
      <c r="V110" s="33" t="s">
        <v>199</v>
      </c>
      <c r="W110" s="33" t="s">
        <v>471</v>
      </c>
      <c r="X110" s="33" t="s">
        <v>472</v>
      </c>
      <c r="Y110" s="27"/>
      <c r="Z110" s="288"/>
      <c r="AA110" s="276">
        <f>(Bygninger!L110*N110*1000)/1000</f>
        <v>0</v>
      </c>
      <c r="AB110" s="289"/>
      <c r="AC110" s="289"/>
      <c r="AD110" s="289"/>
      <c r="AE110" s="290"/>
    </row>
    <row r="111" spans="1:31" s="1" customFormat="1" ht="14.25" outlineLevel="1">
      <c r="A111" s="11" t="s">
        <v>169</v>
      </c>
      <c r="B111" s="11" t="s">
        <v>61</v>
      </c>
      <c r="C111" s="12" t="s">
        <v>104</v>
      </c>
      <c r="D111" s="13">
        <v>5492</v>
      </c>
      <c r="E111" s="11" t="s">
        <v>11</v>
      </c>
      <c r="F111" s="15">
        <v>16784</v>
      </c>
      <c r="G111" s="14">
        <v>439</v>
      </c>
      <c r="H111" s="76">
        <v>17232</v>
      </c>
      <c r="I111" s="42"/>
      <c r="J111" s="43"/>
      <c r="K111" s="39"/>
      <c r="L111" s="77">
        <v>58.1</v>
      </c>
      <c r="M111" s="45" t="s">
        <v>616</v>
      </c>
      <c r="N111" s="378">
        <f>Forudsætninger!B22</f>
        <v>0.0739</v>
      </c>
      <c r="O111" s="20"/>
      <c r="P111" s="20"/>
      <c r="Q111" s="20"/>
      <c r="R111" s="14">
        <f>L111*1000+O111*energiindhold_naturgas/3.6+P111*energiindhold_olie/3.6</f>
        <v>58100</v>
      </c>
      <c r="S111" s="14">
        <f>H111/G111</f>
        <v>39.252847380410024</v>
      </c>
      <c r="T111" s="14">
        <f>R111/G111</f>
        <v>132.34624145785878</v>
      </c>
      <c r="U111" s="30" t="s">
        <v>290</v>
      </c>
      <c r="V111" s="33" t="s">
        <v>299</v>
      </c>
      <c r="W111" s="33" t="s">
        <v>386</v>
      </c>
      <c r="X111" s="33" t="s">
        <v>387</v>
      </c>
      <c r="Y111" s="27"/>
      <c r="Z111" s="288"/>
      <c r="AA111" s="276">
        <f>(Bygninger!L111*N111*1000)/1000</f>
        <v>4.29359</v>
      </c>
      <c r="AB111" s="289"/>
      <c r="AC111" s="289"/>
      <c r="AD111" s="289"/>
      <c r="AE111" s="290"/>
    </row>
    <row r="112" spans="1:31" s="1" customFormat="1" ht="14.25" outlineLevel="1">
      <c r="A112" s="11" t="s">
        <v>75</v>
      </c>
      <c r="B112" s="11" t="s">
        <v>43</v>
      </c>
      <c r="C112" s="12" t="s">
        <v>114</v>
      </c>
      <c r="D112" s="13">
        <v>5560</v>
      </c>
      <c r="E112" s="11" t="s">
        <v>7</v>
      </c>
      <c r="F112" s="15">
        <v>18989</v>
      </c>
      <c r="G112" s="14">
        <v>1557</v>
      </c>
      <c r="H112" s="76">
        <v>53661</v>
      </c>
      <c r="I112" s="42"/>
      <c r="J112" s="43"/>
      <c r="K112" s="39"/>
      <c r="L112" s="20"/>
      <c r="M112" s="44"/>
      <c r="N112" s="378"/>
      <c r="O112" s="77">
        <v>5426</v>
      </c>
      <c r="P112" s="20"/>
      <c r="Q112" s="20"/>
      <c r="R112" s="14">
        <f>L112*1000+O112*energiindhold_naturgas/3.6+P112*energiindhold_olie/3.6</f>
        <v>59836.722222222226</v>
      </c>
      <c r="S112" s="14">
        <f>H112/G112</f>
        <v>34.46435452793834</v>
      </c>
      <c r="T112" s="14">
        <f>R112/G112</f>
        <v>38.43077856276315</v>
      </c>
      <c r="U112" s="30" t="s">
        <v>307</v>
      </c>
      <c r="V112" s="33" t="s">
        <v>239</v>
      </c>
      <c r="W112" s="33" t="s">
        <v>386</v>
      </c>
      <c r="X112" s="33" t="s">
        <v>387</v>
      </c>
      <c r="Y112" s="27" t="s">
        <v>312</v>
      </c>
      <c r="Z112" s="291"/>
      <c r="AA112" s="276">
        <f>(Bygninger!L112*N112*1000)/1000</f>
        <v>0</v>
      </c>
      <c r="AB112" s="292"/>
      <c r="AC112" s="292"/>
      <c r="AD112" s="292"/>
      <c r="AE112" s="293"/>
    </row>
    <row r="113" spans="1:31" s="267" customFormat="1" ht="15">
      <c r="A113" s="268" t="s">
        <v>623</v>
      </c>
      <c r="B113" s="255"/>
      <c r="C113" s="256"/>
      <c r="D113" s="257"/>
      <c r="E113" s="255"/>
      <c r="F113" s="258"/>
      <c r="G113" s="259"/>
      <c r="H113" s="260"/>
      <c r="I113" s="260"/>
      <c r="J113" s="261"/>
      <c r="K113" s="262"/>
      <c r="L113" s="259"/>
      <c r="M113" s="44"/>
      <c r="N113" s="386"/>
      <c r="O113" s="263"/>
      <c r="P113" s="259"/>
      <c r="Q113" s="259"/>
      <c r="R113" s="259"/>
      <c r="S113" s="259"/>
      <c r="T113" s="259"/>
      <c r="U113" s="264"/>
      <c r="V113" s="265"/>
      <c r="W113" s="265"/>
      <c r="X113" s="265"/>
      <c r="Y113" s="266"/>
      <c r="Z113" s="294"/>
      <c r="AA113" s="295"/>
      <c r="AB113" s="296"/>
      <c r="AC113" s="296"/>
      <c r="AD113" s="296"/>
      <c r="AE113" s="297"/>
    </row>
    <row r="114" spans="1:31" s="56" customFormat="1" ht="15">
      <c r="A114" s="16" t="s">
        <v>499</v>
      </c>
      <c r="B114" s="16"/>
      <c r="C114" s="8"/>
      <c r="D114" s="7"/>
      <c r="E114" s="16"/>
      <c r="F114" s="10"/>
      <c r="G114" s="17">
        <f>SUM(G115:G120)</f>
        <v>4752</v>
      </c>
      <c r="H114" s="17">
        <f>SUM(H115:H120)</f>
        <v>121899.446</v>
      </c>
      <c r="I114" s="17">
        <f>SUM(I115:I120)</f>
        <v>0</v>
      </c>
      <c r="J114" s="38"/>
      <c r="K114" s="62"/>
      <c r="L114" s="17">
        <f>SUM(L115:L120)</f>
        <v>198.386</v>
      </c>
      <c r="M114" s="371"/>
      <c r="N114" s="379"/>
      <c r="O114" s="17">
        <f>SUM(O115:O120)</f>
        <v>14528</v>
      </c>
      <c r="P114" s="17">
        <f>SUM(P115:P120)</f>
        <v>0</v>
      </c>
      <c r="Q114" s="17">
        <f>SUM(Q115:Q120)</f>
        <v>0</v>
      </c>
      <c r="R114" s="17">
        <f>L114*1000+O114*energiindhold_naturgas/3.6+P114*energiindhold_olie/3.6</f>
        <v>358597.5555555556</v>
      </c>
      <c r="S114" s="17">
        <f>H114/G114</f>
        <v>25.65224031986532</v>
      </c>
      <c r="T114" s="17">
        <f>R114/G114</f>
        <v>75.46244855967079</v>
      </c>
      <c r="U114" s="28"/>
      <c r="V114" s="63"/>
      <c r="W114" s="63"/>
      <c r="X114" s="63"/>
      <c r="Y114" s="36"/>
      <c r="Z114" s="270">
        <f>(Bygninger!H114*CO2_el)/1000</f>
        <v>53.391957348</v>
      </c>
      <c r="AA114" s="270">
        <f>SUM(AA115:AA120)</f>
        <v>0</v>
      </c>
      <c r="AB114" s="270">
        <f>(Bygninger!O114*CO2_naturgas)/1000</f>
        <v>32.61536</v>
      </c>
      <c r="AC114" s="270">
        <f>(Bygninger!P114*CO2_olie)/1000</f>
        <v>0</v>
      </c>
      <c r="AD114" s="270">
        <f>SUM(AA114:AC114)</f>
        <v>32.61536</v>
      </c>
      <c r="AE114" s="270">
        <f>Z114+AD114</f>
        <v>86.007317348</v>
      </c>
    </row>
    <row r="115" spans="1:31" s="1" customFormat="1" ht="14.25" outlineLevel="1">
      <c r="A115" s="11" t="s">
        <v>667</v>
      </c>
      <c r="B115" s="457" t="s">
        <v>85</v>
      </c>
      <c r="C115" s="459">
        <v>1</v>
      </c>
      <c r="D115" s="457">
        <v>5610</v>
      </c>
      <c r="E115" s="457" t="s">
        <v>14</v>
      </c>
      <c r="F115" s="461">
        <v>1693</v>
      </c>
      <c r="G115" s="455">
        <v>1620</v>
      </c>
      <c r="H115" s="76">
        <v>15506</v>
      </c>
      <c r="I115" s="455"/>
      <c r="J115" s="43"/>
      <c r="K115" s="455"/>
      <c r="L115" s="77">
        <v>136.654</v>
      </c>
      <c r="M115" s="45" t="s">
        <v>615</v>
      </c>
      <c r="N115" s="378">
        <f>Forudsætninger!B18</f>
        <v>0</v>
      </c>
      <c r="O115" s="350"/>
      <c r="P115" s="350"/>
      <c r="Q115" s="350"/>
      <c r="R115" s="14">
        <f t="shared" si="9"/>
        <v>136654</v>
      </c>
      <c r="S115" s="408">
        <f>SUM(H115:H116)/G115</f>
        <v>32.74629629629629</v>
      </c>
      <c r="T115" s="408">
        <f>SUM(R115:R116)/G115</f>
        <v>122.46049382716049</v>
      </c>
      <c r="U115" s="463" t="s">
        <v>297</v>
      </c>
      <c r="V115" s="453" t="s">
        <v>199</v>
      </c>
      <c r="W115" s="453" t="s">
        <v>439</v>
      </c>
      <c r="X115" s="453" t="s">
        <v>440</v>
      </c>
      <c r="Y115" s="27"/>
      <c r="Z115" s="285"/>
      <c r="AA115" s="272">
        <f>(Bygninger!L115*N115*1000)/1000</f>
        <v>0</v>
      </c>
      <c r="AB115" s="286"/>
      <c r="AC115" s="286"/>
      <c r="AD115" s="286"/>
      <c r="AE115" s="287"/>
    </row>
    <row r="116" spans="1:31" s="1" customFormat="1" ht="14.25" outlineLevel="1">
      <c r="A116" s="11" t="s">
        <v>668</v>
      </c>
      <c r="B116" s="458"/>
      <c r="C116" s="460"/>
      <c r="D116" s="458"/>
      <c r="E116" s="458"/>
      <c r="F116" s="462"/>
      <c r="G116" s="456"/>
      <c r="H116" s="76">
        <v>37543</v>
      </c>
      <c r="I116" s="456"/>
      <c r="J116" s="43"/>
      <c r="K116" s="456"/>
      <c r="L116" s="77">
        <v>61.732</v>
      </c>
      <c r="M116" s="45" t="s">
        <v>615</v>
      </c>
      <c r="N116" s="378">
        <f>Forudsætninger!B18</f>
        <v>0</v>
      </c>
      <c r="O116" s="347"/>
      <c r="P116" s="351"/>
      <c r="Q116" s="351"/>
      <c r="R116" s="14">
        <f t="shared" si="9"/>
        <v>61732</v>
      </c>
      <c r="S116" s="410"/>
      <c r="T116" s="410"/>
      <c r="U116" s="464"/>
      <c r="V116" s="454"/>
      <c r="W116" s="454"/>
      <c r="X116" s="454"/>
      <c r="Y116" s="27"/>
      <c r="Z116" s="288"/>
      <c r="AA116" s="276">
        <f>(Bygninger!L116*N116*1000)/1000</f>
        <v>0</v>
      </c>
      <c r="AB116" s="289"/>
      <c r="AC116" s="289"/>
      <c r="AD116" s="289"/>
      <c r="AE116" s="290"/>
    </row>
    <row r="117" spans="1:31" s="75" customFormat="1" ht="12.75" customHeight="1" outlineLevel="1">
      <c r="A117" s="427" t="s">
        <v>674</v>
      </c>
      <c r="B117" s="24" t="s">
        <v>84</v>
      </c>
      <c r="C117" s="18">
        <v>48</v>
      </c>
      <c r="D117" s="19">
        <v>5690</v>
      </c>
      <c r="E117" s="24" t="s">
        <v>9</v>
      </c>
      <c r="F117" s="21">
        <v>13795</v>
      </c>
      <c r="G117" s="429">
        <v>1168</v>
      </c>
      <c r="H117" s="411">
        <v>11.446</v>
      </c>
      <c r="I117" s="423"/>
      <c r="J117" s="45"/>
      <c r="K117" s="40"/>
      <c r="L117" s="404"/>
      <c r="M117" s="44"/>
      <c r="N117" s="378"/>
      <c r="O117" s="406">
        <v>2058</v>
      </c>
      <c r="P117" s="20"/>
      <c r="Q117" s="20"/>
      <c r="R117" s="20">
        <f t="shared" si="9"/>
        <v>22695.166666666668</v>
      </c>
      <c r="S117" s="20">
        <f>H117/G117</f>
        <v>0.009799657534246576</v>
      </c>
      <c r="T117" s="20">
        <f>R117/G117</f>
        <v>19.430793378995435</v>
      </c>
      <c r="U117" s="32" t="s">
        <v>249</v>
      </c>
      <c r="V117" s="48" t="s">
        <v>199</v>
      </c>
      <c r="W117" s="48" t="s">
        <v>439</v>
      </c>
      <c r="X117" s="48" t="s">
        <v>440</v>
      </c>
      <c r="Y117" s="49"/>
      <c r="Z117" s="288"/>
      <c r="AA117" s="276">
        <f>(Bygninger!L117*N117*1000)/1000</f>
        <v>0</v>
      </c>
      <c r="AB117" s="289"/>
      <c r="AC117" s="289"/>
      <c r="AD117" s="289"/>
      <c r="AE117" s="290"/>
    </row>
    <row r="118" spans="1:31" s="75" customFormat="1" ht="12.75" customHeight="1" outlineLevel="1">
      <c r="A118" s="428"/>
      <c r="B118" s="26"/>
      <c r="C118" s="26"/>
      <c r="D118" s="26"/>
      <c r="E118" s="26"/>
      <c r="F118" s="26"/>
      <c r="G118" s="430"/>
      <c r="H118" s="420"/>
      <c r="I118" s="425"/>
      <c r="J118" s="26"/>
      <c r="K118" s="26"/>
      <c r="L118" s="405"/>
      <c r="M118" s="44"/>
      <c r="N118" s="380"/>
      <c r="O118" s="407"/>
      <c r="P118" s="20"/>
      <c r="Q118" s="20"/>
      <c r="R118" s="26">
        <f t="shared" si="9"/>
        <v>0</v>
      </c>
      <c r="S118" s="269">
        <f>H117/G117</f>
        <v>0.009799657534246576</v>
      </c>
      <c r="T118" s="269">
        <f>R118/G117</f>
        <v>0</v>
      </c>
      <c r="U118" s="32"/>
      <c r="V118" s="48"/>
      <c r="W118" s="48"/>
      <c r="X118" s="48"/>
      <c r="Y118" s="49"/>
      <c r="Z118" s="288"/>
      <c r="AA118" s="276">
        <f>(Bygninger!L118*N118*1000)/1000</f>
        <v>0</v>
      </c>
      <c r="AB118" s="289"/>
      <c r="AC118" s="289"/>
      <c r="AD118" s="289"/>
      <c r="AE118" s="290"/>
    </row>
    <row r="119" spans="1:31" s="75" customFormat="1" ht="12.75" customHeight="1" outlineLevel="1">
      <c r="A119" s="24" t="s">
        <v>677</v>
      </c>
      <c r="B119" s="24" t="s">
        <v>95</v>
      </c>
      <c r="C119" s="18">
        <v>10</v>
      </c>
      <c r="D119" s="19">
        <v>5560</v>
      </c>
      <c r="E119" s="24" t="s">
        <v>7</v>
      </c>
      <c r="F119" s="21">
        <v>19297</v>
      </c>
      <c r="G119" s="20">
        <v>586</v>
      </c>
      <c r="H119" s="76">
        <v>28839</v>
      </c>
      <c r="I119" s="44"/>
      <c r="J119" s="45"/>
      <c r="K119" s="40"/>
      <c r="L119" s="20"/>
      <c r="M119" s="44"/>
      <c r="N119" s="378"/>
      <c r="O119" s="82">
        <v>1890</v>
      </c>
      <c r="P119" s="20"/>
      <c r="Q119" s="20"/>
      <c r="R119" s="20">
        <f t="shared" si="9"/>
        <v>20842.5</v>
      </c>
      <c r="S119" s="20">
        <f>H119/G119</f>
        <v>49.21331058020478</v>
      </c>
      <c r="T119" s="20">
        <f>R119/G119</f>
        <v>35.56740614334471</v>
      </c>
      <c r="U119" s="32" t="s">
        <v>298</v>
      </c>
      <c r="V119" s="48" t="s">
        <v>282</v>
      </c>
      <c r="W119" s="48" t="s">
        <v>439</v>
      </c>
      <c r="X119" s="48" t="s">
        <v>440</v>
      </c>
      <c r="Y119" s="49"/>
      <c r="Z119" s="288"/>
      <c r="AA119" s="276">
        <f>(Bygninger!L119*N119*1000)/1000</f>
        <v>0</v>
      </c>
      <c r="AB119" s="289"/>
      <c r="AC119" s="289"/>
      <c r="AD119" s="289"/>
      <c r="AE119" s="290"/>
    </row>
    <row r="120" spans="1:31" s="1" customFormat="1" ht="12.75" customHeight="1" outlineLevel="1">
      <c r="A120" s="11" t="s">
        <v>158</v>
      </c>
      <c r="B120" s="11" t="s">
        <v>6</v>
      </c>
      <c r="C120" s="12">
        <v>22</v>
      </c>
      <c r="D120" s="13">
        <v>5560</v>
      </c>
      <c r="E120" s="11" t="s">
        <v>7</v>
      </c>
      <c r="F120" s="15">
        <v>19221</v>
      </c>
      <c r="G120" s="14">
        <v>1378</v>
      </c>
      <c r="H120" s="76">
        <v>40000</v>
      </c>
      <c r="I120" s="42"/>
      <c r="J120" s="43"/>
      <c r="K120" s="39"/>
      <c r="L120" s="20"/>
      <c r="M120" s="44"/>
      <c r="N120" s="378"/>
      <c r="O120" s="77">
        <v>10580</v>
      </c>
      <c r="P120" s="20"/>
      <c r="Q120" s="20"/>
      <c r="R120" s="14">
        <f t="shared" si="9"/>
        <v>116673.8888888889</v>
      </c>
      <c r="S120" s="14">
        <f>H120/G120</f>
        <v>29.027576197387518</v>
      </c>
      <c r="T120" s="14">
        <f>R120/G120</f>
        <v>84.66900499919369</v>
      </c>
      <c r="U120" s="30" t="s">
        <v>299</v>
      </c>
      <c r="V120" s="33" t="s">
        <v>224</v>
      </c>
      <c r="W120" s="33" t="s">
        <v>439</v>
      </c>
      <c r="X120" s="33" t="s">
        <v>440</v>
      </c>
      <c r="Y120" s="27"/>
      <c r="Z120" s="291"/>
      <c r="AA120" s="276">
        <f>(Bygninger!L120*N120*1000)/1000</f>
        <v>0</v>
      </c>
      <c r="AB120" s="292"/>
      <c r="AC120" s="292"/>
      <c r="AD120" s="292"/>
      <c r="AE120" s="293"/>
    </row>
    <row r="121" spans="1:31" s="254" customFormat="1" ht="12.75" customHeight="1">
      <c r="A121" s="268" t="s">
        <v>624</v>
      </c>
      <c r="B121" s="238"/>
      <c r="C121" s="239"/>
      <c r="D121" s="240"/>
      <c r="E121" s="238"/>
      <c r="F121" s="241"/>
      <c r="G121" s="242"/>
      <c r="H121" s="243"/>
      <c r="I121" s="243"/>
      <c r="J121" s="244"/>
      <c r="K121" s="245"/>
      <c r="L121" s="242"/>
      <c r="M121" s="44"/>
      <c r="N121" s="387"/>
      <c r="O121" s="246"/>
      <c r="P121" s="242"/>
      <c r="Q121" s="242"/>
      <c r="R121" s="242"/>
      <c r="S121" s="242"/>
      <c r="T121" s="242"/>
      <c r="U121" s="247"/>
      <c r="V121" s="248"/>
      <c r="W121" s="248"/>
      <c r="X121" s="248"/>
      <c r="Y121" s="249"/>
      <c r="Z121" s="298"/>
      <c r="AA121" s="299"/>
      <c r="AB121" s="300"/>
      <c r="AC121" s="300"/>
      <c r="AD121" s="300"/>
      <c r="AE121" s="301"/>
    </row>
    <row r="122" spans="1:31" s="1" customFormat="1" ht="15">
      <c r="A122" s="36" t="s">
        <v>600</v>
      </c>
      <c r="B122" s="11"/>
      <c r="C122" s="12"/>
      <c r="D122" s="13"/>
      <c r="E122" s="11"/>
      <c r="F122" s="15"/>
      <c r="G122" s="17">
        <f>SUM(G123:G127)</f>
        <v>1150</v>
      </c>
      <c r="H122" s="17">
        <f>SUM(H123:H127)</f>
        <v>46628</v>
      </c>
      <c r="I122" s="17">
        <f aca="true" t="shared" si="11" ref="I122:Q122">SUM(I123:I127)</f>
        <v>0</v>
      </c>
      <c r="J122" s="17">
        <f t="shared" si="11"/>
        <v>0</v>
      </c>
      <c r="K122" s="17">
        <f t="shared" si="11"/>
        <v>0</v>
      </c>
      <c r="L122" s="17">
        <f t="shared" si="11"/>
        <v>0</v>
      </c>
      <c r="M122" s="44"/>
      <c r="N122" s="379"/>
      <c r="O122" s="17">
        <f t="shared" si="11"/>
        <v>1818</v>
      </c>
      <c r="P122" s="17">
        <f t="shared" si="11"/>
        <v>10407</v>
      </c>
      <c r="Q122" s="17">
        <f t="shared" si="11"/>
        <v>0</v>
      </c>
      <c r="R122" s="17">
        <f>L122*1000+O122*energiindhold_naturgas/3.6+P122*energiindhold_olie/3.6</f>
        <v>123829.41666666666</v>
      </c>
      <c r="S122" s="17">
        <f>H122/G122</f>
        <v>40.54608695652174</v>
      </c>
      <c r="T122" s="17">
        <f>R122/G122</f>
        <v>107.6777536231884</v>
      </c>
      <c r="U122" s="28"/>
      <c r="V122" s="63"/>
      <c r="W122" s="63"/>
      <c r="X122" s="63"/>
      <c r="Y122" s="36"/>
      <c r="Z122" s="270">
        <f>(Bygninger!H122*CO2_el)/1000</f>
        <v>20.423064</v>
      </c>
      <c r="AA122" s="270">
        <f>SUM(AA123:AA127)</f>
        <v>0</v>
      </c>
      <c r="AB122" s="270">
        <f>(Bygninger!O122*CO2_naturgas)/1000</f>
        <v>4.08141</v>
      </c>
      <c r="AC122" s="270">
        <f>(Bygninger!P122*CO2_olie)/1000</f>
        <v>27.57855</v>
      </c>
      <c r="AD122" s="270">
        <f>SUM(AA122:AC122)</f>
        <v>31.659959999999998</v>
      </c>
      <c r="AE122" s="270">
        <f>Z122+AD122</f>
        <v>52.083023999999995</v>
      </c>
    </row>
    <row r="123" spans="1:31" s="1" customFormat="1" ht="14.25" outlineLevel="1">
      <c r="A123" s="11" t="s">
        <v>87</v>
      </c>
      <c r="B123" s="11" t="s">
        <v>88</v>
      </c>
      <c r="C123" s="12">
        <v>24</v>
      </c>
      <c r="D123" s="13">
        <v>5610</v>
      </c>
      <c r="E123" s="11" t="s">
        <v>14</v>
      </c>
      <c r="F123" s="15">
        <v>3264</v>
      </c>
      <c r="G123" s="14">
        <v>391</v>
      </c>
      <c r="H123" s="76">
        <v>21619</v>
      </c>
      <c r="I123" s="42"/>
      <c r="J123" s="43"/>
      <c r="K123" s="39"/>
      <c r="L123" s="20"/>
      <c r="M123" s="44"/>
      <c r="N123" s="380"/>
      <c r="O123" s="20"/>
      <c r="P123" s="77">
        <v>7015</v>
      </c>
      <c r="Q123" s="341"/>
      <c r="R123" s="14">
        <f>L123*1000+O123*energiindhold_naturgas/3.6+P123*energiindhold_olie/3.6</f>
        <v>69955.13888888889</v>
      </c>
      <c r="S123" s="14">
        <f>H123/G123</f>
        <v>55.29156010230179</v>
      </c>
      <c r="T123" s="14">
        <f>R123/G123</f>
        <v>178.91339869281046</v>
      </c>
      <c r="U123" s="30" t="s">
        <v>300</v>
      </c>
      <c r="V123" s="33" t="s">
        <v>199</v>
      </c>
      <c r="W123" s="33" t="s">
        <v>476</v>
      </c>
      <c r="X123" s="33" t="s">
        <v>475</v>
      </c>
      <c r="Y123" s="27" t="s">
        <v>474</v>
      </c>
      <c r="Z123" s="285"/>
      <c r="AA123" s="272">
        <f>(Bygninger!L123*N123*1000)/1000</f>
        <v>0</v>
      </c>
      <c r="AB123" s="286"/>
      <c r="AC123" s="286"/>
      <c r="AD123" s="286"/>
      <c r="AE123" s="287"/>
    </row>
    <row r="124" spans="1:31" s="1" customFormat="1" ht="15" outlineLevel="1">
      <c r="A124" s="11" t="s">
        <v>89</v>
      </c>
      <c r="B124" s="11" t="s">
        <v>76</v>
      </c>
      <c r="C124" s="12">
        <v>35</v>
      </c>
      <c r="D124" s="13">
        <v>5610</v>
      </c>
      <c r="E124" s="11" t="s">
        <v>14</v>
      </c>
      <c r="F124" s="15">
        <v>4890</v>
      </c>
      <c r="G124" s="14">
        <v>181</v>
      </c>
      <c r="H124" s="76">
        <v>4920</v>
      </c>
      <c r="I124" s="42"/>
      <c r="J124" s="43"/>
      <c r="K124" s="39"/>
      <c r="L124" s="20"/>
      <c r="M124" s="371"/>
      <c r="N124" s="380"/>
      <c r="O124" s="20"/>
      <c r="P124" s="340">
        <v>3392</v>
      </c>
      <c r="Q124" s="352"/>
      <c r="R124" s="14">
        <f>L124*1000+O124*energiindhold_naturgas/3.6+P124*energiindhold_olie/3.6</f>
        <v>33825.777777777774</v>
      </c>
      <c r="S124" s="14">
        <f>H124/G124</f>
        <v>27.18232044198895</v>
      </c>
      <c r="T124" s="14">
        <f>R124/G124</f>
        <v>186.88275015346835</v>
      </c>
      <c r="U124" s="30" t="s">
        <v>301</v>
      </c>
      <c r="V124" s="33" t="s">
        <v>199</v>
      </c>
      <c r="W124" s="33" t="s">
        <v>477</v>
      </c>
      <c r="X124" s="33" t="s">
        <v>478</v>
      </c>
      <c r="Y124" s="27" t="s">
        <v>479</v>
      </c>
      <c r="Z124" s="288"/>
      <c r="AA124" s="276">
        <f>(Bygninger!L124*N124*1000)/1000</f>
        <v>0</v>
      </c>
      <c r="AB124" s="289"/>
      <c r="AC124" s="289"/>
      <c r="AD124" s="289"/>
      <c r="AE124" s="290"/>
    </row>
    <row r="125" spans="1:31" s="1" customFormat="1" ht="14.25" outlineLevel="1">
      <c r="A125" s="11" t="s">
        <v>111</v>
      </c>
      <c r="B125" s="11" t="s">
        <v>90</v>
      </c>
      <c r="C125" s="12">
        <v>5</v>
      </c>
      <c r="D125" s="13">
        <v>5620</v>
      </c>
      <c r="E125" s="11" t="s">
        <v>16</v>
      </c>
      <c r="F125" s="15">
        <v>5654</v>
      </c>
      <c r="G125" s="14">
        <v>39</v>
      </c>
      <c r="H125" s="76">
        <v>8233</v>
      </c>
      <c r="I125" s="42"/>
      <c r="J125" s="43"/>
      <c r="K125" s="39"/>
      <c r="L125" s="20"/>
      <c r="M125" s="44"/>
      <c r="N125" s="378"/>
      <c r="O125" s="77">
        <v>1818</v>
      </c>
      <c r="P125" s="20"/>
      <c r="Q125" s="20"/>
      <c r="R125" s="14">
        <f>L125*1000+O125*energiindhold_naturgas/3.6+P125*energiindhold_olie/3.6</f>
        <v>20048.5</v>
      </c>
      <c r="S125" s="14">
        <f>H125/G125</f>
        <v>211.10256410256412</v>
      </c>
      <c r="T125" s="14">
        <f>R125/G125</f>
        <v>514.0641025641025</v>
      </c>
      <c r="U125" s="30" t="s">
        <v>303</v>
      </c>
      <c r="V125" s="33" t="s">
        <v>199</v>
      </c>
      <c r="W125" s="33"/>
      <c r="X125" s="33"/>
      <c r="Y125" s="27"/>
      <c r="Z125" s="288"/>
      <c r="AA125" s="276">
        <f>(Bygninger!L125*N125*1000)/1000</f>
        <v>0</v>
      </c>
      <c r="AB125" s="289"/>
      <c r="AC125" s="289"/>
      <c r="AD125" s="289"/>
      <c r="AE125" s="290"/>
    </row>
    <row r="126" spans="1:31" s="1" customFormat="1" ht="14.25" outlineLevel="1">
      <c r="A126" s="24" t="s">
        <v>113</v>
      </c>
      <c r="B126" s="24" t="s">
        <v>40</v>
      </c>
      <c r="C126" s="18">
        <v>61</v>
      </c>
      <c r="D126" s="19">
        <v>5560</v>
      </c>
      <c r="E126" s="24" t="s">
        <v>7</v>
      </c>
      <c r="F126" s="21" t="s">
        <v>193</v>
      </c>
      <c r="G126" s="20">
        <v>156</v>
      </c>
      <c r="H126" s="40" t="s">
        <v>710</v>
      </c>
      <c r="I126" s="44"/>
      <c r="J126" s="45"/>
      <c r="K126" s="40"/>
      <c r="L126" s="20"/>
      <c r="M126" s="44"/>
      <c r="N126" s="380"/>
      <c r="O126" s="20"/>
      <c r="P126" s="20"/>
      <c r="Q126" s="20"/>
      <c r="R126" s="14"/>
      <c r="S126" s="14"/>
      <c r="T126" s="14"/>
      <c r="U126" s="30" t="s">
        <v>234</v>
      </c>
      <c r="V126" s="33" t="s">
        <v>199</v>
      </c>
      <c r="W126" s="33" t="s">
        <v>356</v>
      </c>
      <c r="X126" s="33" t="s">
        <v>357</v>
      </c>
      <c r="Y126" s="27" t="s">
        <v>480</v>
      </c>
      <c r="Z126" s="288"/>
      <c r="AA126" s="276">
        <f>(Bygninger!L126*N126*1000)/1000</f>
        <v>0</v>
      </c>
      <c r="AB126" s="289"/>
      <c r="AC126" s="289"/>
      <c r="AD126" s="289"/>
      <c r="AE126" s="290"/>
    </row>
    <row r="127" spans="1:31" s="1" customFormat="1" ht="14.25" outlineLevel="1">
      <c r="A127" s="11" t="s">
        <v>78</v>
      </c>
      <c r="B127" s="11" t="s">
        <v>34</v>
      </c>
      <c r="C127" s="12">
        <v>13</v>
      </c>
      <c r="D127" s="13">
        <v>5560</v>
      </c>
      <c r="E127" s="11" t="s">
        <v>7</v>
      </c>
      <c r="F127" s="15" t="s">
        <v>473</v>
      </c>
      <c r="G127" s="14">
        <v>383</v>
      </c>
      <c r="H127" s="76">
        <v>11856</v>
      </c>
      <c r="I127" s="42"/>
      <c r="J127" s="43"/>
      <c r="K127" s="39"/>
      <c r="L127" s="20"/>
      <c r="M127" s="44"/>
      <c r="N127" s="378"/>
      <c r="O127" s="341"/>
      <c r="P127" s="20"/>
      <c r="Q127" s="20"/>
      <c r="R127" s="14">
        <f>L127*1000+O127*energiindhold_naturgas/3.6+P127*energiindhold_olie/3.6</f>
        <v>0</v>
      </c>
      <c r="S127" s="14">
        <f>H127/G127</f>
        <v>30.9556135770235</v>
      </c>
      <c r="T127" s="14">
        <f>R127/G127</f>
        <v>0</v>
      </c>
      <c r="U127" s="30" t="s">
        <v>308</v>
      </c>
      <c r="V127" s="33" t="s">
        <v>309</v>
      </c>
      <c r="W127" s="31" t="s">
        <v>481</v>
      </c>
      <c r="X127" s="31" t="s">
        <v>482</v>
      </c>
      <c r="Y127" s="27"/>
      <c r="Z127" s="288"/>
      <c r="AA127" s="276">
        <f>(Bygninger!L127*N127*1000)/1000</f>
        <v>0</v>
      </c>
      <c r="AB127" s="289"/>
      <c r="AC127" s="289"/>
      <c r="AD127" s="289"/>
      <c r="AE127" s="290"/>
    </row>
    <row r="128" spans="1:31" ht="13.5">
      <c r="A128" s="302" t="s">
        <v>601</v>
      </c>
      <c r="G128" s="17">
        <f>SUM(G129)</f>
        <v>286</v>
      </c>
      <c r="H128" s="17">
        <f aca="true" t="shared" si="12" ref="H128:Q128">SUM(H129)</f>
        <v>3190</v>
      </c>
      <c r="I128" s="17">
        <f t="shared" si="12"/>
        <v>0</v>
      </c>
      <c r="J128" s="17">
        <f t="shared" si="12"/>
        <v>0</v>
      </c>
      <c r="K128" s="17">
        <f t="shared" si="12"/>
        <v>0</v>
      </c>
      <c r="L128" s="17">
        <f t="shared" si="12"/>
        <v>47.321</v>
      </c>
      <c r="M128" s="371"/>
      <c r="N128" s="379"/>
      <c r="O128" s="17">
        <f t="shared" si="12"/>
        <v>0</v>
      </c>
      <c r="P128" s="17">
        <f t="shared" si="12"/>
        <v>0</v>
      </c>
      <c r="Q128" s="17">
        <f t="shared" si="12"/>
        <v>0</v>
      </c>
      <c r="R128" s="17">
        <f>L128*1000+O128*energiindhold_naturgas/3.6+P128*energiindhold_olie/3.6</f>
        <v>47321</v>
      </c>
      <c r="S128" s="17">
        <f>H128/G128</f>
        <v>11.153846153846153</v>
      </c>
      <c r="T128" s="17">
        <f>R128/G128</f>
        <v>165.45804195804195</v>
      </c>
      <c r="U128" s="28"/>
      <c r="V128" s="63"/>
      <c r="W128" s="63"/>
      <c r="X128" s="63"/>
      <c r="Y128" s="36"/>
      <c r="Z128" s="270">
        <f>(Bygninger!H128*CO2_el)/1000</f>
        <v>1.3972200000000001</v>
      </c>
      <c r="AA128" s="270">
        <f>SUM(AA129)</f>
        <v>0</v>
      </c>
      <c r="AB128" s="270">
        <f>(Bygninger!O128*CO2_naturgas)/1000</f>
        <v>0</v>
      </c>
      <c r="AC128" s="270">
        <f>(Bygninger!P128*CO2_olie)/1000</f>
        <v>0</v>
      </c>
      <c r="AD128" s="270">
        <f>SUM(AA128:AC128)</f>
        <v>0</v>
      </c>
      <c r="AE128" s="270">
        <f>Z128+AD128</f>
        <v>1.3972200000000001</v>
      </c>
    </row>
    <row r="129" spans="1:31" s="1" customFormat="1" ht="13.5" outlineLevel="1">
      <c r="A129" s="11" t="s">
        <v>110</v>
      </c>
      <c r="B129" s="11" t="s">
        <v>101</v>
      </c>
      <c r="C129" s="12">
        <v>25</v>
      </c>
      <c r="D129" s="13">
        <v>5610</v>
      </c>
      <c r="E129" s="11" t="s">
        <v>14</v>
      </c>
      <c r="F129" s="15">
        <v>4708</v>
      </c>
      <c r="G129" s="14">
        <v>286</v>
      </c>
      <c r="H129" s="76">
        <v>3190</v>
      </c>
      <c r="I129" s="42"/>
      <c r="J129" s="43"/>
      <c r="K129" s="39"/>
      <c r="L129" s="77">
        <v>47.321</v>
      </c>
      <c r="M129" s="45" t="s">
        <v>615</v>
      </c>
      <c r="N129" s="378">
        <f>Forudsætninger!B18</f>
        <v>0</v>
      </c>
      <c r="O129" s="20"/>
      <c r="P129" s="20"/>
      <c r="Q129" s="20"/>
      <c r="R129" s="14">
        <f>L129*1000+O129*energiindhold_naturgas/3.6+P129*energiindhold_olie/3.6</f>
        <v>47321</v>
      </c>
      <c r="S129" s="42">
        <f>H129/G129</f>
        <v>11.153846153846153</v>
      </c>
      <c r="T129" s="42">
        <f>R129/G129</f>
        <v>165.45804195804195</v>
      </c>
      <c r="U129" s="30" t="s">
        <v>285</v>
      </c>
      <c r="V129" s="33" t="s">
        <v>244</v>
      </c>
      <c r="W129" s="51" t="s">
        <v>465</v>
      </c>
      <c r="X129" s="50" t="s">
        <v>467</v>
      </c>
      <c r="Y129" s="27" t="s">
        <v>466</v>
      </c>
      <c r="Z129" s="117"/>
      <c r="AA129" s="234">
        <f>(Bygninger!L129*N129*1000)/1000</f>
        <v>0</v>
      </c>
      <c r="AB129" s="118"/>
      <c r="AC129" s="118"/>
      <c r="AD129" s="118"/>
      <c r="AE129" s="119"/>
    </row>
    <row r="130" ht="13.5">
      <c r="R130" s="61"/>
    </row>
    <row r="131" ht="13.5">
      <c r="A131" s="6"/>
    </row>
    <row r="132" spans="1:18" ht="13.5">
      <c r="A132" s="1" t="s">
        <v>714</v>
      </c>
      <c r="H132" s="225">
        <f>H4+H10+H38+H57+H86+H106+H114+H122+H128</f>
        <v>4956525.946</v>
      </c>
      <c r="I132" s="225">
        <f aca="true" t="shared" si="13" ref="I132:R132">I4+I10+I38+I57+I86+I106+I114+I122+I128</f>
        <v>3857</v>
      </c>
      <c r="J132" s="225">
        <f t="shared" si="13"/>
        <v>0</v>
      </c>
      <c r="K132" s="225">
        <f t="shared" si="13"/>
        <v>0</v>
      </c>
      <c r="L132" s="225">
        <f t="shared" si="13"/>
        <v>10712.750000000002</v>
      </c>
      <c r="M132" s="225">
        <f t="shared" si="13"/>
        <v>0</v>
      </c>
      <c r="N132" s="225">
        <f t="shared" si="13"/>
        <v>0</v>
      </c>
      <c r="O132" s="225">
        <f t="shared" si="13"/>
        <v>642259</v>
      </c>
      <c r="P132" s="225">
        <f t="shared" si="13"/>
        <v>171804</v>
      </c>
      <c r="Q132" s="225">
        <f t="shared" si="13"/>
        <v>0</v>
      </c>
      <c r="R132" s="225">
        <f t="shared" si="13"/>
        <v>19508707.194444448</v>
      </c>
    </row>
    <row r="133" ht="13.5">
      <c r="M133" s="227"/>
    </row>
    <row r="134" spans="1:13" ht="13.5">
      <c r="A134" s="1" t="s">
        <v>715</v>
      </c>
      <c r="H134" s="225">
        <f>H132+R132</f>
        <v>24465233.14044445</v>
      </c>
      <c r="M134" s="227"/>
    </row>
    <row r="135" spans="1:31" s="65" customFormat="1" ht="13.5">
      <c r="A135" s="73"/>
      <c r="C135" s="66"/>
      <c r="D135" s="67"/>
      <c r="F135" s="68"/>
      <c r="G135" s="69"/>
      <c r="H135" s="227"/>
      <c r="I135" s="227"/>
      <c r="J135" s="228"/>
      <c r="K135" s="229"/>
      <c r="L135" s="229"/>
      <c r="M135" s="227"/>
      <c r="N135" s="227"/>
      <c r="O135" s="229"/>
      <c r="P135" s="229"/>
      <c r="Q135" s="229"/>
      <c r="R135" s="71"/>
      <c r="S135" s="70"/>
      <c r="T135" s="70"/>
      <c r="U135" s="72"/>
      <c r="V135" s="72"/>
      <c r="W135" s="72"/>
      <c r="X135" s="72"/>
      <c r="Z135" s="67"/>
      <c r="AA135" s="67"/>
      <c r="AB135" s="67"/>
      <c r="AC135" s="67"/>
      <c r="AD135" s="67"/>
      <c r="AE135" s="67"/>
    </row>
    <row r="136" spans="3:31" s="65" customFormat="1" ht="13.5">
      <c r="C136" s="66"/>
      <c r="D136" s="67"/>
      <c r="F136" s="68"/>
      <c r="G136" s="69"/>
      <c r="H136" s="230"/>
      <c r="I136" s="230"/>
      <c r="J136" s="230"/>
      <c r="K136" s="230"/>
      <c r="L136" s="230"/>
      <c r="M136" s="227"/>
      <c r="N136" s="227"/>
      <c r="O136" s="230"/>
      <c r="P136" s="230"/>
      <c r="Q136" s="230"/>
      <c r="R136" s="69"/>
      <c r="S136" s="69"/>
      <c r="T136" s="69"/>
      <c r="U136" s="72"/>
      <c r="V136" s="72"/>
      <c r="W136" s="72"/>
      <c r="X136" s="72"/>
      <c r="Z136" s="67"/>
      <c r="AA136" s="67"/>
      <c r="AB136" s="67"/>
      <c r="AC136" s="67"/>
      <c r="AD136" s="67"/>
      <c r="AE136" s="67"/>
    </row>
    <row r="137" spans="3:31" s="65" customFormat="1" ht="13.5">
      <c r="C137" s="66"/>
      <c r="D137" s="67"/>
      <c r="F137" s="68"/>
      <c r="G137" s="69"/>
      <c r="H137" s="230"/>
      <c r="I137" s="230"/>
      <c r="J137" s="230"/>
      <c r="K137" s="230"/>
      <c r="L137" s="230"/>
      <c r="M137" s="227"/>
      <c r="N137" s="227"/>
      <c r="O137" s="230"/>
      <c r="P137" s="230"/>
      <c r="Q137" s="230"/>
      <c r="R137" s="69"/>
      <c r="S137" s="69"/>
      <c r="T137" s="69"/>
      <c r="U137" s="72"/>
      <c r="V137" s="72"/>
      <c r="W137" s="72"/>
      <c r="X137" s="72"/>
      <c r="Z137" s="67"/>
      <c r="AA137" s="67"/>
      <c r="AB137" s="67"/>
      <c r="AC137" s="67"/>
      <c r="AD137" s="67"/>
      <c r="AE137" s="67"/>
    </row>
    <row r="138" spans="3:31" s="65" customFormat="1" ht="13.5">
      <c r="C138" s="66"/>
      <c r="D138" s="67"/>
      <c r="F138" s="68"/>
      <c r="G138" s="69"/>
      <c r="H138" s="230"/>
      <c r="I138" s="230"/>
      <c r="J138" s="230"/>
      <c r="K138" s="230"/>
      <c r="L138" s="230"/>
      <c r="M138" s="227"/>
      <c r="N138" s="227"/>
      <c r="O138" s="230"/>
      <c r="P138" s="230"/>
      <c r="Q138" s="230"/>
      <c r="R138" s="69"/>
      <c r="S138" s="69"/>
      <c r="T138" s="69"/>
      <c r="U138" s="72"/>
      <c r="V138" s="72"/>
      <c r="W138" s="72"/>
      <c r="X138" s="72"/>
      <c r="Z138" s="67"/>
      <c r="AA138" s="67"/>
      <c r="AB138" s="67"/>
      <c r="AC138" s="67"/>
      <c r="AD138" s="67"/>
      <c r="AE138" s="67"/>
    </row>
    <row r="139" spans="3:31" s="65" customFormat="1" ht="13.5">
      <c r="C139" s="66"/>
      <c r="D139" s="67"/>
      <c r="F139" s="68"/>
      <c r="G139" s="69"/>
      <c r="H139" s="230"/>
      <c r="I139" s="230"/>
      <c r="J139" s="230"/>
      <c r="K139" s="230"/>
      <c r="L139" s="230"/>
      <c r="M139" s="227"/>
      <c r="N139" s="227"/>
      <c r="O139" s="230"/>
      <c r="P139" s="230"/>
      <c r="Q139" s="230"/>
      <c r="R139" s="69"/>
      <c r="S139" s="69"/>
      <c r="T139" s="69"/>
      <c r="U139" s="72"/>
      <c r="V139" s="72"/>
      <c r="W139" s="72"/>
      <c r="X139" s="72"/>
      <c r="Z139" s="67"/>
      <c r="AA139" s="67"/>
      <c r="AB139" s="67"/>
      <c r="AC139" s="67"/>
      <c r="AD139" s="67"/>
      <c r="AE139" s="67"/>
    </row>
    <row r="140" spans="3:31" s="65" customFormat="1" ht="13.5">
      <c r="C140" s="66"/>
      <c r="D140" s="67"/>
      <c r="F140" s="68"/>
      <c r="G140" s="69"/>
      <c r="H140" s="230"/>
      <c r="I140" s="230"/>
      <c r="J140" s="230"/>
      <c r="K140" s="230"/>
      <c r="L140" s="230"/>
      <c r="M140" s="227"/>
      <c r="N140" s="227"/>
      <c r="O140" s="230"/>
      <c r="P140" s="230"/>
      <c r="Q140" s="230"/>
      <c r="R140" s="69"/>
      <c r="S140" s="69"/>
      <c r="T140" s="69"/>
      <c r="U140" s="72"/>
      <c r="V140" s="72"/>
      <c r="W140" s="72"/>
      <c r="X140" s="72"/>
      <c r="Z140" s="67"/>
      <c r="AA140" s="67"/>
      <c r="AB140" s="67"/>
      <c r="AC140" s="67"/>
      <c r="AD140" s="67"/>
      <c r="AE140" s="67"/>
    </row>
    <row r="141" spans="3:31" s="65" customFormat="1" ht="13.5">
      <c r="C141" s="66"/>
      <c r="D141" s="67"/>
      <c r="F141" s="68"/>
      <c r="G141" s="69"/>
      <c r="H141" s="230"/>
      <c r="I141" s="230"/>
      <c r="J141" s="230"/>
      <c r="K141" s="230"/>
      <c r="L141" s="230"/>
      <c r="M141" s="227"/>
      <c r="N141" s="227"/>
      <c r="O141" s="230"/>
      <c r="P141" s="230"/>
      <c r="Q141" s="230"/>
      <c r="R141" s="69"/>
      <c r="S141" s="69"/>
      <c r="T141" s="69"/>
      <c r="U141" s="72"/>
      <c r="V141" s="72"/>
      <c r="W141" s="72"/>
      <c r="X141" s="72"/>
      <c r="Z141" s="67"/>
      <c r="AA141" s="67"/>
      <c r="AB141" s="67"/>
      <c r="AC141" s="67"/>
      <c r="AD141" s="67"/>
      <c r="AE141" s="67"/>
    </row>
    <row r="142" spans="3:31" s="65" customFormat="1" ht="13.5">
      <c r="C142" s="66"/>
      <c r="D142" s="67"/>
      <c r="F142" s="68"/>
      <c r="G142" s="69"/>
      <c r="H142" s="230"/>
      <c r="I142" s="230"/>
      <c r="J142" s="230"/>
      <c r="K142" s="230"/>
      <c r="L142" s="230"/>
      <c r="M142" s="227"/>
      <c r="N142" s="227"/>
      <c r="O142" s="230"/>
      <c r="P142" s="230"/>
      <c r="Q142" s="230"/>
      <c r="R142" s="69"/>
      <c r="S142" s="69"/>
      <c r="T142" s="69"/>
      <c r="U142" s="72"/>
      <c r="V142" s="72"/>
      <c r="W142" s="72"/>
      <c r="X142" s="72"/>
      <c r="Z142" s="67"/>
      <c r="AA142" s="67"/>
      <c r="AB142" s="67"/>
      <c r="AC142" s="67"/>
      <c r="AD142" s="67"/>
      <c r="AE142" s="67"/>
    </row>
    <row r="143" spans="3:31" s="65" customFormat="1" ht="13.5">
      <c r="C143" s="66"/>
      <c r="D143" s="67"/>
      <c r="F143" s="68"/>
      <c r="G143" s="69"/>
      <c r="H143" s="230"/>
      <c r="I143" s="230"/>
      <c r="J143" s="230"/>
      <c r="K143" s="230"/>
      <c r="L143" s="230"/>
      <c r="M143" s="225"/>
      <c r="N143" s="227"/>
      <c r="O143" s="230"/>
      <c r="P143" s="230"/>
      <c r="Q143" s="230"/>
      <c r="R143" s="69"/>
      <c r="S143" s="69"/>
      <c r="T143" s="69"/>
      <c r="U143" s="72"/>
      <c r="V143" s="72"/>
      <c r="W143" s="72"/>
      <c r="X143" s="72"/>
      <c r="Z143" s="67"/>
      <c r="AA143" s="67"/>
      <c r="AB143" s="67"/>
      <c r="AC143" s="67"/>
      <c r="AD143" s="67"/>
      <c r="AE143" s="67"/>
    </row>
    <row r="144" spans="3:31" s="65" customFormat="1" ht="13.5">
      <c r="C144" s="66"/>
      <c r="D144" s="67"/>
      <c r="F144" s="68"/>
      <c r="G144" s="69"/>
      <c r="H144" s="230"/>
      <c r="I144" s="230"/>
      <c r="J144" s="230"/>
      <c r="K144" s="230"/>
      <c r="L144" s="230"/>
      <c r="M144" s="225"/>
      <c r="N144" s="227"/>
      <c r="O144" s="230"/>
      <c r="P144" s="230"/>
      <c r="Q144" s="230"/>
      <c r="R144" s="69"/>
      <c r="S144" s="69"/>
      <c r="T144" s="69"/>
      <c r="U144" s="72"/>
      <c r="V144" s="72"/>
      <c r="W144" s="72"/>
      <c r="X144" s="72"/>
      <c r="Z144" s="67"/>
      <c r="AA144" s="67"/>
      <c r="AB144" s="67"/>
      <c r="AC144" s="67"/>
      <c r="AD144" s="67"/>
      <c r="AE144" s="67"/>
    </row>
    <row r="145" spans="3:31" s="65" customFormat="1" ht="13.5">
      <c r="C145" s="66"/>
      <c r="D145" s="67"/>
      <c r="F145" s="68"/>
      <c r="G145" s="69"/>
      <c r="H145" s="230"/>
      <c r="I145" s="230"/>
      <c r="J145" s="230"/>
      <c r="K145" s="230"/>
      <c r="L145" s="230"/>
      <c r="M145" s="225"/>
      <c r="N145" s="227"/>
      <c r="O145" s="230"/>
      <c r="P145" s="230"/>
      <c r="Q145" s="230"/>
      <c r="R145" s="69"/>
      <c r="S145" s="69"/>
      <c r="T145" s="69"/>
      <c r="U145" s="72"/>
      <c r="V145" s="72"/>
      <c r="W145" s="72"/>
      <c r="X145" s="72"/>
      <c r="Z145" s="67"/>
      <c r="AA145" s="67"/>
      <c r="AB145" s="67"/>
      <c r="AC145" s="67"/>
      <c r="AD145" s="67"/>
      <c r="AE145" s="67"/>
    </row>
  </sheetData>
  <sheetProtection/>
  <mergeCells count="47">
    <mergeCell ref="I33:I34"/>
    <mergeCell ref="S49:S51"/>
    <mergeCell ref="T49:T51"/>
    <mergeCell ref="V115:V116"/>
    <mergeCell ref="W115:W116"/>
    <mergeCell ref="S115:S116"/>
    <mergeCell ref="T115:T116"/>
    <mergeCell ref="X115:X116"/>
    <mergeCell ref="G115:G116"/>
    <mergeCell ref="B115:B116"/>
    <mergeCell ref="C115:C116"/>
    <mergeCell ref="D115:D116"/>
    <mergeCell ref="E115:E116"/>
    <mergeCell ref="F115:F116"/>
    <mergeCell ref="U115:U116"/>
    <mergeCell ref="I115:I116"/>
    <mergeCell ref="K115:K116"/>
    <mergeCell ref="R25:R27"/>
    <mergeCell ref="W25:W27"/>
    <mergeCell ref="X25:X27"/>
    <mergeCell ref="K25:K27"/>
    <mergeCell ref="L25:L27"/>
    <mergeCell ref="Y25:Y27"/>
    <mergeCell ref="S25:S27"/>
    <mergeCell ref="U25:U27"/>
    <mergeCell ref="V25:V27"/>
    <mergeCell ref="T25:T27"/>
    <mergeCell ref="A117:A118"/>
    <mergeCell ref="G117:G118"/>
    <mergeCell ref="I117:I118"/>
    <mergeCell ref="H117:H118"/>
    <mergeCell ref="F25:F27"/>
    <mergeCell ref="A25:A27"/>
    <mergeCell ref="B25:B27"/>
    <mergeCell ref="D25:D27"/>
    <mergeCell ref="E25:E27"/>
    <mergeCell ref="G33:G34"/>
    <mergeCell ref="L117:L118"/>
    <mergeCell ref="O117:O118"/>
    <mergeCell ref="G25:G27"/>
    <mergeCell ref="H25:H27"/>
    <mergeCell ref="I25:I27"/>
    <mergeCell ref="H108:K108"/>
    <mergeCell ref="H89:H90"/>
    <mergeCell ref="J89:J90"/>
    <mergeCell ref="I49:I51"/>
    <mergeCell ref="H103:H105"/>
  </mergeCells>
  <printOptions/>
  <pageMargins left="0.7874015748031497" right="0.7874015748031497" top="0.56" bottom="0.7" header="0" footer="0"/>
  <pageSetup fitToHeight="0" fitToWidth="1" horizontalDpi="600" verticalDpi="600" orientation="portrait" paperSize="8" scale="43" r:id="rId3"/>
  <headerFooter alignWithMargins="0">
    <oddFooter>&amp;L&amp;F&amp;C&amp;D&amp;R&amp;P</oddFooter>
  </headerFooter>
  <ignoredErrors>
    <ignoredError sqref="C104:C105 U4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view="pageBreakPreview" zoomScaleSheetLayoutView="100" zoomScalePageLayoutView="0" workbookViewId="0" topLeftCell="A1">
      <selection activeCell="A12" sqref="A12"/>
    </sheetView>
  </sheetViews>
  <sheetFormatPr defaultColWidth="9.140625" defaultRowHeight="12.75" outlineLevelRow="1"/>
  <cols>
    <col min="1" max="1" width="41.8515625" style="99" customWidth="1"/>
    <col min="2" max="2" width="12.8515625" style="37" bestFit="1" customWidth="1"/>
    <col min="3" max="3" width="13.140625" style="37" bestFit="1" customWidth="1"/>
    <col min="4" max="4" width="9.140625" style="37" bestFit="1" customWidth="1"/>
    <col min="5" max="5" width="13.57421875" style="37" bestFit="1" customWidth="1"/>
    <col min="6" max="6" width="6.57421875" style="37" bestFit="1" customWidth="1"/>
    <col min="7" max="7" width="11.28125" style="37" bestFit="1" customWidth="1"/>
    <col min="8" max="8" width="22.421875" style="37" bestFit="1" customWidth="1"/>
    <col min="9" max="9" width="13.421875" style="99" customWidth="1"/>
    <col min="10" max="10" width="11.140625" style="99" bestFit="1" customWidth="1"/>
    <col min="11" max="11" width="9.7109375" style="99" bestFit="1" customWidth="1"/>
    <col min="12" max="16384" width="9.140625" style="99" customWidth="1"/>
  </cols>
  <sheetData>
    <row r="1" spans="1:11" s="158" customFormat="1" ht="12.75">
      <c r="A1" s="157" t="s">
        <v>573</v>
      </c>
      <c r="B1" s="157" t="s">
        <v>588</v>
      </c>
      <c r="C1" s="157" t="s">
        <v>539</v>
      </c>
      <c r="D1" s="157" t="s">
        <v>503</v>
      </c>
      <c r="E1" s="157" t="s">
        <v>530</v>
      </c>
      <c r="F1" s="157" t="s">
        <v>534</v>
      </c>
      <c r="G1" s="157" t="s">
        <v>538</v>
      </c>
      <c r="H1" s="157" t="s">
        <v>582</v>
      </c>
      <c r="I1" s="157" t="s">
        <v>590</v>
      </c>
      <c r="J1" s="157" t="s">
        <v>591</v>
      </c>
      <c r="K1" s="157" t="s">
        <v>593</v>
      </c>
    </row>
    <row r="2" spans="1:11" s="37" customFormat="1" ht="12.75">
      <c r="A2" s="123"/>
      <c r="B2" s="120" t="s">
        <v>536</v>
      </c>
      <c r="C2" s="120" t="s">
        <v>540</v>
      </c>
      <c r="D2" s="120" t="s">
        <v>535</v>
      </c>
      <c r="E2" s="120" t="s">
        <v>531</v>
      </c>
      <c r="F2" s="120" t="s">
        <v>529</v>
      </c>
      <c r="G2" s="120" t="s">
        <v>532</v>
      </c>
      <c r="H2" s="120" t="s">
        <v>537</v>
      </c>
      <c r="I2" s="120" t="s">
        <v>592</v>
      </c>
      <c r="J2" s="120" t="s">
        <v>592</v>
      </c>
      <c r="K2" s="120" t="s">
        <v>594</v>
      </c>
    </row>
    <row r="3" spans="1:11" s="56" customFormat="1" ht="12.75">
      <c r="A3" s="36" t="s">
        <v>712</v>
      </c>
      <c r="B3" s="157"/>
      <c r="C3" s="159">
        <f>(C4*D4+C5*D5+C6*D6+C7*D7+C8*D8)/SUM(D4:D8)</f>
        <v>0</v>
      </c>
      <c r="D3" s="160">
        <f>SUM(D4:D6)</f>
        <v>604123</v>
      </c>
      <c r="E3" s="157"/>
      <c r="F3" s="157"/>
      <c r="G3" s="160"/>
      <c r="H3" s="160">
        <f>SUM(H4:H8)</f>
        <v>64268.40425531915</v>
      </c>
      <c r="I3" s="161">
        <f>C3*H3*CO2_LiterBenzin</f>
        <v>0</v>
      </c>
      <c r="J3" s="161">
        <f>(1-C3)*H3*CO2_LiterDiesel</f>
        <v>170311.27127659574</v>
      </c>
      <c r="K3" s="161">
        <f>SUM(I3:J3)/1000</f>
        <v>170.31127127659573</v>
      </c>
    </row>
    <row r="4" spans="1:11" ht="12.75" outlineLevel="1">
      <c r="A4" s="114" t="s">
        <v>713</v>
      </c>
      <c r="B4" s="123" t="s">
        <v>495</v>
      </c>
      <c r="C4" s="162">
        <v>0</v>
      </c>
      <c r="D4" s="389">
        <v>604123</v>
      </c>
      <c r="E4" s="164">
        <v>9.4</v>
      </c>
      <c r="F4" s="123" t="s">
        <v>504</v>
      </c>
      <c r="G4" s="165" t="s">
        <v>504</v>
      </c>
      <c r="H4" s="166">
        <f>D4/E4</f>
        <v>64268.40425531915</v>
      </c>
      <c r="I4" s="167"/>
      <c r="J4" s="168"/>
      <c r="K4" s="169"/>
    </row>
    <row r="5" spans="1:11" ht="12.75" hidden="1" outlineLevel="1">
      <c r="A5" s="114" t="s">
        <v>500</v>
      </c>
      <c r="B5" s="123" t="s">
        <v>495</v>
      </c>
      <c r="C5" s="162">
        <v>0</v>
      </c>
      <c r="D5" s="163"/>
      <c r="E5" s="164">
        <v>9.4</v>
      </c>
      <c r="F5" s="123" t="s">
        <v>504</v>
      </c>
      <c r="G5" s="165" t="s">
        <v>504</v>
      </c>
      <c r="H5" s="166">
        <f>D5/E5</f>
        <v>0</v>
      </c>
      <c r="I5" s="170"/>
      <c r="J5" s="171"/>
      <c r="K5" s="172"/>
    </row>
    <row r="6" spans="1:11" ht="12.75" hidden="1" outlineLevel="1">
      <c r="A6" s="114" t="s">
        <v>501</v>
      </c>
      <c r="B6" s="123" t="s">
        <v>495</v>
      </c>
      <c r="C6" s="162">
        <v>0</v>
      </c>
      <c r="D6" s="163"/>
      <c r="E6" s="164">
        <v>9.4</v>
      </c>
      <c r="F6" s="123" t="s">
        <v>504</v>
      </c>
      <c r="G6" s="165" t="s">
        <v>504</v>
      </c>
      <c r="H6" s="166">
        <f>D6/E6</f>
        <v>0</v>
      </c>
      <c r="I6" s="170"/>
      <c r="J6" s="171"/>
      <c r="K6" s="172"/>
    </row>
    <row r="7" spans="1:11" ht="12.75" outlineLevel="1">
      <c r="A7" s="91" t="s">
        <v>556</v>
      </c>
      <c r="B7" s="123"/>
      <c r="C7" s="162"/>
      <c r="D7" s="163">
        <v>0</v>
      </c>
      <c r="E7" s="164">
        <v>9.4</v>
      </c>
      <c r="F7" s="123" t="s">
        <v>504</v>
      </c>
      <c r="G7" s="165" t="s">
        <v>504</v>
      </c>
      <c r="H7" s="166">
        <f>D7/E7</f>
        <v>0</v>
      </c>
      <c r="I7" s="170"/>
      <c r="J7" s="171"/>
      <c r="K7" s="172"/>
    </row>
    <row r="8" spans="1:11" ht="12.75" outlineLevel="1">
      <c r="A8" s="91" t="s">
        <v>556</v>
      </c>
      <c r="B8" s="123"/>
      <c r="C8" s="162"/>
      <c r="D8" s="163">
        <v>0</v>
      </c>
      <c r="E8" s="164">
        <v>9.4</v>
      </c>
      <c r="F8" s="123" t="s">
        <v>504</v>
      </c>
      <c r="G8" s="165" t="s">
        <v>504</v>
      </c>
      <c r="H8" s="166">
        <f>D8/E8</f>
        <v>0</v>
      </c>
      <c r="I8" s="173"/>
      <c r="J8" s="174"/>
      <c r="K8" s="175"/>
    </row>
    <row r="9" spans="1:11" s="56" customFormat="1" ht="12.75">
      <c r="A9" s="36" t="s">
        <v>716</v>
      </c>
      <c r="B9" s="157"/>
      <c r="C9" s="159">
        <f>(C10*H10+C11*H11+C12*H12+C13*H13+C14*H14)/SUM(H10:H14)</f>
        <v>0.020601423056281702</v>
      </c>
      <c r="D9" s="160"/>
      <c r="E9" s="157"/>
      <c r="F9" s="157"/>
      <c r="G9" s="160"/>
      <c r="H9" s="160">
        <f>SUM(H10:H14)</f>
        <v>231052</v>
      </c>
      <c r="I9" s="176">
        <f>C9*H9*CO2_LiterBenzin</f>
        <v>11424</v>
      </c>
      <c r="J9" s="176">
        <f>(1-C9)*H9*CO2_LiterDiesel</f>
        <v>599673.7999999999</v>
      </c>
      <c r="K9" s="176">
        <f>SUM(I9:J9)/1000</f>
        <v>611.0977999999999</v>
      </c>
    </row>
    <row r="10" spans="1:11" ht="12.75" outlineLevel="1">
      <c r="A10" s="99" t="s">
        <v>684</v>
      </c>
      <c r="B10" s="123" t="s">
        <v>494</v>
      </c>
      <c r="C10" s="162">
        <v>1</v>
      </c>
      <c r="D10" s="177" t="s">
        <v>504</v>
      </c>
      <c r="E10" s="123" t="s">
        <v>504</v>
      </c>
      <c r="F10" s="123" t="s">
        <v>504</v>
      </c>
      <c r="G10" s="165" t="s">
        <v>504</v>
      </c>
      <c r="H10" s="178">
        <v>210</v>
      </c>
      <c r="I10" s="167"/>
      <c r="J10" s="168"/>
      <c r="K10" s="169"/>
    </row>
    <row r="11" spans="1:11" ht="12.75" outlineLevel="1">
      <c r="A11" s="114" t="s">
        <v>717</v>
      </c>
      <c r="B11" s="123" t="s">
        <v>494</v>
      </c>
      <c r="C11" s="162">
        <v>1</v>
      </c>
      <c r="D11" s="177" t="s">
        <v>504</v>
      </c>
      <c r="E11" s="123" t="s">
        <v>504</v>
      </c>
      <c r="F11" s="123" t="s">
        <v>504</v>
      </c>
      <c r="G11" s="165" t="s">
        <v>504</v>
      </c>
      <c r="H11" s="178">
        <v>4550</v>
      </c>
      <c r="I11" s="170"/>
      <c r="J11" s="171"/>
      <c r="K11" s="172"/>
    </row>
    <row r="12" spans="1:11" ht="12.75" outlineLevel="1">
      <c r="A12" s="114" t="s">
        <v>718</v>
      </c>
      <c r="B12" s="123" t="s">
        <v>495</v>
      </c>
      <c r="C12" s="162">
        <v>0</v>
      </c>
      <c r="D12" s="177" t="s">
        <v>504</v>
      </c>
      <c r="E12" s="123" t="s">
        <v>504</v>
      </c>
      <c r="F12" s="123" t="s">
        <v>504</v>
      </c>
      <c r="G12" s="165" t="s">
        <v>504</v>
      </c>
      <c r="H12" s="178">
        <v>225324</v>
      </c>
      <c r="I12" s="170"/>
      <c r="J12" s="171"/>
      <c r="K12" s="172"/>
    </row>
    <row r="13" spans="1:11" ht="12.75" outlineLevel="1">
      <c r="A13" s="91" t="s">
        <v>648</v>
      </c>
      <c r="B13" s="123" t="s">
        <v>495</v>
      </c>
      <c r="C13" s="162">
        <v>0</v>
      </c>
      <c r="D13" s="177" t="s">
        <v>504</v>
      </c>
      <c r="E13" s="123" t="s">
        <v>504</v>
      </c>
      <c r="F13" s="123" t="s">
        <v>504</v>
      </c>
      <c r="G13" s="165" t="s">
        <v>504</v>
      </c>
      <c r="H13" s="178">
        <v>688</v>
      </c>
      <c r="I13" s="170"/>
      <c r="J13" s="171"/>
      <c r="K13" s="172"/>
    </row>
    <row r="14" spans="1:11" ht="12.75" outlineLevel="1">
      <c r="A14" s="114" t="s">
        <v>685</v>
      </c>
      <c r="B14" s="123" t="s">
        <v>495</v>
      </c>
      <c r="C14" s="162">
        <v>0</v>
      </c>
      <c r="D14" s="177" t="s">
        <v>504</v>
      </c>
      <c r="E14" s="123" t="s">
        <v>504</v>
      </c>
      <c r="F14" s="123" t="s">
        <v>504</v>
      </c>
      <c r="G14" s="165" t="s">
        <v>504</v>
      </c>
      <c r="H14" s="178">
        <v>280</v>
      </c>
      <c r="I14" s="173"/>
      <c r="J14" s="174"/>
      <c r="K14" s="175"/>
    </row>
    <row r="15" spans="1:11" s="56" customFormat="1" ht="12.75">
      <c r="A15" s="36" t="s">
        <v>542</v>
      </c>
      <c r="B15" s="157"/>
      <c r="C15" s="159">
        <f>(C16*D16+C17*D17+C18*D18+C19*D19+C20*D20)/SUM(D16:D20)</f>
        <v>0.77</v>
      </c>
      <c r="D15" s="160">
        <f>SUM(D16:D20)</f>
        <v>5260021.16</v>
      </c>
      <c r="E15" s="157"/>
      <c r="F15" s="157"/>
      <c r="G15" s="160">
        <f>SUM(G16:G18)</f>
        <v>1477534.0337078653</v>
      </c>
      <c r="H15" s="160"/>
      <c r="I15" s="176">
        <f>C15*G15*CO2_kmBenzin</f>
        <v>193409.20501235957</v>
      </c>
      <c r="J15" s="176">
        <f>(1-C15)*G15*CO2_kmDiesel</f>
        <v>49275.7600241573</v>
      </c>
      <c r="K15" s="176">
        <f>SUM(I15:J15)/1000</f>
        <v>242.68496503651687</v>
      </c>
    </row>
    <row r="16" spans="1:11" ht="12.75" outlineLevel="1">
      <c r="A16" s="114" t="s">
        <v>559</v>
      </c>
      <c r="B16" s="123" t="s">
        <v>576</v>
      </c>
      <c r="C16" s="162">
        <v>0.77</v>
      </c>
      <c r="D16" s="389">
        <v>5260021.16</v>
      </c>
      <c r="E16" s="123" t="s">
        <v>504</v>
      </c>
      <c r="F16" s="164">
        <v>3.56</v>
      </c>
      <c r="G16" s="165">
        <f>D16/F16</f>
        <v>1477534.0337078653</v>
      </c>
      <c r="H16" s="166" t="s">
        <v>504</v>
      </c>
      <c r="I16" s="167"/>
      <c r="J16" s="168"/>
      <c r="K16" s="169"/>
    </row>
    <row r="17" spans="1:11" ht="12.75" outlineLevel="1">
      <c r="A17" s="114" t="s">
        <v>559</v>
      </c>
      <c r="B17" s="123" t="s">
        <v>576</v>
      </c>
      <c r="C17" s="162">
        <v>0.77</v>
      </c>
      <c r="D17" s="163"/>
      <c r="E17" s="123" t="s">
        <v>504</v>
      </c>
      <c r="F17" s="164">
        <v>1.9</v>
      </c>
      <c r="G17" s="165">
        <f>D17/F17</f>
        <v>0</v>
      </c>
      <c r="H17" s="166" t="s">
        <v>504</v>
      </c>
      <c r="I17" s="170"/>
      <c r="J17" s="171"/>
      <c r="K17" s="172"/>
    </row>
    <row r="18" spans="1:11" ht="12.75" outlineLevel="1">
      <c r="A18" s="114" t="s">
        <v>559</v>
      </c>
      <c r="B18" s="123" t="s">
        <v>576</v>
      </c>
      <c r="C18" s="162">
        <v>0.77</v>
      </c>
      <c r="D18" s="163"/>
      <c r="E18" s="123" t="s">
        <v>504</v>
      </c>
      <c r="F18" s="164">
        <v>1.1</v>
      </c>
      <c r="G18" s="165">
        <f>D18/F18</f>
        <v>0</v>
      </c>
      <c r="H18" s="166" t="s">
        <v>504</v>
      </c>
      <c r="I18" s="170"/>
      <c r="J18" s="171"/>
      <c r="K18" s="172"/>
    </row>
    <row r="19" spans="1:11" ht="12.75" outlineLevel="1">
      <c r="A19" s="91" t="s">
        <v>556</v>
      </c>
      <c r="B19" s="123"/>
      <c r="C19" s="162"/>
      <c r="D19" s="163">
        <v>0</v>
      </c>
      <c r="E19" s="123"/>
      <c r="F19" s="164">
        <v>1.1</v>
      </c>
      <c r="G19" s="165">
        <f>D19/F19</f>
        <v>0</v>
      </c>
      <c r="H19" s="166" t="s">
        <v>504</v>
      </c>
      <c r="I19" s="170"/>
      <c r="J19" s="171"/>
      <c r="K19" s="172"/>
    </row>
    <row r="20" spans="1:11" ht="12.75" outlineLevel="1">
      <c r="A20" s="91" t="s">
        <v>556</v>
      </c>
      <c r="B20" s="123"/>
      <c r="C20" s="162"/>
      <c r="D20" s="163">
        <v>0</v>
      </c>
      <c r="E20" s="123"/>
      <c r="F20" s="164">
        <v>1.1</v>
      </c>
      <c r="G20" s="165">
        <f>D20/F20</f>
        <v>0</v>
      </c>
      <c r="H20" s="166" t="s">
        <v>504</v>
      </c>
      <c r="I20" s="173"/>
      <c r="J20" s="174"/>
      <c r="K20" s="175"/>
    </row>
    <row r="21" spans="1:11" ht="12.75">
      <c r="A21" s="36" t="s">
        <v>551</v>
      </c>
      <c r="B21" s="157"/>
      <c r="C21" s="159"/>
      <c r="D21" s="160"/>
      <c r="E21" s="157"/>
      <c r="F21" s="157"/>
      <c r="G21" s="160"/>
      <c r="H21" s="160"/>
      <c r="I21" s="179"/>
      <c r="J21" s="180"/>
      <c r="K21" s="180"/>
    </row>
    <row r="22" spans="1:11" ht="12.75" outlineLevel="1">
      <c r="A22" s="114" t="s">
        <v>552</v>
      </c>
      <c r="B22" s="123"/>
      <c r="C22" s="114"/>
      <c r="D22" s="114"/>
      <c r="E22" s="123"/>
      <c r="F22" s="123"/>
      <c r="G22" s="165"/>
      <c r="H22" s="166"/>
      <c r="I22" s="167"/>
      <c r="J22" s="181"/>
      <c r="K22" s="182"/>
    </row>
    <row r="23" spans="1:11" ht="12.75" outlineLevel="1">
      <c r="A23" s="91" t="s">
        <v>556</v>
      </c>
      <c r="B23" s="123"/>
      <c r="C23" s="114"/>
      <c r="D23" s="114"/>
      <c r="E23" s="123"/>
      <c r="F23" s="123"/>
      <c r="G23" s="165"/>
      <c r="H23" s="166"/>
      <c r="I23" s="170"/>
      <c r="J23" s="183"/>
      <c r="K23" s="184"/>
    </row>
    <row r="24" spans="1:11" ht="12.75" outlineLevel="1">
      <c r="A24" s="91" t="s">
        <v>556</v>
      </c>
      <c r="B24" s="123"/>
      <c r="C24" s="114"/>
      <c r="D24" s="114"/>
      <c r="E24" s="123"/>
      <c r="F24" s="123"/>
      <c r="G24" s="165"/>
      <c r="H24" s="166"/>
      <c r="I24" s="173"/>
      <c r="J24" s="185"/>
      <c r="K24" s="186"/>
    </row>
    <row r="25" spans="1:11" ht="12.75">
      <c r="A25" s="141"/>
      <c r="B25" s="146"/>
      <c r="C25" s="146"/>
      <c r="D25" s="146"/>
      <c r="E25" s="146"/>
      <c r="F25" s="146"/>
      <c r="G25" s="146"/>
      <c r="H25" s="146"/>
      <c r="I25" s="141"/>
      <c r="J25" s="141"/>
      <c r="K25" s="141"/>
    </row>
    <row r="26" spans="1:11" ht="12.75">
      <c r="A26" s="141"/>
      <c r="B26" s="146"/>
      <c r="C26" s="193"/>
      <c r="D26" s="146"/>
      <c r="E26" s="146"/>
      <c r="F26" s="146"/>
      <c r="G26" s="146"/>
      <c r="H26" s="146"/>
      <c r="I26" s="141"/>
      <c r="J26" s="141"/>
      <c r="K26" s="141"/>
    </row>
    <row r="27" spans="1:11" ht="12.75">
      <c r="A27" s="142" t="s">
        <v>589</v>
      </c>
      <c r="B27" s="151"/>
      <c r="C27" s="194"/>
      <c r="D27" s="151"/>
      <c r="E27" s="151"/>
      <c r="F27" s="151"/>
      <c r="G27" s="151"/>
      <c r="H27" s="151"/>
      <c r="I27" s="141"/>
      <c r="J27" s="141"/>
      <c r="K27" s="141"/>
    </row>
    <row r="28" spans="1:11" ht="12.75">
      <c r="A28" s="141"/>
      <c r="B28" s="150"/>
      <c r="C28" s="150"/>
      <c r="D28" s="150"/>
      <c r="E28" s="150"/>
      <c r="F28" s="150"/>
      <c r="G28" s="150"/>
      <c r="H28" s="150"/>
      <c r="I28" s="141"/>
      <c r="J28" s="141"/>
      <c r="K28" s="141"/>
    </row>
    <row r="29" spans="1:9" ht="12.75">
      <c r="A29" s="59"/>
      <c r="B29" s="187"/>
      <c r="C29" s="187"/>
      <c r="D29" s="188"/>
      <c r="E29" s="187"/>
      <c r="F29" s="187"/>
      <c r="G29" s="188"/>
      <c r="H29" s="188"/>
      <c r="I29" s="56"/>
    </row>
    <row r="30" spans="1:8" ht="12.75">
      <c r="A30" s="124"/>
      <c r="B30" s="189"/>
      <c r="C30" s="190"/>
      <c r="D30" s="191"/>
      <c r="E30" s="189"/>
      <c r="F30" s="189"/>
      <c r="G30" s="191"/>
      <c r="H30" s="191"/>
    </row>
    <row r="31" spans="1:8" ht="12.75">
      <c r="A31" s="124"/>
      <c r="B31" s="189"/>
      <c r="C31" s="190"/>
      <c r="D31" s="191"/>
      <c r="E31" s="189"/>
      <c r="F31" s="189"/>
      <c r="G31" s="191"/>
      <c r="H31" s="191"/>
    </row>
    <row r="32" spans="1:9" ht="12.75">
      <c r="A32" s="59"/>
      <c r="B32" s="59"/>
      <c r="C32" s="59"/>
      <c r="D32" s="188"/>
      <c r="E32" s="59"/>
      <c r="F32" s="59"/>
      <c r="G32" s="59"/>
      <c r="H32" s="191"/>
      <c r="I32" s="56"/>
    </row>
    <row r="33" spans="1:9" ht="12.75">
      <c r="A33" s="124"/>
      <c r="B33" s="59"/>
      <c r="C33" s="59"/>
      <c r="D33" s="191"/>
      <c r="E33" s="59"/>
      <c r="F33" s="59"/>
      <c r="G33" s="59"/>
      <c r="H33" s="191"/>
      <c r="I33" s="56"/>
    </row>
    <row r="34" spans="1:8" ht="12.75">
      <c r="A34" s="124"/>
      <c r="B34" s="189"/>
      <c r="C34" s="190"/>
      <c r="D34" s="191"/>
      <c r="E34" s="189"/>
      <c r="F34" s="189"/>
      <c r="G34" s="191"/>
      <c r="H34" s="191"/>
    </row>
    <row r="35" spans="1:9" ht="12.75">
      <c r="A35" s="59"/>
      <c r="B35" s="59"/>
      <c r="C35" s="59"/>
      <c r="D35" s="188"/>
      <c r="E35" s="59"/>
      <c r="F35" s="59"/>
      <c r="G35" s="59"/>
      <c r="H35" s="191"/>
      <c r="I35" s="56"/>
    </row>
    <row r="36" spans="1:8" ht="12.75">
      <c r="A36" s="124"/>
      <c r="B36" s="124"/>
      <c r="C36" s="124"/>
      <c r="D36" s="191"/>
      <c r="E36" s="124"/>
      <c r="F36" s="124"/>
      <c r="G36" s="124"/>
      <c r="H36" s="191"/>
    </row>
    <row r="37" spans="1:8" ht="12.75">
      <c r="A37" s="124"/>
      <c r="B37" s="189"/>
      <c r="C37" s="190"/>
      <c r="D37" s="191"/>
      <c r="E37" s="189"/>
      <c r="F37" s="189"/>
      <c r="G37" s="191"/>
      <c r="H37" s="191"/>
    </row>
    <row r="38" spans="1:8" ht="12.75">
      <c r="A38" s="59"/>
      <c r="B38" s="187"/>
      <c r="C38" s="187"/>
      <c r="D38" s="188"/>
      <c r="E38" s="187"/>
      <c r="F38" s="187"/>
      <c r="G38" s="188"/>
      <c r="H38" s="191"/>
    </row>
    <row r="39" spans="1:8" ht="12.75">
      <c r="A39" s="124"/>
      <c r="B39" s="189"/>
      <c r="C39" s="192"/>
      <c r="D39" s="191"/>
      <c r="E39" s="189"/>
      <c r="F39" s="189"/>
      <c r="G39" s="191"/>
      <c r="H39" s="191"/>
    </row>
    <row r="40" spans="1:9" ht="12.75">
      <c r="A40" s="124"/>
      <c r="B40" s="189"/>
      <c r="C40" s="192"/>
      <c r="D40" s="191"/>
      <c r="E40" s="189"/>
      <c r="F40" s="189"/>
      <c r="G40" s="191"/>
      <c r="H40" s="191"/>
      <c r="I40" s="122"/>
    </row>
    <row r="41" spans="1:9" ht="12.75">
      <c r="A41" s="189"/>
      <c r="B41" s="99"/>
      <c r="C41" s="99"/>
      <c r="D41" s="99"/>
      <c r="E41" s="99"/>
      <c r="F41" s="99"/>
      <c r="G41" s="99"/>
      <c r="H41" s="99"/>
      <c r="I41" s="122"/>
    </row>
    <row r="42" spans="1:9" ht="12.75">
      <c r="A42" s="59"/>
      <c r="B42" s="189"/>
      <c r="C42" s="189"/>
      <c r="D42" s="189"/>
      <c r="E42" s="189"/>
      <c r="F42" s="125"/>
      <c r="G42" s="125"/>
      <c r="H42" s="125"/>
      <c r="I42" s="122"/>
    </row>
  </sheetData>
  <sheetProtection/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3.8515625" style="99" bestFit="1" customWidth="1"/>
    <col min="2" max="3" width="13.140625" style="37" bestFit="1" customWidth="1"/>
    <col min="4" max="4" width="6.28125" style="37" bestFit="1" customWidth="1"/>
    <col min="5" max="5" width="13.57421875" style="37" bestFit="1" customWidth="1"/>
    <col min="6" max="6" width="6.57421875" style="37" bestFit="1" customWidth="1"/>
    <col min="7" max="7" width="11.28125" style="37" bestFit="1" customWidth="1"/>
    <col min="8" max="8" width="16.8515625" style="37" bestFit="1" customWidth="1"/>
    <col min="9" max="9" width="11.8515625" style="99" bestFit="1" customWidth="1"/>
    <col min="10" max="10" width="11.140625" style="99" bestFit="1" customWidth="1"/>
    <col min="11" max="11" width="9.7109375" style="99" bestFit="1" customWidth="1"/>
    <col min="12" max="16384" width="9.140625" style="58" customWidth="1"/>
  </cols>
  <sheetData>
    <row r="1" spans="1:11" ht="13.5">
      <c r="A1" s="36" t="s">
        <v>555</v>
      </c>
      <c r="B1" s="157" t="s">
        <v>502</v>
      </c>
      <c r="C1" s="157" t="s">
        <v>539</v>
      </c>
      <c r="D1" s="157" t="s">
        <v>503</v>
      </c>
      <c r="E1" s="157" t="s">
        <v>530</v>
      </c>
      <c r="F1" s="157" t="s">
        <v>534</v>
      </c>
      <c r="G1" s="157" t="s">
        <v>538</v>
      </c>
      <c r="H1" s="157" t="s">
        <v>533</v>
      </c>
      <c r="I1" s="157" t="s">
        <v>590</v>
      </c>
      <c r="J1" s="157" t="s">
        <v>591</v>
      </c>
      <c r="K1" s="157" t="s">
        <v>593</v>
      </c>
    </row>
    <row r="2" spans="1:11" ht="13.5">
      <c r="A2" s="114"/>
      <c r="B2" s="120" t="s">
        <v>536</v>
      </c>
      <c r="C2" s="120" t="s">
        <v>540</v>
      </c>
      <c r="D2" s="120" t="s">
        <v>535</v>
      </c>
      <c r="E2" s="120" t="s">
        <v>531</v>
      </c>
      <c r="F2" s="120" t="s">
        <v>529</v>
      </c>
      <c r="G2" s="120" t="s">
        <v>532</v>
      </c>
      <c r="H2" s="120" t="s">
        <v>537</v>
      </c>
      <c r="I2" s="120" t="s">
        <v>592</v>
      </c>
      <c r="J2" s="120" t="s">
        <v>592</v>
      </c>
      <c r="K2" s="120" t="s">
        <v>594</v>
      </c>
    </row>
    <row r="3" spans="1:11" ht="13.5">
      <c r="A3" s="36" t="s">
        <v>513</v>
      </c>
      <c r="B3" s="157"/>
      <c r="C3" s="157" t="e">
        <f>(C4*D4+C5*D5)/SUM(D4:D5)</f>
        <v>#DIV/0!</v>
      </c>
      <c r="D3" s="121">
        <f>SUM(D4:D5)</f>
        <v>0</v>
      </c>
      <c r="E3" s="157"/>
      <c r="F3" s="157"/>
      <c r="G3" s="121"/>
      <c r="H3" s="121">
        <f>SUM(H4:H5)</f>
        <v>0</v>
      </c>
      <c r="I3" s="198" t="e">
        <f>C3*H3*CO2_LiterBenzin</f>
        <v>#DIV/0!</v>
      </c>
      <c r="J3" s="198" t="e">
        <f>(1-C3)*H3*CO2_LiterDiesel</f>
        <v>#DIV/0!</v>
      </c>
      <c r="K3" s="198" t="e">
        <f>SUM(I3:J3)/1000</f>
        <v>#DIV/0!</v>
      </c>
    </row>
    <row r="4" spans="1:11" ht="13.5" outlineLevel="1">
      <c r="A4" s="91" t="s">
        <v>556</v>
      </c>
      <c r="B4" s="123" t="s">
        <v>495</v>
      </c>
      <c r="C4" s="162">
        <v>0</v>
      </c>
      <c r="D4" s="195">
        <v>0</v>
      </c>
      <c r="E4" s="123">
        <v>9</v>
      </c>
      <c r="F4" s="123" t="s">
        <v>504</v>
      </c>
      <c r="G4" s="196" t="s">
        <v>504</v>
      </c>
      <c r="H4" s="196">
        <f>D4/E4</f>
        <v>0</v>
      </c>
      <c r="I4" s="199"/>
      <c r="J4" s="200"/>
      <c r="K4" s="201"/>
    </row>
    <row r="5" spans="1:11" ht="13.5" outlineLevel="1">
      <c r="A5" s="91" t="s">
        <v>556</v>
      </c>
      <c r="B5" s="123"/>
      <c r="C5" s="162"/>
      <c r="D5" s="195">
        <v>0</v>
      </c>
      <c r="E5" s="123">
        <v>9</v>
      </c>
      <c r="F5" s="123" t="s">
        <v>504</v>
      </c>
      <c r="G5" s="196" t="s">
        <v>504</v>
      </c>
      <c r="H5" s="196">
        <f aca="true" t="shared" si="0" ref="H5:H14">D5/E5</f>
        <v>0</v>
      </c>
      <c r="I5" s="202"/>
      <c r="J5" s="203"/>
      <c r="K5" s="204"/>
    </row>
    <row r="6" spans="1:11" ht="13.5">
      <c r="A6" s="36" t="s">
        <v>514</v>
      </c>
      <c r="B6" s="36"/>
      <c r="C6" s="36"/>
      <c r="D6" s="121">
        <f>SUM(D7:D8)</f>
        <v>0</v>
      </c>
      <c r="E6" s="123"/>
      <c r="F6" s="36"/>
      <c r="G6" s="36"/>
      <c r="H6" s="121">
        <f>SUM(H7:H8)</f>
        <v>0</v>
      </c>
      <c r="I6" s="198">
        <f>C6*H6*CO2_LiterBenzin</f>
        <v>0</v>
      </c>
      <c r="J6" s="198">
        <f>(1-C6)*H6*CO2_LiterDiesel</f>
        <v>0</v>
      </c>
      <c r="K6" s="198">
        <f>SUM(I6:J6)/1000</f>
        <v>0</v>
      </c>
    </row>
    <row r="7" spans="1:11" ht="13.5" outlineLevel="1">
      <c r="A7" s="91" t="s">
        <v>556</v>
      </c>
      <c r="B7" s="36"/>
      <c r="C7" s="36"/>
      <c r="D7" s="195">
        <v>0</v>
      </c>
      <c r="E7" s="123">
        <v>9</v>
      </c>
      <c r="F7" s="123" t="s">
        <v>504</v>
      </c>
      <c r="G7" s="196" t="s">
        <v>504</v>
      </c>
      <c r="H7" s="196">
        <f t="shared" si="0"/>
        <v>0</v>
      </c>
      <c r="I7" s="199"/>
      <c r="J7" s="200"/>
      <c r="K7" s="201"/>
    </row>
    <row r="8" spans="1:11" ht="13.5" outlineLevel="1">
      <c r="A8" s="91" t="s">
        <v>556</v>
      </c>
      <c r="B8" s="123"/>
      <c r="C8" s="162"/>
      <c r="D8" s="195">
        <v>0</v>
      </c>
      <c r="E8" s="123">
        <v>9</v>
      </c>
      <c r="F8" s="123" t="s">
        <v>504</v>
      </c>
      <c r="G8" s="196" t="s">
        <v>504</v>
      </c>
      <c r="H8" s="196">
        <f t="shared" si="0"/>
        <v>0</v>
      </c>
      <c r="I8" s="202"/>
      <c r="J8" s="203"/>
      <c r="K8" s="204"/>
    </row>
    <row r="9" spans="1:11" ht="13.5">
      <c r="A9" s="36" t="s">
        <v>515</v>
      </c>
      <c r="B9" s="36"/>
      <c r="C9" s="36"/>
      <c r="D9" s="121">
        <f>SUM(D10:D11)</f>
        <v>0</v>
      </c>
      <c r="E9" s="123"/>
      <c r="F9" s="36"/>
      <c r="G9" s="36"/>
      <c r="H9" s="121">
        <f>SUM(H10:H11)</f>
        <v>0</v>
      </c>
      <c r="I9" s="198">
        <f>C9*H9*CO2_LiterBenzin</f>
        <v>0</v>
      </c>
      <c r="J9" s="198">
        <f>(1-C9)*H9*CO2_LiterDiesel</f>
        <v>0</v>
      </c>
      <c r="K9" s="198">
        <f>SUM(I9:J9)/1000</f>
        <v>0</v>
      </c>
    </row>
    <row r="10" spans="1:11" ht="13.5" outlineLevel="1">
      <c r="A10" s="91" t="s">
        <v>556</v>
      </c>
      <c r="B10" s="114"/>
      <c r="C10" s="114"/>
      <c r="D10" s="195">
        <v>0</v>
      </c>
      <c r="E10" s="123">
        <v>9</v>
      </c>
      <c r="F10" s="123" t="s">
        <v>504</v>
      </c>
      <c r="G10" s="196" t="s">
        <v>504</v>
      </c>
      <c r="H10" s="196">
        <f t="shared" si="0"/>
        <v>0</v>
      </c>
      <c r="I10" s="199"/>
      <c r="J10" s="200"/>
      <c r="K10" s="201"/>
    </row>
    <row r="11" spans="1:11" ht="13.5" outlineLevel="1">
      <c r="A11" s="91" t="s">
        <v>556</v>
      </c>
      <c r="B11" s="123"/>
      <c r="C11" s="162"/>
      <c r="D11" s="195">
        <v>0</v>
      </c>
      <c r="E11" s="123">
        <v>9</v>
      </c>
      <c r="F11" s="123" t="s">
        <v>504</v>
      </c>
      <c r="G11" s="196" t="s">
        <v>504</v>
      </c>
      <c r="H11" s="196">
        <f t="shared" si="0"/>
        <v>0</v>
      </c>
      <c r="I11" s="202"/>
      <c r="J11" s="203"/>
      <c r="K11" s="204"/>
    </row>
    <row r="12" spans="1:11" ht="13.5">
      <c r="A12" s="36" t="s">
        <v>516</v>
      </c>
      <c r="B12" s="157"/>
      <c r="C12" s="157"/>
      <c r="D12" s="121">
        <f>SUM(D13:D14)</f>
        <v>0</v>
      </c>
      <c r="E12" s="123"/>
      <c r="F12" s="36"/>
      <c r="G12" s="36"/>
      <c r="H12" s="121">
        <f>SUM(H13:H14)</f>
        <v>0</v>
      </c>
      <c r="I12" s="198">
        <f>C12*H12*CO2_LiterBenzin</f>
        <v>0</v>
      </c>
      <c r="J12" s="198">
        <f>(1-C12)*H12*CO2_LiterDiesel</f>
        <v>0</v>
      </c>
      <c r="K12" s="198">
        <f>SUM(I12:J12)/1000</f>
        <v>0</v>
      </c>
    </row>
    <row r="13" spans="1:11" ht="13.5" outlineLevel="1">
      <c r="A13" s="91" t="s">
        <v>556</v>
      </c>
      <c r="B13" s="123"/>
      <c r="C13" s="197"/>
      <c r="D13" s="195">
        <v>0</v>
      </c>
      <c r="E13" s="123">
        <v>9</v>
      </c>
      <c r="F13" s="123" t="s">
        <v>504</v>
      </c>
      <c r="G13" s="196" t="s">
        <v>504</v>
      </c>
      <c r="H13" s="196">
        <f t="shared" si="0"/>
        <v>0</v>
      </c>
      <c r="I13" s="199"/>
      <c r="J13" s="200"/>
      <c r="K13" s="201"/>
    </row>
    <row r="14" spans="1:11" ht="13.5" outlineLevel="1">
      <c r="A14" s="91" t="s">
        <v>556</v>
      </c>
      <c r="B14" s="123"/>
      <c r="C14" s="197"/>
      <c r="D14" s="195">
        <v>0</v>
      </c>
      <c r="E14" s="123">
        <v>9</v>
      </c>
      <c r="F14" s="123" t="s">
        <v>504</v>
      </c>
      <c r="G14" s="196" t="s">
        <v>504</v>
      </c>
      <c r="H14" s="196">
        <f t="shared" si="0"/>
        <v>0</v>
      </c>
      <c r="I14" s="202"/>
      <c r="J14" s="203"/>
      <c r="K14" s="204"/>
    </row>
    <row r="15" spans="1:11" ht="13.5">
      <c r="A15" s="127"/>
      <c r="B15" s="141"/>
      <c r="C15" s="141"/>
      <c r="D15" s="141"/>
      <c r="E15" s="141"/>
      <c r="F15" s="141"/>
      <c r="G15" s="141"/>
      <c r="H15" s="141"/>
      <c r="I15" s="126"/>
      <c r="J15" s="141"/>
      <c r="K15" s="141"/>
    </row>
    <row r="16" spans="1:11" ht="13.5">
      <c r="A16" s="135"/>
      <c r="B16" s="127"/>
      <c r="C16" s="127"/>
      <c r="D16" s="127"/>
      <c r="E16" s="127"/>
      <c r="F16" s="127"/>
      <c r="G16" s="127"/>
      <c r="H16" s="127"/>
      <c r="I16" s="126"/>
      <c r="J16" s="141"/>
      <c r="K16" s="141"/>
    </row>
    <row r="17" spans="1:11" ht="13.5">
      <c r="A17" s="141"/>
      <c r="B17" s="146"/>
      <c r="C17" s="146"/>
      <c r="D17" s="146"/>
      <c r="E17" s="146"/>
      <c r="F17" s="146"/>
      <c r="G17" s="146"/>
      <c r="H17" s="146"/>
      <c r="I17" s="141"/>
      <c r="J17" s="141"/>
      <c r="K17" s="141"/>
    </row>
    <row r="18" spans="1:11" ht="13.5">
      <c r="A18" s="141"/>
      <c r="B18" s="146"/>
      <c r="C18" s="146"/>
      <c r="D18" s="146"/>
      <c r="E18" s="146"/>
      <c r="F18" s="146"/>
      <c r="G18" s="146"/>
      <c r="H18" s="146"/>
      <c r="I18" s="141"/>
      <c r="J18" s="141"/>
      <c r="K18" s="141"/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10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 outlineLevelRow="1"/>
  <cols>
    <col min="1" max="1" width="17.7109375" style="122" bestFit="1" customWidth="1"/>
    <col min="2" max="2" width="12.00390625" style="122" bestFit="1" customWidth="1"/>
    <col min="3" max="3" width="11.00390625" style="122" bestFit="1" customWidth="1"/>
    <col min="4" max="4" width="15.8515625" style="122" bestFit="1" customWidth="1"/>
    <col min="5" max="5" width="7.00390625" style="122" bestFit="1" customWidth="1"/>
    <col min="6" max="6" width="12.421875" style="122" bestFit="1" customWidth="1"/>
    <col min="7" max="7" width="19.57421875" style="122" bestFit="1" customWidth="1"/>
    <col min="8" max="16384" width="9.140625" style="122" customWidth="1"/>
  </cols>
  <sheetData>
    <row r="1" spans="1:7" s="64" customFormat="1" ht="12.75">
      <c r="A1" s="36" t="s">
        <v>583</v>
      </c>
      <c r="B1" s="157" t="s">
        <v>584</v>
      </c>
      <c r="C1" s="157" t="s">
        <v>585</v>
      </c>
      <c r="D1" s="157" t="s">
        <v>572</v>
      </c>
      <c r="E1" s="205"/>
      <c r="F1" s="205"/>
      <c r="G1" s="205"/>
    </row>
    <row r="2" spans="1:7" s="98" customFormat="1" ht="12.75">
      <c r="A2" s="91"/>
      <c r="B2" s="120" t="s">
        <v>545</v>
      </c>
      <c r="C2" s="120"/>
      <c r="D2" s="120" t="s">
        <v>541</v>
      </c>
      <c r="E2" s="116"/>
      <c r="F2" s="116"/>
      <c r="G2" s="116"/>
    </row>
    <row r="3" spans="1:7" s="64" customFormat="1" ht="12.75">
      <c r="A3" s="36" t="s">
        <v>517</v>
      </c>
      <c r="B3" s="160">
        <v>3073042</v>
      </c>
      <c r="C3" s="157"/>
      <c r="D3" s="121">
        <f>B3*CO2_el/1000</f>
        <v>1345.9923959999999</v>
      </c>
      <c r="E3" s="205"/>
      <c r="F3" s="205"/>
      <c r="G3" s="205"/>
    </row>
    <row r="4" spans="1:7" ht="12.75" outlineLevel="1">
      <c r="A4" s="114" t="s">
        <v>517</v>
      </c>
      <c r="B4" s="163"/>
      <c r="C4" s="123" t="s">
        <v>586</v>
      </c>
      <c r="D4" s="206"/>
      <c r="E4" s="125"/>
      <c r="F4" s="125"/>
      <c r="G4" s="125"/>
    </row>
    <row r="5" spans="1:4" ht="12.75" outlineLevel="1">
      <c r="A5" s="91" t="s">
        <v>587</v>
      </c>
      <c r="B5" s="207"/>
      <c r="C5" s="114"/>
      <c r="D5" s="208"/>
    </row>
    <row r="6" spans="1:4" ht="12.75" outlineLevel="1">
      <c r="A6" s="91" t="s">
        <v>587</v>
      </c>
      <c r="B6" s="207"/>
      <c r="C6" s="114"/>
      <c r="D6" s="209"/>
    </row>
    <row r="7" spans="1:4" ht="12.75">
      <c r="A7" s="126"/>
      <c r="B7" s="126"/>
      <c r="C7" s="126"/>
      <c r="D7" s="126"/>
    </row>
    <row r="8" spans="1:4" ht="12.75">
      <c r="A8" s="126"/>
      <c r="B8" s="126"/>
      <c r="C8" s="126"/>
      <c r="D8" s="126"/>
    </row>
    <row r="9" spans="1:4" ht="12.75">
      <c r="A9" s="126"/>
      <c r="B9" s="126"/>
      <c r="C9" s="126"/>
      <c r="D9" s="126"/>
    </row>
    <row r="10" spans="1:4" ht="12.75">
      <c r="A10" s="126"/>
      <c r="B10" s="126"/>
      <c r="C10" s="126"/>
      <c r="D10" s="1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R24" sqref="R24"/>
    </sheetView>
  </sheetViews>
  <sheetFormatPr defaultColWidth="9.140625" defaultRowHeight="12.75"/>
  <sheetData>
    <row r="1" spans="1:7" ht="22.5">
      <c r="A1" s="465"/>
      <c r="B1" s="112" t="s">
        <v>719</v>
      </c>
      <c r="C1" s="465"/>
      <c r="D1" s="466"/>
      <c r="E1" s="466"/>
      <c r="F1" s="466"/>
      <c r="G1" s="465"/>
    </row>
    <row r="2" spans="1:7" ht="13.5">
      <c r="A2" s="465"/>
      <c r="C2" s="467"/>
      <c r="D2" s="468"/>
      <c r="E2" s="468"/>
      <c r="F2" s="468"/>
      <c r="G2" s="465"/>
    </row>
    <row r="3" spans="1:7" ht="23.25">
      <c r="A3" s="109"/>
      <c r="B3" s="469" t="s">
        <v>720</v>
      </c>
      <c r="C3" s="470"/>
      <c r="D3" s="471">
        <v>2009</v>
      </c>
      <c r="E3" s="471">
        <v>2010</v>
      </c>
      <c r="F3" s="471" t="s">
        <v>721</v>
      </c>
      <c r="G3" s="109"/>
    </row>
    <row r="4" spans="1:7" ht="13.5">
      <c r="A4" s="140"/>
      <c r="B4" s="472" t="s">
        <v>565</v>
      </c>
      <c r="C4" s="473"/>
      <c r="D4" s="474">
        <f>SUM(D5:D10)</f>
        <v>4666.917602</v>
      </c>
      <c r="E4" s="324">
        <f>SUM(E5:E10)</f>
        <v>4419.1861223</v>
      </c>
      <c r="F4" s="475">
        <f aca="true" t="shared" si="0" ref="F4:F18">IF(OR(D4="",E4="")," ",IF(D4=0,0,(E4-D4)/D4))</f>
        <v>-0.05308246273596857</v>
      </c>
      <c r="G4" s="140"/>
    </row>
    <row r="5" spans="1:7" ht="13.5">
      <c r="A5" s="465"/>
      <c r="B5" s="310"/>
      <c r="C5" s="476" t="s">
        <v>496</v>
      </c>
      <c r="D5" s="327">
        <v>265.025945</v>
      </c>
      <c r="E5" s="327">
        <v>259.2540388</v>
      </c>
      <c r="F5" s="477">
        <f t="shared" si="0"/>
        <v>-0.02177864586050241</v>
      </c>
      <c r="G5" s="465"/>
    </row>
    <row r="6" spans="1:7" ht="13.5">
      <c r="A6" s="465"/>
      <c r="B6" s="310"/>
      <c r="C6" s="476" t="s">
        <v>603</v>
      </c>
      <c r="D6" s="327">
        <v>2017.7281268000002</v>
      </c>
      <c r="E6" s="327">
        <v>2130.477198</v>
      </c>
      <c r="F6" s="477">
        <f t="shared" si="0"/>
        <v>0.05587921866302839</v>
      </c>
      <c r="G6" s="465"/>
    </row>
    <row r="7" spans="1:7" ht="13.5">
      <c r="A7" s="465"/>
      <c r="B7" s="310"/>
      <c r="C7" s="476" t="s">
        <v>498</v>
      </c>
      <c r="D7" s="327">
        <v>530.322009</v>
      </c>
      <c r="E7" s="327">
        <v>573.3485684</v>
      </c>
      <c r="F7" s="477">
        <f t="shared" si="0"/>
        <v>0.08113289410924675</v>
      </c>
      <c r="G7" s="465"/>
    </row>
    <row r="8" spans="1:7" ht="13.5">
      <c r="A8" s="465"/>
      <c r="B8" s="310"/>
      <c r="C8" s="476" t="s">
        <v>505</v>
      </c>
      <c r="D8" s="327">
        <v>1353.8032152</v>
      </c>
      <c r="E8" s="327">
        <v>1011.8544613</v>
      </c>
      <c r="F8" s="477">
        <f t="shared" si="0"/>
        <v>-0.252583795089808</v>
      </c>
      <c r="G8" s="465"/>
    </row>
    <row r="9" spans="1:7" ht="13.5">
      <c r="A9" s="465"/>
      <c r="B9" s="310"/>
      <c r="C9" s="476" t="s">
        <v>506</v>
      </c>
      <c r="D9" s="327">
        <v>96.03920000000001</v>
      </c>
      <c r="E9" s="327">
        <v>67.52007</v>
      </c>
      <c r="F9" s="477">
        <f t="shared" si="0"/>
        <v>-0.29695301501886734</v>
      </c>
      <c r="G9" s="465"/>
    </row>
    <row r="10" spans="1:7" ht="13.5">
      <c r="A10" s="465"/>
      <c r="B10" s="310"/>
      <c r="C10" s="476" t="s">
        <v>507</v>
      </c>
      <c r="D10" s="327">
        <v>403.999106</v>
      </c>
      <c r="E10" s="327">
        <v>376.7317858</v>
      </c>
      <c r="F10" s="477">
        <f t="shared" si="0"/>
        <v>-0.06749351618614714</v>
      </c>
      <c r="G10" s="465"/>
    </row>
    <row r="11" spans="1:7" ht="13.5">
      <c r="A11" s="465"/>
      <c r="B11" s="472" t="s">
        <v>508</v>
      </c>
      <c r="C11" s="473"/>
      <c r="D11" s="474">
        <f>SUM(D12:D14)</f>
        <v>968.129902448502</v>
      </c>
      <c r="E11" s="324">
        <f>SUM(E12:E14)</f>
        <v>1024.0940363131124</v>
      </c>
      <c r="F11" s="475">
        <f t="shared" si="0"/>
        <v>0.057806430441897566</v>
      </c>
      <c r="G11" s="465"/>
    </row>
    <row r="12" spans="1:7" ht="13.5">
      <c r="A12" s="465"/>
      <c r="B12" s="310"/>
      <c r="C12" s="476" t="s">
        <v>509</v>
      </c>
      <c r="D12" s="327">
        <v>215.43528333333336</v>
      </c>
      <c r="E12" s="327">
        <v>170.31127127659573</v>
      </c>
      <c r="F12" s="477">
        <f t="shared" si="0"/>
        <v>-0.20945506863385635</v>
      </c>
      <c r="G12" s="465"/>
    </row>
    <row r="13" spans="1:7" ht="13.5">
      <c r="A13" s="465"/>
      <c r="B13" s="310"/>
      <c r="C13" s="476" t="s">
        <v>716</v>
      </c>
      <c r="D13" s="327">
        <v>512.4794315</v>
      </c>
      <c r="E13" s="327">
        <v>611.0977999999999</v>
      </c>
      <c r="F13" s="477">
        <f t="shared" si="0"/>
        <v>0.19243380795078768</v>
      </c>
      <c r="G13" s="465"/>
    </row>
    <row r="14" spans="1:7" ht="13.5">
      <c r="A14" s="465"/>
      <c r="B14" s="310"/>
      <c r="C14" s="478" t="s">
        <v>511</v>
      </c>
      <c r="D14" s="327">
        <v>240.21518761516853</v>
      </c>
      <c r="E14" s="327">
        <v>242.68496503651687</v>
      </c>
      <c r="F14" s="477">
        <f t="shared" si="0"/>
        <v>0.010281520689295436</v>
      </c>
      <c r="G14" s="465"/>
    </row>
    <row r="15" spans="1:7" ht="13.5">
      <c r="A15" s="465"/>
      <c r="B15" s="472" t="s">
        <v>512</v>
      </c>
      <c r="C15" s="473"/>
      <c r="D15" s="474">
        <f>SUM(D16:D19)</f>
        <v>0</v>
      </c>
      <c r="E15" s="474">
        <f>SUM(E16:E19)</f>
        <v>0</v>
      </c>
      <c r="F15" s="475">
        <f t="shared" si="0"/>
        <v>0</v>
      </c>
      <c r="G15" s="465"/>
    </row>
    <row r="16" spans="1:7" ht="13.5">
      <c r="A16" s="465"/>
      <c r="B16" s="310"/>
      <c r="C16" s="476" t="s">
        <v>513</v>
      </c>
      <c r="D16" s="479">
        <v>0</v>
      </c>
      <c r="E16" s="479"/>
      <c r="F16" s="477" t="str">
        <f>IF(OR(D16="",E16="")," ",IF(D16=0,0,(E16-D16)/D16))</f>
        <v> </v>
      </c>
      <c r="G16" s="465"/>
    </row>
    <row r="17" spans="1:7" ht="13.5">
      <c r="A17" s="465"/>
      <c r="B17" s="310"/>
      <c r="C17" s="476" t="s">
        <v>514</v>
      </c>
      <c r="D17" s="479">
        <v>0</v>
      </c>
      <c r="E17" s="479"/>
      <c r="F17" s="477" t="str">
        <f t="shared" si="0"/>
        <v> </v>
      </c>
      <c r="G17" s="465"/>
    </row>
    <row r="18" spans="1:7" ht="13.5">
      <c r="A18" s="465"/>
      <c r="B18" s="310"/>
      <c r="C18" s="476" t="s">
        <v>515</v>
      </c>
      <c r="D18" s="479">
        <v>0</v>
      </c>
      <c r="E18" s="479"/>
      <c r="F18" s="477" t="str">
        <f t="shared" si="0"/>
        <v> </v>
      </c>
      <c r="G18" s="465"/>
    </row>
    <row r="19" spans="1:7" ht="13.5">
      <c r="A19" s="465"/>
      <c r="B19" s="310"/>
      <c r="C19" s="476" t="s">
        <v>516</v>
      </c>
      <c r="D19" s="479">
        <v>0</v>
      </c>
      <c r="E19" s="479"/>
      <c r="F19" s="477" t="str">
        <f>IF(OR(D19="",E19="")," ",IF(D19=0,0,(E19-D19)/D19))</f>
        <v> </v>
      </c>
      <c r="G19" s="465"/>
    </row>
    <row r="20" spans="1:7" ht="13.5">
      <c r="A20" s="465"/>
      <c r="B20" s="472" t="s">
        <v>517</v>
      </c>
      <c r="C20" s="473"/>
      <c r="D20" s="324">
        <v>1283.39256</v>
      </c>
      <c r="E20" s="324">
        <v>1345.9923959999999</v>
      </c>
      <c r="F20" s="475">
        <f>IF(OR(D20="",E20="")," ",IF(D20=0,0,(E20-D20)/D20))</f>
        <v>0.04877684190408574</v>
      </c>
      <c r="G20" s="465"/>
    </row>
    <row r="21" spans="1:7" ht="13.5">
      <c r="A21" s="465"/>
      <c r="B21" s="472" t="s">
        <v>518</v>
      </c>
      <c r="C21" s="473"/>
      <c r="D21" s="474">
        <f>SUM(D22:D24)</f>
        <v>58.858746000000004</v>
      </c>
      <c r="E21" s="324">
        <f>SUM(E22:E24)</f>
        <v>53.48024399999999</v>
      </c>
      <c r="F21" s="475">
        <f aca="true" t="shared" si="1" ref="F21:F36">IF(OR(D21="",E21="")," ",IF(D21=0,0,(E21-D21)/D21))</f>
        <v>-0.09137982654268596</v>
      </c>
      <c r="G21" s="465"/>
    </row>
    <row r="22" spans="1:7" ht="13.5">
      <c r="A22" s="465"/>
      <c r="B22" s="310"/>
      <c r="C22" s="476" t="s">
        <v>631</v>
      </c>
      <c r="D22" s="327">
        <v>57.14748</v>
      </c>
      <c r="E22" s="327">
        <v>52.083023999999995</v>
      </c>
      <c r="F22" s="477">
        <f t="shared" si="1"/>
        <v>-0.08862081057642449</v>
      </c>
      <c r="G22" s="465"/>
    </row>
    <row r="23" spans="1:7" ht="13.5">
      <c r="A23" s="465"/>
      <c r="B23" s="310"/>
      <c r="C23" s="476" t="s">
        <v>519</v>
      </c>
      <c r="D23" s="327"/>
      <c r="E23" s="327"/>
      <c r="F23" s="477" t="str">
        <f t="shared" si="1"/>
        <v> </v>
      </c>
      <c r="G23" s="465"/>
    </row>
    <row r="24" spans="1:7" ht="13.5">
      <c r="A24" s="465"/>
      <c r="B24" s="310"/>
      <c r="C24" s="476" t="s">
        <v>516</v>
      </c>
      <c r="D24" s="327">
        <v>1.7112660000000002</v>
      </c>
      <c r="E24" s="327">
        <v>1.3972200000000001</v>
      </c>
      <c r="F24" s="477">
        <f t="shared" si="1"/>
        <v>-0.18351676478116202</v>
      </c>
      <c r="G24" s="465"/>
    </row>
    <row r="25" spans="1:7" ht="13.5">
      <c r="A25" s="465"/>
      <c r="B25" s="472" t="s">
        <v>568</v>
      </c>
      <c r="C25" s="473"/>
      <c r="D25" s="474">
        <f>SUM(D26:D28)</f>
        <v>0</v>
      </c>
      <c r="E25" s="474">
        <f>SUM(E26:E28)</f>
        <v>0</v>
      </c>
      <c r="F25" s="475">
        <f t="shared" si="1"/>
        <v>0</v>
      </c>
      <c r="G25" s="465"/>
    </row>
    <row r="26" spans="1:7" ht="13.5">
      <c r="A26" s="465"/>
      <c r="B26" s="310"/>
      <c r="C26" s="476" t="s">
        <v>520</v>
      </c>
      <c r="D26" s="479">
        <v>0</v>
      </c>
      <c r="E26" s="479"/>
      <c r="F26" s="477" t="str">
        <f t="shared" si="1"/>
        <v> </v>
      </c>
      <c r="G26" s="465"/>
    </row>
    <row r="27" spans="1:7" ht="13.5">
      <c r="A27" s="465"/>
      <c r="B27" s="310"/>
      <c r="C27" s="476" t="s">
        <v>521</v>
      </c>
      <c r="D27" s="479">
        <v>0</v>
      </c>
      <c r="E27" s="479"/>
      <c r="F27" s="477" t="str">
        <f t="shared" si="1"/>
        <v> </v>
      </c>
      <c r="G27" s="465"/>
    </row>
    <row r="28" spans="1:7" ht="13.5">
      <c r="A28" s="465"/>
      <c r="B28" s="310"/>
      <c r="C28" s="476" t="s">
        <v>516</v>
      </c>
      <c r="D28" s="479">
        <v>0</v>
      </c>
      <c r="E28" s="479"/>
      <c r="F28" s="477" t="str">
        <f t="shared" si="1"/>
        <v> </v>
      </c>
      <c r="G28" s="465"/>
    </row>
    <row r="29" spans="1:7" ht="13.5">
      <c r="A29" s="465"/>
      <c r="B29" s="472" t="s">
        <v>522</v>
      </c>
      <c r="C29" s="473"/>
      <c r="D29" s="474">
        <f>SUM(D30:D35)</f>
        <v>93.562435</v>
      </c>
      <c r="E29" s="324">
        <f>SUM(E30:E35)</f>
        <v>86.007317348</v>
      </c>
      <c r="F29" s="475">
        <f t="shared" si="1"/>
        <v>-0.08074947656075852</v>
      </c>
      <c r="G29" s="465"/>
    </row>
    <row r="30" spans="1:7" ht="13.5">
      <c r="A30" s="465"/>
      <c r="B30" s="480"/>
      <c r="C30" s="311" t="s">
        <v>499</v>
      </c>
      <c r="D30" s="327">
        <v>93.562435</v>
      </c>
      <c r="E30" s="327">
        <v>86.007317348</v>
      </c>
      <c r="F30" s="477">
        <f t="shared" si="1"/>
        <v>-0.08074947656075852</v>
      </c>
      <c r="G30" s="465"/>
    </row>
    <row r="31" spans="1:7" ht="13.5">
      <c r="A31" s="465"/>
      <c r="B31" s="310"/>
      <c r="C31" s="311" t="s">
        <v>523</v>
      </c>
      <c r="D31" s="479">
        <v>0</v>
      </c>
      <c r="E31" s="479"/>
      <c r="F31" s="477" t="str">
        <f t="shared" si="1"/>
        <v> </v>
      </c>
      <c r="G31" s="465"/>
    </row>
    <row r="32" spans="1:7" ht="13.5">
      <c r="A32" s="465"/>
      <c r="B32" s="310"/>
      <c r="C32" s="311" t="s">
        <v>524</v>
      </c>
      <c r="D32" s="479">
        <v>0</v>
      </c>
      <c r="E32" s="479"/>
      <c r="F32" s="477" t="str">
        <f t="shared" si="1"/>
        <v> </v>
      </c>
      <c r="G32" s="465"/>
    </row>
    <row r="33" spans="1:7" ht="13.5">
      <c r="A33" s="465"/>
      <c r="B33" s="310"/>
      <c r="C33" s="311" t="s">
        <v>525</v>
      </c>
      <c r="D33" s="479">
        <v>0</v>
      </c>
      <c r="E33" s="479"/>
      <c r="F33" s="477" t="str">
        <f t="shared" si="1"/>
        <v> </v>
      </c>
      <c r="G33" s="465"/>
    </row>
    <row r="34" spans="1:7" ht="13.5">
      <c r="A34" s="465"/>
      <c r="B34" s="310"/>
      <c r="C34" s="311" t="s">
        <v>557</v>
      </c>
      <c r="D34" s="479">
        <v>0</v>
      </c>
      <c r="E34" s="479"/>
      <c r="F34" s="477" t="str">
        <f t="shared" si="1"/>
        <v> </v>
      </c>
      <c r="G34" s="465"/>
    </row>
    <row r="35" spans="1:7" ht="13.5">
      <c r="A35" s="465"/>
      <c r="B35" s="310"/>
      <c r="C35" s="480" t="s">
        <v>516</v>
      </c>
      <c r="D35" s="479">
        <v>0</v>
      </c>
      <c r="E35" s="479"/>
      <c r="F35" s="477" t="str">
        <f t="shared" si="1"/>
        <v> </v>
      </c>
      <c r="G35" s="465"/>
    </row>
    <row r="36" spans="1:7" ht="13.5">
      <c r="A36" s="465"/>
      <c r="B36" s="481" t="s">
        <v>564</v>
      </c>
      <c r="C36" s="482"/>
      <c r="D36" s="474">
        <f>D4+D11+D15+D20+D21+D25+D29</f>
        <v>7070.861245448503</v>
      </c>
      <c r="E36" s="474">
        <f>E4+E11+E15+E20+E21+E25+E29</f>
        <v>6928.760115961111</v>
      </c>
      <c r="F36" s="475">
        <f t="shared" si="1"/>
        <v>-0.020096721538534177</v>
      </c>
      <c r="G36" s="465"/>
    </row>
    <row r="37" spans="1:7" ht="13.5">
      <c r="A37" s="465"/>
      <c r="B37" s="483"/>
      <c r="C37" s="484"/>
      <c r="D37" s="485"/>
      <c r="E37" s="485"/>
      <c r="F37" s="486"/>
      <c r="G37" s="465"/>
    </row>
    <row r="38" spans="1:7" ht="22.5">
      <c r="A38" s="487"/>
      <c r="B38" s="488"/>
      <c r="C38" s="487"/>
      <c r="D38" s="489"/>
      <c r="E38" s="489"/>
      <c r="F38" s="489"/>
      <c r="G38" s="487"/>
    </row>
    <row r="39" spans="1:7" ht="21">
      <c r="A39" s="487"/>
      <c r="B39" s="490" t="s">
        <v>722</v>
      </c>
      <c r="C39" s="138"/>
      <c r="D39" s="468"/>
      <c r="E39" s="468"/>
      <c r="F39" s="468"/>
      <c r="G39" s="487"/>
    </row>
    <row r="40" spans="1:7" ht="17.25">
      <c r="A40" s="465"/>
      <c r="B40" s="491"/>
      <c r="C40" s="320"/>
      <c r="D40" s="492">
        <f>D3</f>
        <v>2009</v>
      </c>
      <c r="E40" s="492">
        <f>E3</f>
        <v>2010</v>
      </c>
      <c r="F40" s="492" t="str">
        <f>F3</f>
        <v>Ændring</v>
      </c>
      <c r="G40" s="465"/>
    </row>
    <row r="41" spans="1:7" ht="13.5">
      <c r="A41" s="465"/>
      <c r="B41" s="311" t="s">
        <v>558</v>
      </c>
      <c r="C41" s="493"/>
      <c r="D41" s="326">
        <v>111.02456529082907</v>
      </c>
      <c r="E41" s="326">
        <v>104.83634317556022</v>
      </c>
      <c r="F41" s="494">
        <f>IF(OR(D41="",E41="")," ",IF(D41=0,0,(E41-D41)/D41))</f>
        <v>-0.05573741359904267</v>
      </c>
      <c r="G41" s="465"/>
    </row>
    <row r="42" spans="1:7" ht="13.5">
      <c r="A42" s="465"/>
      <c r="B42" s="480" t="s">
        <v>559</v>
      </c>
      <c r="C42" s="493"/>
      <c r="D42" s="326">
        <v>23.03151903053412</v>
      </c>
      <c r="E42" s="479">
        <v>24.3091</v>
      </c>
      <c r="F42" s="494">
        <f>IF(OR(D42="",E42="")," ",IF(D42=0,0,(E42-D42)/D42))</f>
        <v>0.05547098164789403</v>
      </c>
      <c r="G42" s="465"/>
    </row>
    <row r="43" spans="1:7" ht="13.5">
      <c r="A43" s="465"/>
      <c r="B43" s="311" t="s">
        <v>560</v>
      </c>
      <c r="C43" s="493"/>
      <c r="D43" s="479">
        <v>0</v>
      </c>
      <c r="E43" s="479">
        <v>0</v>
      </c>
      <c r="F43" s="494">
        <f aca="true" t="shared" si="2" ref="F43:F48">IF(OR(D43="",E43="")," ",IF(D43=0,0,(E43-D43)/D43))</f>
        <v>0</v>
      </c>
      <c r="G43" s="465"/>
    </row>
    <row r="44" spans="1:7" ht="13.5">
      <c r="A44" s="465"/>
      <c r="B44" s="311" t="s">
        <v>517</v>
      </c>
      <c r="C44" s="493"/>
      <c r="D44" s="326">
        <v>30.53152277863685</v>
      </c>
      <c r="E44" s="326">
        <v>31.950066369160652</v>
      </c>
      <c r="F44" s="494">
        <f t="shared" si="2"/>
        <v>0.04646160628176615</v>
      </c>
      <c r="G44" s="465"/>
    </row>
    <row r="45" spans="1:7" ht="13.5">
      <c r="A45" s="465"/>
      <c r="B45" s="311" t="s">
        <v>561</v>
      </c>
      <c r="C45" s="493"/>
      <c r="D45" s="327">
        <v>1.3595213512549067</v>
      </c>
      <c r="E45" s="327">
        <v>1.2363042157235093</v>
      </c>
      <c r="F45" s="494">
        <f t="shared" si="2"/>
        <v>-0.09063273292299656</v>
      </c>
      <c r="G45" s="465"/>
    </row>
    <row r="46" spans="1:7" ht="13.5">
      <c r="A46" s="465"/>
      <c r="B46" s="495" t="s">
        <v>562</v>
      </c>
      <c r="C46" s="493"/>
      <c r="D46" s="479">
        <v>0</v>
      </c>
      <c r="E46" s="479"/>
      <c r="F46" s="494" t="str">
        <f t="shared" si="2"/>
        <v> </v>
      </c>
      <c r="G46" s="465"/>
    </row>
    <row r="47" spans="1:7" ht="13.5">
      <c r="A47" s="465"/>
      <c r="B47" s="495" t="s">
        <v>563</v>
      </c>
      <c r="C47" s="496"/>
      <c r="D47" s="327">
        <v>2.2258221719995244</v>
      </c>
      <c r="E47" s="327">
        <v>2.160455089251804</v>
      </c>
      <c r="F47" s="494">
        <f t="shared" si="2"/>
        <v>-0.0293676123681521</v>
      </c>
      <c r="G47" s="465"/>
    </row>
    <row r="48" spans="1:7" ht="13.5">
      <c r="A48" s="465"/>
      <c r="B48" s="497" t="s">
        <v>564</v>
      </c>
      <c r="C48" s="482"/>
      <c r="D48" s="474">
        <f>SUM(D41:D47)</f>
        <v>168.17295062325445</v>
      </c>
      <c r="E48" s="474">
        <f>SUM(E41:E47)</f>
        <v>164.4922688496962</v>
      </c>
      <c r="F48" s="475">
        <f t="shared" si="2"/>
        <v>-0.021886288846794538</v>
      </c>
      <c r="G48" s="465"/>
    </row>
    <row r="49" spans="1:7" ht="12.75">
      <c r="A49" s="465"/>
      <c r="B49" s="135"/>
      <c r="C49" s="487"/>
      <c r="D49" s="498"/>
      <c r="E49" s="498"/>
      <c r="F49" s="499"/>
      <c r="G49" s="465"/>
    </row>
    <row r="50" spans="1:7" ht="22.5">
      <c r="A50" s="465"/>
      <c r="B50" s="488"/>
      <c r="C50" s="487"/>
      <c r="D50" s="489"/>
      <c r="E50" s="489"/>
      <c r="F50" s="489"/>
      <c r="G50" s="465"/>
    </row>
    <row r="51" spans="1:7" ht="21">
      <c r="A51" s="141"/>
      <c r="B51" s="490" t="s">
        <v>723</v>
      </c>
      <c r="C51" s="138"/>
      <c r="D51" s="500"/>
      <c r="E51" s="500"/>
      <c r="F51" s="500"/>
      <c r="G51" s="141"/>
    </row>
    <row r="52" spans="1:7" ht="17.25">
      <c r="A52" s="465"/>
      <c r="B52" s="501"/>
      <c r="C52" s="320"/>
      <c r="D52" s="492">
        <f>D3</f>
        <v>2009</v>
      </c>
      <c r="E52" s="492">
        <f>E3</f>
        <v>2010</v>
      </c>
      <c r="F52" s="492" t="s">
        <v>721</v>
      </c>
      <c r="G52" s="465"/>
    </row>
    <row r="53" spans="1:7" ht="13.5">
      <c r="A53" s="465"/>
      <c r="B53" s="313" t="s">
        <v>565</v>
      </c>
      <c r="C53" s="502"/>
      <c r="D53" s="474">
        <f>SUM(D54:D59)</f>
        <v>174.06764749479797</v>
      </c>
      <c r="E53" s="325">
        <v>156.77314758883213</v>
      </c>
      <c r="F53" s="475">
        <f aca="true" t="shared" si="3" ref="F53:F67">IF(OR(D53="",E53="")," ",IF(D53=0,0,(E53-D53)/D53))</f>
        <v>-0.09935505049255454</v>
      </c>
      <c r="G53" s="465"/>
    </row>
    <row r="54" spans="1:7" ht="13.5">
      <c r="A54" s="465"/>
      <c r="B54" s="503"/>
      <c r="C54" s="493" t="s">
        <v>496</v>
      </c>
      <c r="D54" s="328">
        <v>29.59530374092686</v>
      </c>
      <c r="E54" s="328">
        <v>28.950758101619204</v>
      </c>
      <c r="F54" s="494">
        <f t="shared" si="3"/>
        <v>-0.02177864586050263</v>
      </c>
      <c r="G54" s="465"/>
    </row>
    <row r="55" spans="1:7" ht="13.5">
      <c r="A55" s="465"/>
      <c r="B55" s="504"/>
      <c r="C55" s="493" t="s">
        <v>603</v>
      </c>
      <c r="D55" s="328">
        <v>20.7229156367147</v>
      </c>
      <c r="E55" s="328">
        <v>21.880895970914167</v>
      </c>
      <c r="F55" s="494">
        <f t="shared" si="3"/>
        <v>0.055879218663028266</v>
      </c>
      <c r="G55" s="465"/>
    </row>
    <row r="56" spans="1:7" ht="13.5">
      <c r="A56" s="465"/>
      <c r="B56" s="504"/>
      <c r="C56" s="493" t="s">
        <v>498</v>
      </c>
      <c r="D56" s="327">
        <v>30.03466098431217</v>
      </c>
      <c r="E56" s="327">
        <v>31.934308143032194</v>
      </c>
      <c r="F56" s="494">
        <f t="shared" si="3"/>
        <v>0.06324849678550583</v>
      </c>
      <c r="G56" s="465"/>
    </row>
    <row r="57" spans="1:7" ht="13.5">
      <c r="A57" s="465"/>
      <c r="B57" s="504"/>
      <c r="C57" s="493" t="s">
        <v>505</v>
      </c>
      <c r="D57" s="327">
        <v>38.4101235657947</v>
      </c>
      <c r="E57" s="327">
        <v>28.70834878567781</v>
      </c>
      <c r="F57" s="494">
        <f t="shared" si="3"/>
        <v>-0.2525837950898079</v>
      </c>
      <c r="G57" s="465"/>
    </row>
    <row r="58" spans="1:7" ht="13.5">
      <c r="A58" s="465"/>
      <c r="B58" s="504"/>
      <c r="C58" s="493" t="s">
        <v>506</v>
      </c>
      <c r="D58" s="328">
        <v>26.62578319933463</v>
      </c>
      <c r="E58" s="328">
        <v>18.71917660105351</v>
      </c>
      <c r="F58" s="494">
        <f t="shared" si="3"/>
        <v>-0.29695301501886734</v>
      </c>
      <c r="G58" s="465"/>
    </row>
    <row r="59" spans="1:7" ht="13.5">
      <c r="A59" s="465"/>
      <c r="B59" s="505"/>
      <c r="C59" s="493" t="s">
        <v>566</v>
      </c>
      <c r="D59" s="328">
        <v>28.67886036771491</v>
      </c>
      <c r="E59" s="328">
        <v>26.66668906083623</v>
      </c>
      <c r="F59" s="494">
        <f t="shared" si="3"/>
        <v>-0.0701621780321464</v>
      </c>
      <c r="G59" s="465"/>
    </row>
    <row r="60" spans="1:7" ht="13.5">
      <c r="A60" s="465"/>
      <c r="B60" s="472" t="s">
        <v>518</v>
      </c>
      <c r="C60" s="473"/>
      <c r="D60" s="474">
        <f>SUM(D61:D63)</f>
        <v>55.67690842201277</v>
      </c>
      <c r="E60" s="325">
        <f>SUM(E61:E63)</f>
        <v>50.174970702341135</v>
      </c>
      <c r="F60" s="475">
        <f t="shared" si="3"/>
        <v>-0.09881902346245139</v>
      </c>
      <c r="G60" s="465"/>
    </row>
    <row r="61" spans="1:7" ht="13.5">
      <c r="A61" s="465"/>
      <c r="B61" s="503"/>
      <c r="C61" s="493" t="s">
        <v>631</v>
      </c>
      <c r="D61" s="328">
        <v>49.69346086956522</v>
      </c>
      <c r="E61" s="328">
        <v>45.28958608695652</v>
      </c>
      <c r="F61" s="494">
        <f t="shared" si="3"/>
        <v>-0.08862081057642451</v>
      </c>
      <c r="G61" s="465"/>
    </row>
    <row r="62" spans="1:7" ht="13.5">
      <c r="A62" s="465"/>
      <c r="B62" s="504"/>
      <c r="C62" s="496" t="s">
        <v>519</v>
      </c>
      <c r="D62" s="328"/>
      <c r="E62" s="328"/>
      <c r="F62" s="506" t="str">
        <f t="shared" si="3"/>
        <v> </v>
      </c>
      <c r="G62" s="465"/>
    </row>
    <row r="63" spans="1:7" ht="13.5">
      <c r="A63" s="465"/>
      <c r="B63" s="504"/>
      <c r="C63" s="496" t="s">
        <v>516</v>
      </c>
      <c r="D63" s="328">
        <v>5.9834475524475526</v>
      </c>
      <c r="E63" s="328">
        <v>4.885384615384615</v>
      </c>
      <c r="F63" s="506">
        <f t="shared" si="3"/>
        <v>-0.18351676478116202</v>
      </c>
      <c r="G63" s="465"/>
    </row>
    <row r="64" spans="1:7" ht="13.5">
      <c r="A64" s="465"/>
      <c r="B64" s="472" t="s">
        <v>522</v>
      </c>
      <c r="C64" s="473"/>
      <c r="D64" s="474">
        <f>SUM(D65:D66)</f>
        <v>19.689064604377105</v>
      </c>
      <c r="E64" s="325">
        <f>SUM(E65:E66)</f>
        <v>18.099182943602692</v>
      </c>
      <c r="F64" s="475">
        <f t="shared" si="3"/>
        <v>-0.08074947656075872</v>
      </c>
      <c r="G64" s="465"/>
    </row>
    <row r="65" spans="1:7" ht="13.5">
      <c r="A65" s="465"/>
      <c r="B65" s="505"/>
      <c r="C65" s="493" t="s">
        <v>499</v>
      </c>
      <c r="D65" s="328">
        <v>19.689064604377105</v>
      </c>
      <c r="E65" s="328">
        <v>18.099182943602692</v>
      </c>
      <c r="F65" s="494">
        <f t="shared" si="3"/>
        <v>-0.08074947656075872</v>
      </c>
      <c r="G65" s="465"/>
    </row>
    <row r="66" spans="1:7" ht="13.5">
      <c r="A66" s="465"/>
      <c r="B66" s="505"/>
      <c r="C66" s="496" t="s">
        <v>516</v>
      </c>
      <c r="D66" s="479">
        <v>0</v>
      </c>
      <c r="E66" s="479"/>
      <c r="F66" s="494" t="str">
        <f t="shared" si="3"/>
        <v> </v>
      </c>
      <c r="G66" s="465"/>
    </row>
    <row r="67" spans="1:7" ht="13.5">
      <c r="A67" s="465"/>
      <c r="B67" s="481" t="s">
        <v>564</v>
      </c>
      <c r="C67" s="482"/>
      <c r="D67" s="474">
        <f>D53+D60+D64</f>
        <v>249.43362052118783</v>
      </c>
      <c r="E67" s="474">
        <f>E53+E60+E64</f>
        <v>225.04730123477597</v>
      </c>
      <c r="F67" s="475">
        <f t="shared" si="3"/>
        <v>-0.09776676951349626</v>
      </c>
      <c r="G67" s="465"/>
    </row>
    <row r="68" spans="1:7" ht="12.75">
      <c r="A68" s="465"/>
      <c r="B68" s="465"/>
      <c r="C68" s="465"/>
      <c r="D68" s="466"/>
      <c r="E68" s="466"/>
      <c r="F68" s="466"/>
      <c r="G68" s="465"/>
    </row>
  </sheetData>
  <sheetProtection/>
  <mergeCells count="3">
    <mergeCell ref="D2:F2"/>
    <mergeCell ref="D39:F39"/>
    <mergeCell ref="D51:F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Assens Kommune</dc:creator>
  <cp:keywords/>
  <dc:description/>
  <cp:lastModifiedBy>sigrid</cp:lastModifiedBy>
  <cp:lastPrinted>2011-08-03T11:45:57Z</cp:lastPrinted>
  <dcterms:created xsi:type="dcterms:W3CDTF">2003-12-09T13:05:05Z</dcterms:created>
  <dcterms:modified xsi:type="dcterms:W3CDTF">2016-11-23T08:32:21Z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