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555" yWindow="90" windowWidth="18270" windowHeight="11580" tabRatio="670" firstSheet="5" activeTab="9"/>
  </bookViews>
  <sheets>
    <sheet name="Vejledning" sheetId="19" r:id="rId1"/>
    <sheet name="Grafdata" sheetId="13" state="hidden" r:id="rId2"/>
    <sheet name="Figur_CO2-udledning" sheetId="17" r:id="rId3"/>
    <sheet name="Figur_CO2-udledning,bygninger" sheetId="18" r:id="rId4"/>
    <sheet name="Forudsætninger" sheetId="10" r:id="rId5"/>
    <sheet name="Transport" sheetId="5" r:id="rId6"/>
    <sheet name="Offentlig transport" sheetId="12" r:id="rId7"/>
    <sheet name="Vejbelysning" sheetId="7" r:id="rId8"/>
    <sheet name="Bygninger" sheetId="2" r:id="rId9"/>
    <sheet name="Årlig CO2-opgørelse" sheetId="3" r:id="rId10"/>
    <sheet name="Sammenligning 2011 og 2012" sheetId="20" r:id="rId11"/>
  </sheets>
  <definedNames>
    <definedName name="A_administrationsbygninger">Bygninger!$G$9</definedName>
    <definedName name="A_andreKommunaleBygninger">Bygninger!#REF!</definedName>
    <definedName name="A_daginstitutioner">Bygninger!$G$35</definedName>
    <definedName name="A_kulturinstitutioner">Bygninger!$G$75</definedName>
    <definedName name="A_materialegårde">Bygninger!$G$131</definedName>
    <definedName name="A_plejeOGældrecentre">Bygninger!#REF!</definedName>
    <definedName name="A_skoler">Bygninger!#REF!</definedName>
    <definedName name="A_sportsanlæg_andre">Bygninger!#REF!</definedName>
    <definedName name="A_sportsanlæg_stadions">Bygninger!#REF!</definedName>
    <definedName name="Antal_borgere">Forudsætninger!$C$1</definedName>
    <definedName name="CO2_el">Forudsætninger!$B$12</definedName>
    <definedName name="CO2_fjernvarme">Forudsætninger!#REF!</definedName>
    <definedName name="CO2_kmBenzin">Forudsætninger!$B$29</definedName>
    <definedName name="CO2_kmDiesel">Forudsætninger!$B$30</definedName>
    <definedName name="CO2_LiterBenzin">Forudsætninger!$B$15</definedName>
    <definedName name="CO2_LiterDiesel">Forudsætninger!$B$16</definedName>
    <definedName name="CO2_naturgas">Forudsætninger!$B$13</definedName>
    <definedName name="CO2_olie">Forudsætninger!$B$14</definedName>
    <definedName name="energiindhold_naturgas">Forudsætninger!$B$6</definedName>
    <definedName name="energiindhold_olie">Forudsætninger!$B$7</definedName>
    <definedName name="_xlnm.Print_Area" localSheetId="8">Bygninger!$A$6:$AD$151</definedName>
    <definedName name="_xlnm.Print_Area" localSheetId="4">Forudsætninger!$A$1:$I$42</definedName>
    <definedName name="_xlnm.Print_Area" localSheetId="6">'Offentlig transport'!$A$1:$K$18</definedName>
    <definedName name="_xlnm.Print_Area" localSheetId="5">Transport!$A$1:$K$28</definedName>
    <definedName name="_xlnm.Print_Area" localSheetId="7">Vejbelysning!$A$1:$D$10</definedName>
    <definedName name="_xlnm.Print_Area" localSheetId="0">Vejledning!$A$1:$S$45</definedName>
    <definedName name="_xlnm.Print_Area" localSheetId="9">'Årlig CO2-opgørelse'!$A$1:$G$58</definedName>
    <definedName name="_xlnm.Print_Titles" localSheetId="8">Bygninger!$6:$6</definedName>
  </definedNames>
  <calcPr calcId="125725"/>
</workbook>
</file>

<file path=xl/calcChain.xml><?xml version="1.0" encoding="utf-8"?>
<calcChain xmlns="http://schemas.openxmlformats.org/spreadsheetml/2006/main">
  <c r="D60" i="20"/>
  <c r="D63" l="1"/>
  <c r="D58"/>
  <c r="Q103" i="2" l="1"/>
  <c r="Q72"/>
  <c r="Q55"/>
  <c r="Q54"/>
  <c r="Q53"/>
  <c r="Q91"/>
  <c r="Q80"/>
  <c r="Q123"/>
  <c r="Q122"/>
  <c r="Q119"/>
  <c r="Q94"/>
  <c r="Q93"/>
  <c r="Q79"/>
  <c r="Q76"/>
  <c r="D4" i="20" l="1"/>
  <c r="AC136" i="2" l="1"/>
  <c r="AD136"/>
  <c r="AF136"/>
  <c r="X136"/>
  <c r="K137"/>
  <c r="L137"/>
  <c r="M137"/>
  <c r="N137"/>
  <c r="O137"/>
  <c r="P137"/>
  <c r="Q137"/>
  <c r="R137"/>
  <c r="S137"/>
  <c r="AG137" s="1"/>
  <c r="U137"/>
  <c r="V137"/>
  <c r="W137"/>
  <c r="AH137" s="1"/>
  <c r="AH136" s="1"/>
  <c r="H137"/>
  <c r="I137"/>
  <c r="AE137" s="1"/>
  <c r="G137"/>
  <c r="AA137" l="1"/>
  <c r="AA136" s="1"/>
  <c r="Z137"/>
  <c r="AB137" s="1"/>
  <c r="AB136" s="1"/>
  <c r="AE136"/>
  <c r="AG136"/>
  <c r="AI137"/>
  <c r="AI136" s="1"/>
  <c r="I65"/>
  <c r="Z136" l="1"/>
  <c r="AJ137"/>
  <c r="D27" i="20"/>
  <c r="B2" i="3"/>
  <c r="D17"/>
  <c r="K23" i="19" s="1"/>
  <c r="F17" i="3"/>
  <c r="F25"/>
  <c r="F26"/>
  <c r="D27"/>
  <c r="B5" i="13" s="1"/>
  <c r="F27" i="3"/>
  <c r="F51"/>
  <c r="J8" i="2"/>
  <c r="T8"/>
  <c r="Y8"/>
  <c r="AC8"/>
  <c r="AD8"/>
  <c r="G9"/>
  <c r="D44" i="3" s="1"/>
  <c r="H9" i="2"/>
  <c r="I9"/>
  <c r="M9"/>
  <c r="R9"/>
  <c r="S9"/>
  <c r="AG9" s="1"/>
  <c r="V9"/>
  <c r="W9"/>
  <c r="Q10"/>
  <c r="AF10" s="1"/>
  <c r="J11"/>
  <c r="N11"/>
  <c r="Q11"/>
  <c r="AF11" s="1"/>
  <c r="J12"/>
  <c r="N12"/>
  <c r="Q12"/>
  <c r="AF12" s="1"/>
  <c r="J13"/>
  <c r="N13"/>
  <c r="Q13"/>
  <c r="AF13" s="1"/>
  <c r="J14"/>
  <c r="L14"/>
  <c r="L9" s="1"/>
  <c r="N14"/>
  <c r="Q14"/>
  <c r="AF14" s="1"/>
  <c r="G15"/>
  <c r="D45" i="3" s="1"/>
  <c r="I15" i="2"/>
  <c r="AE15" s="1"/>
  <c r="L15"/>
  <c r="R15"/>
  <c r="S15"/>
  <c r="AG15" s="1"/>
  <c r="V15"/>
  <c r="W15"/>
  <c r="AH15" s="1"/>
  <c r="J16"/>
  <c r="N16"/>
  <c r="Q16"/>
  <c r="AF16" s="1"/>
  <c r="J17"/>
  <c r="Y17"/>
  <c r="AF17"/>
  <c r="J18"/>
  <c r="N18"/>
  <c r="Q18"/>
  <c r="AF18" s="1"/>
  <c r="J19"/>
  <c r="N19"/>
  <c r="Q19"/>
  <c r="AF19" s="1"/>
  <c r="J20"/>
  <c r="N20"/>
  <c r="Q20"/>
  <c r="AF20" s="1"/>
  <c r="T20"/>
  <c r="J21"/>
  <c r="T21"/>
  <c r="AF21"/>
  <c r="J22"/>
  <c r="N22"/>
  <c r="Q22"/>
  <c r="AF22" s="1"/>
  <c r="J23"/>
  <c r="T23"/>
  <c r="AF23"/>
  <c r="H24"/>
  <c r="J24" s="1"/>
  <c r="T24"/>
  <c r="AF24"/>
  <c r="H25"/>
  <c r="J25"/>
  <c r="M25"/>
  <c r="N25" s="1"/>
  <c r="Q25"/>
  <c r="J26"/>
  <c r="T26"/>
  <c r="AF26"/>
  <c r="J27"/>
  <c r="M27"/>
  <c r="Q27"/>
  <c r="J28"/>
  <c r="M28"/>
  <c r="Q28"/>
  <c r="J29"/>
  <c r="M29"/>
  <c r="N29"/>
  <c r="Q29"/>
  <c r="J30"/>
  <c r="N30"/>
  <c r="Q30"/>
  <c r="AF30" s="1"/>
  <c r="J31"/>
  <c r="T31"/>
  <c r="AF31"/>
  <c r="J32"/>
  <c r="T32"/>
  <c r="AF32"/>
  <c r="H33"/>
  <c r="J33" s="1"/>
  <c r="N33"/>
  <c r="Q33"/>
  <c r="AF33" s="1"/>
  <c r="H34"/>
  <c r="J34" s="1"/>
  <c r="T34"/>
  <c r="AF34"/>
  <c r="G35"/>
  <c r="D46" i="3" s="1"/>
  <c r="R35" i="2"/>
  <c r="S35"/>
  <c r="AG35" s="1"/>
  <c r="V35"/>
  <c r="W35"/>
  <c r="AH35" s="1"/>
  <c r="AF36"/>
  <c r="J37"/>
  <c r="Y37"/>
  <c r="AF37"/>
  <c r="J38"/>
  <c r="N38"/>
  <c r="Q38"/>
  <c r="AF38" s="1"/>
  <c r="J39"/>
  <c r="L39"/>
  <c r="L35" s="1"/>
  <c r="Q39"/>
  <c r="AF39" s="1"/>
  <c r="J40"/>
  <c r="N40"/>
  <c r="Q40"/>
  <c r="AF40" s="1"/>
  <c r="J41"/>
  <c r="T41"/>
  <c r="AF41"/>
  <c r="H42"/>
  <c r="I42"/>
  <c r="I35" s="1"/>
  <c r="AE35" s="1"/>
  <c r="J42"/>
  <c r="T42"/>
  <c r="AF42"/>
  <c r="H43"/>
  <c r="J43"/>
  <c r="N43"/>
  <c r="Q43"/>
  <c r="AF43" s="1"/>
  <c r="J44"/>
  <c r="AF44"/>
  <c r="J45"/>
  <c r="T45"/>
  <c r="AF45"/>
  <c r="J46"/>
  <c r="M46"/>
  <c r="Q46"/>
  <c r="J47"/>
  <c r="N47"/>
  <c r="Q47"/>
  <c r="AF47" s="1"/>
  <c r="J48"/>
  <c r="T48"/>
  <c r="AF48"/>
  <c r="J49"/>
  <c r="T49"/>
  <c r="AF49"/>
  <c r="J50"/>
  <c r="T50"/>
  <c r="AF50"/>
  <c r="J51"/>
  <c r="N51"/>
  <c r="Q51"/>
  <c r="AF51" s="1"/>
  <c r="J151"/>
  <c r="M151"/>
  <c r="Q151"/>
  <c r="H52"/>
  <c r="J52" s="1"/>
  <c r="Y52"/>
  <c r="AF52"/>
  <c r="J53"/>
  <c r="N53"/>
  <c r="T53"/>
  <c r="AF53"/>
  <c r="J54"/>
  <c r="N54"/>
  <c r="T54"/>
  <c r="AF54"/>
  <c r="J55"/>
  <c r="M55"/>
  <c r="N55" s="1"/>
  <c r="J56"/>
  <c r="T56"/>
  <c r="AF56"/>
  <c r="H57"/>
  <c r="J57" s="1"/>
  <c r="T57"/>
  <c r="AF57"/>
  <c r="H58"/>
  <c r="J58" s="1"/>
  <c r="T58"/>
  <c r="AF58"/>
  <c r="H59"/>
  <c r="J59" s="1"/>
  <c r="N59"/>
  <c r="Q59"/>
  <c r="AF59" s="1"/>
  <c r="J60"/>
  <c r="T60"/>
  <c r="AF60"/>
  <c r="J61"/>
  <c r="T61"/>
  <c r="AF61"/>
  <c r="J62"/>
  <c r="T62"/>
  <c r="AF62"/>
  <c r="H63"/>
  <c r="J63" s="1"/>
  <c r="T63"/>
  <c r="AF63"/>
  <c r="J64"/>
  <c r="T64"/>
  <c r="AF64"/>
  <c r="G65"/>
  <c r="D47" i="3" s="1"/>
  <c r="H65" i="2"/>
  <c r="L65"/>
  <c r="M65"/>
  <c r="P65"/>
  <c r="R65"/>
  <c r="S65"/>
  <c r="AG65" s="1"/>
  <c r="U65"/>
  <c r="U8" s="1"/>
  <c r="V65"/>
  <c r="W65"/>
  <c r="AE65"/>
  <c r="J66"/>
  <c r="N66"/>
  <c r="Q66"/>
  <c r="N67"/>
  <c r="Q67"/>
  <c r="AF67" s="1"/>
  <c r="J68"/>
  <c r="N68"/>
  <c r="Q68"/>
  <c r="AF68" s="1"/>
  <c r="J69"/>
  <c r="T69"/>
  <c r="AF69"/>
  <c r="J70"/>
  <c r="N70"/>
  <c r="AF70"/>
  <c r="J71"/>
  <c r="N71"/>
  <c r="Q71"/>
  <c r="AF71" s="1"/>
  <c r="J72"/>
  <c r="N72"/>
  <c r="AF72"/>
  <c r="J73"/>
  <c r="N73"/>
  <c r="Q73"/>
  <c r="AF73" s="1"/>
  <c r="J74"/>
  <c r="T74"/>
  <c r="AF74"/>
  <c r="G75"/>
  <c r="D48" i="3" s="1"/>
  <c r="I75" i="2"/>
  <c r="AE75" s="1"/>
  <c r="L75"/>
  <c r="M75"/>
  <c r="R75"/>
  <c r="S75"/>
  <c r="V75"/>
  <c r="W75"/>
  <c r="AH75" s="1"/>
  <c r="AG75"/>
  <c r="J76"/>
  <c r="N76"/>
  <c r="T76"/>
  <c r="AF76"/>
  <c r="J77"/>
  <c r="N77"/>
  <c r="Q77"/>
  <c r="AF77" s="1"/>
  <c r="J78"/>
  <c r="N78"/>
  <c r="Y78"/>
  <c r="AF78"/>
  <c r="J79"/>
  <c r="N79"/>
  <c r="AF79"/>
  <c r="H80"/>
  <c r="H75" s="1"/>
  <c r="N80"/>
  <c r="AF80"/>
  <c r="J81"/>
  <c r="N81"/>
  <c r="AF81"/>
  <c r="N82"/>
  <c r="AF82"/>
  <c r="J83"/>
  <c r="N83"/>
  <c r="Y83"/>
  <c r="AF83"/>
  <c r="N84"/>
  <c r="AF84"/>
  <c r="J85"/>
  <c r="N85"/>
  <c r="Q85"/>
  <c r="AF85" s="1"/>
  <c r="N86"/>
  <c r="AF86"/>
  <c r="N87"/>
  <c r="AF87"/>
  <c r="J88"/>
  <c r="T88"/>
  <c r="AF88"/>
  <c r="J89"/>
  <c r="N89"/>
  <c r="Q89"/>
  <c r="AF89" s="1"/>
  <c r="L90"/>
  <c r="R90"/>
  <c r="S90"/>
  <c r="AG90" s="1"/>
  <c r="V90"/>
  <c r="W90"/>
  <c r="AH90" s="1"/>
  <c r="H91"/>
  <c r="I91"/>
  <c r="N91"/>
  <c r="AF91"/>
  <c r="J92"/>
  <c r="N92"/>
  <c r="Q92"/>
  <c r="AF92" s="1"/>
  <c r="J93"/>
  <c r="N93"/>
  <c r="T93"/>
  <c r="AF93"/>
  <c r="J94"/>
  <c r="N94"/>
  <c r="AF94"/>
  <c r="J95"/>
  <c r="N95"/>
  <c r="Q95"/>
  <c r="AF95" s="1"/>
  <c r="J96"/>
  <c r="T96"/>
  <c r="AF96"/>
  <c r="J97"/>
  <c r="T97"/>
  <c r="AF97"/>
  <c r="T98"/>
  <c r="AF98"/>
  <c r="J99"/>
  <c r="N99"/>
  <c r="T99"/>
  <c r="AF99"/>
  <c r="J100"/>
  <c r="N100"/>
  <c r="T100"/>
  <c r="AF100"/>
  <c r="J101"/>
  <c r="N101"/>
  <c r="T101"/>
  <c r="AF101"/>
  <c r="AF102"/>
  <c r="J103"/>
  <c r="N103"/>
  <c r="AF103"/>
  <c r="J104"/>
  <c r="N104"/>
  <c r="Q104"/>
  <c r="AF104" s="1"/>
  <c r="J105"/>
  <c r="N105"/>
  <c r="Q105"/>
  <c r="AF105" s="1"/>
  <c r="J106"/>
  <c r="Y106"/>
  <c r="AF106"/>
  <c r="G107"/>
  <c r="G90" s="1"/>
  <c r="D49" i="3" s="1"/>
  <c r="H107" i="2"/>
  <c r="I107"/>
  <c r="R107"/>
  <c r="S107"/>
  <c r="AF107"/>
  <c r="J108"/>
  <c r="N108"/>
  <c r="T108"/>
  <c r="AF108"/>
  <c r="J109"/>
  <c r="N109"/>
  <c r="Q109"/>
  <c r="AF109" s="1"/>
  <c r="J110"/>
  <c r="N110"/>
  <c r="Q110"/>
  <c r="AF110" s="1"/>
  <c r="J111"/>
  <c r="N111"/>
  <c r="Q111"/>
  <c r="AF111" s="1"/>
  <c r="J112"/>
  <c r="Q112"/>
  <c r="AF112" s="1"/>
  <c r="H113"/>
  <c r="I113"/>
  <c r="N113"/>
  <c r="Q113"/>
  <c r="AF113" s="1"/>
  <c r="J114"/>
  <c r="Y114"/>
  <c r="AF114"/>
  <c r="J115"/>
  <c r="M115"/>
  <c r="Q115"/>
  <c r="J116"/>
  <c r="N116"/>
  <c r="Q116"/>
  <c r="AF116" s="1"/>
  <c r="AF117"/>
  <c r="AF118"/>
  <c r="J119"/>
  <c r="N119"/>
  <c r="T119"/>
  <c r="AF119"/>
  <c r="N120"/>
  <c r="T120"/>
  <c r="AF120"/>
  <c r="J121"/>
  <c r="N121"/>
  <c r="T121"/>
  <c r="AF121"/>
  <c r="N122"/>
  <c r="T122"/>
  <c r="AF122"/>
  <c r="N123"/>
  <c r="T123"/>
  <c r="AF123"/>
  <c r="J124"/>
  <c r="N124"/>
  <c r="Q124"/>
  <c r="AF124" s="1"/>
  <c r="J125"/>
  <c r="Y125"/>
  <c r="AF125"/>
  <c r="N126"/>
  <c r="AF126"/>
  <c r="J127"/>
  <c r="AF127"/>
  <c r="J128"/>
  <c r="N128"/>
  <c r="Q128"/>
  <c r="AF128" s="1"/>
  <c r="N129"/>
  <c r="Q129"/>
  <c r="AF129" s="1"/>
  <c r="T130"/>
  <c r="U130"/>
  <c r="AC130"/>
  <c r="AD130"/>
  <c r="G131"/>
  <c r="G130" s="1"/>
  <c r="L131"/>
  <c r="L130" s="1"/>
  <c r="M131"/>
  <c r="R131"/>
  <c r="R130" s="1"/>
  <c r="S131"/>
  <c r="S130" s="1"/>
  <c r="V131"/>
  <c r="V130" s="1"/>
  <c r="W131"/>
  <c r="W130" s="1"/>
  <c r="H132"/>
  <c r="I132"/>
  <c r="I131" s="1"/>
  <c r="AE131" s="1"/>
  <c r="N132"/>
  <c r="Q132"/>
  <c r="AF132" s="1"/>
  <c r="H133"/>
  <c r="J133" s="1"/>
  <c r="T133"/>
  <c r="AF133"/>
  <c r="J134"/>
  <c r="T134"/>
  <c r="AF134"/>
  <c r="J135"/>
  <c r="T135"/>
  <c r="AF135"/>
  <c r="G136"/>
  <c r="D51" i="3" s="1"/>
  <c r="H136" i="2"/>
  <c r="I136"/>
  <c r="L136"/>
  <c r="M136"/>
  <c r="N136"/>
  <c r="P136"/>
  <c r="Q136"/>
  <c r="R136"/>
  <c r="S136"/>
  <c r="V136"/>
  <c r="W136"/>
  <c r="E51" i="3"/>
  <c r="J138" i="2"/>
  <c r="Y138"/>
  <c r="Y136" s="1"/>
  <c r="AF138"/>
  <c r="J139"/>
  <c r="T139"/>
  <c r="AF139"/>
  <c r="J140"/>
  <c r="Y140"/>
  <c r="AF140"/>
  <c r="J141"/>
  <c r="AF141"/>
  <c r="J142"/>
  <c r="T142"/>
  <c r="AF142"/>
  <c r="J143"/>
  <c r="Y143"/>
  <c r="AF143"/>
  <c r="J146"/>
  <c r="AF146"/>
  <c r="J147"/>
  <c r="AF147"/>
  <c r="J148"/>
  <c r="AF148"/>
  <c r="J149"/>
  <c r="AF149"/>
  <c r="J150"/>
  <c r="AF150"/>
  <c r="D3" i="7"/>
  <c r="D22" i="3" s="1"/>
  <c r="C3" i="12"/>
  <c r="D3"/>
  <c r="H4"/>
  <c r="H3" s="1"/>
  <c r="J3" s="1"/>
  <c r="H5"/>
  <c r="D6"/>
  <c r="H7"/>
  <c r="H6" s="1"/>
  <c r="H8"/>
  <c r="D9"/>
  <c r="H10"/>
  <c r="H9" s="1"/>
  <c r="H11"/>
  <c r="D12"/>
  <c r="H13"/>
  <c r="H12" s="1"/>
  <c r="H14"/>
  <c r="C3" i="5"/>
  <c r="D3"/>
  <c r="H4"/>
  <c r="H5"/>
  <c r="H6"/>
  <c r="H7"/>
  <c r="H8"/>
  <c r="C9"/>
  <c r="H9"/>
  <c r="C15"/>
  <c r="D15"/>
  <c r="G16"/>
  <c r="G17"/>
  <c r="G18"/>
  <c r="G19"/>
  <c r="G20"/>
  <c r="B29" i="10"/>
  <c r="B30"/>
  <c r="B6" i="13"/>
  <c r="A11"/>
  <c r="A12"/>
  <c r="A13"/>
  <c r="A14"/>
  <c r="A15"/>
  <c r="A16"/>
  <c r="P14" i="19"/>
  <c r="P17"/>
  <c r="K24"/>
  <c r="K25"/>
  <c r="K26"/>
  <c r="K27"/>
  <c r="K31"/>
  <c r="P31"/>
  <c r="K32"/>
  <c r="P32"/>
  <c r="K34"/>
  <c r="K35"/>
  <c r="P35"/>
  <c r="K36"/>
  <c r="K39"/>
  <c r="K40"/>
  <c r="K41"/>
  <c r="K42"/>
  <c r="K43"/>
  <c r="F22" i="3" l="1"/>
  <c r="E20" i="20"/>
  <c r="F20" s="1"/>
  <c r="B2" i="13"/>
  <c r="AF29" i="2"/>
  <c r="AA75"/>
  <c r="E48" i="3" s="1"/>
  <c r="J113" i="2"/>
  <c r="T107"/>
  <c r="AF27"/>
  <c r="AF55"/>
  <c r="N39"/>
  <c r="N27"/>
  <c r="AF25"/>
  <c r="G15" i="5"/>
  <c r="J15" s="1"/>
  <c r="H3"/>
  <c r="J3" s="1"/>
  <c r="J9"/>
  <c r="V8" i="2"/>
  <c r="AE9"/>
  <c r="J137"/>
  <c r="J91"/>
  <c r="I90"/>
  <c r="AE90" s="1"/>
  <c r="R8"/>
  <c r="T137"/>
  <c r="T136"/>
  <c r="AF131"/>
  <c r="AF130" s="1"/>
  <c r="AG131"/>
  <c r="AG130" s="1"/>
  <c r="J80"/>
  <c r="AA65"/>
  <c r="E47" i="3" s="1"/>
  <c r="L8" i="2"/>
  <c r="AJ136"/>
  <c r="Q131"/>
  <c r="I9" i="12"/>
  <c r="J9"/>
  <c r="AE130" i="2"/>
  <c r="I3" i="5"/>
  <c r="I12" i="12"/>
  <c r="J12"/>
  <c r="AG8" i="2"/>
  <c r="I15" i="5"/>
  <c r="K15" s="1"/>
  <c r="D16" i="3" s="1"/>
  <c r="E14" i="20" s="1"/>
  <c r="F14" s="1"/>
  <c r="J6" i="12"/>
  <c r="I6"/>
  <c r="K6" s="1"/>
  <c r="D50" i="3"/>
  <c r="F50" s="1"/>
  <c r="I9" i="5"/>
  <c r="K9" s="1"/>
  <c r="D15" i="3" s="1"/>
  <c r="E13" i="20" s="1"/>
  <c r="F13" s="1"/>
  <c r="AF115" i="2"/>
  <c r="AF90" s="1"/>
  <c r="AI90" s="1"/>
  <c r="N115"/>
  <c r="AH65"/>
  <c r="Z65"/>
  <c r="AB65" s="1"/>
  <c r="F47" i="3" s="1"/>
  <c r="AF151" i="2"/>
  <c r="N151"/>
  <c r="AF28"/>
  <c r="N28"/>
  <c r="W8"/>
  <c r="AH9"/>
  <c r="Z9"/>
  <c r="D43" i="3"/>
  <c r="K33" i="19"/>
  <c r="I3" i="12"/>
  <c r="K3" s="1"/>
  <c r="J132" i="2"/>
  <c r="AH131"/>
  <c r="AH130" s="1"/>
  <c r="H131"/>
  <c r="H90"/>
  <c r="AA90" s="1"/>
  <c r="E49" i="3" s="1"/>
  <c r="AF75" i="2"/>
  <c r="AI75" s="1"/>
  <c r="AJ75" s="1"/>
  <c r="E9" i="20" s="1"/>
  <c r="F9" s="1"/>
  <c r="Z75" i="2"/>
  <c r="AB75" s="1"/>
  <c r="F48" i="3" s="1"/>
  <c r="Q65" i="2"/>
  <c r="AF66"/>
  <c r="AF65" s="1"/>
  <c r="M15"/>
  <c r="Z15" s="1"/>
  <c r="AB15" s="1"/>
  <c r="F45" i="3" s="1"/>
  <c r="D55"/>
  <c r="I130" i="2"/>
  <c r="M90"/>
  <c r="Z90" s="1"/>
  <c r="AB90" s="1"/>
  <c r="F49" i="3" s="1"/>
  <c r="H35" i="2"/>
  <c r="AA35" s="1"/>
  <c r="E46" i="3" s="1"/>
  <c r="M35" i="2"/>
  <c r="Z35" s="1"/>
  <c r="AB35" s="1"/>
  <c r="F46" i="3" s="1"/>
  <c r="S8" i="2"/>
  <c r="G8"/>
  <c r="K28" i="19"/>
  <c r="M130" i="2"/>
  <c r="Z131"/>
  <c r="J107"/>
  <c r="N46"/>
  <c r="AF46"/>
  <c r="H15"/>
  <c r="AA15" s="1"/>
  <c r="E45" i="3" s="1"/>
  <c r="AF9" i="2"/>
  <c r="AA9"/>
  <c r="E42" i="20" l="1"/>
  <c r="F42" s="1"/>
  <c r="P15" i="19"/>
  <c r="AF35" i="2"/>
  <c r="AI35" s="1"/>
  <c r="AJ35" s="1"/>
  <c r="E7" i="20" s="1"/>
  <c r="F7" s="1"/>
  <c r="AF15" i="2"/>
  <c r="AI15" s="1"/>
  <c r="AJ15" s="1"/>
  <c r="D8" i="3" s="1"/>
  <c r="AE8" i="2"/>
  <c r="D23" i="3"/>
  <c r="D24"/>
  <c r="E22" i="20"/>
  <c r="I8" i="2"/>
  <c r="AJ90"/>
  <c r="D12" i="3" s="1"/>
  <c r="AI65" i="2"/>
  <c r="AJ65" s="1"/>
  <c r="E8" i="20" s="1"/>
  <c r="F8" s="1"/>
  <c r="AH8" i="2"/>
  <c r="E6" i="20"/>
  <c r="F6" s="1"/>
  <c r="AB9" i="2"/>
  <c r="Z8"/>
  <c r="F15" i="3"/>
  <c r="K21" i="19"/>
  <c r="H8" i="2"/>
  <c r="Z130"/>
  <c r="AB131"/>
  <c r="D54" i="3"/>
  <c r="H130" i="2"/>
  <c r="AA131"/>
  <c r="M8"/>
  <c r="E50" i="3"/>
  <c r="K12" i="12"/>
  <c r="E44" i="3"/>
  <c r="E43" s="1"/>
  <c r="AA8" i="2"/>
  <c r="D57" i="3"/>
  <c r="F16"/>
  <c r="K22" i="19"/>
  <c r="AI9" i="2"/>
  <c r="D11" i="3"/>
  <c r="AI131" i="2"/>
  <c r="K3" i="5"/>
  <c r="D14" i="3" s="1"/>
  <c r="E12" i="20" s="1"/>
  <c r="K9" i="12"/>
  <c r="E11" i="20" l="1"/>
  <c r="F11" s="1"/>
  <c r="F12"/>
  <c r="D9" i="3"/>
  <c r="F9" s="1"/>
  <c r="E10" i="20"/>
  <c r="F10" s="1"/>
  <c r="AF8" i="2"/>
  <c r="F24" i="3"/>
  <c r="F23" s="1"/>
  <c r="E24"/>
  <c r="K30" i="19"/>
  <c r="F22" i="20"/>
  <c r="E21"/>
  <c r="B3" i="13"/>
  <c r="K29" i="19"/>
  <c r="D10" i="3"/>
  <c r="B14" i="13" s="1"/>
  <c r="AB8" i="2"/>
  <c r="F44" i="3"/>
  <c r="F43" s="1"/>
  <c r="F14"/>
  <c r="F13" s="1"/>
  <c r="D13"/>
  <c r="K20" i="19"/>
  <c r="AI8" i="2"/>
  <c r="AJ9"/>
  <c r="E55" i="3"/>
  <c r="E54" s="1"/>
  <c r="E57" s="1"/>
  <c r="AA130" i="2"/>
  <c r="F12" i="3"/>
  <c r="E12"/>
  <c r="K18" i="19"/>
  <c r="B16" i="13"/>
  <c r="F8" i="3"/>
  <c r="E8"/>
  <c r="K14" i="19"/>
  <c r="B12" i="13"/>
  <c r="AI130" i="2"/>
  <c r="AJ131"/>
  <c r="AB130"/>
  <c r="F55" i="3"/>
  <c r="F54" s="1"/>
  <c r="E9"/>
  <c r="K16" i="19"/>
  <c r="E11" i="3"/>
  <c r="K17" i="19"/>
  <c r="F11" i="3"/>
  <c r="B15" i="13"/>
  <c r="P13" i="19" l="1"/>
  <c r="E40" i="20"/>
  <c r="F40" s="1"/>
  <c r="F21"/>
  <c r="B13" i="13"/>
  <c r="K15" i="19"/>
  <c r="F10" i="3"/>
  <c r="F57"/>
  <c r="E23"/>
  <c r="P29" i="19" s="1"/>
  <c r="E59" i="20"/>
  <c r="P30" i="19"/>
  <c r="E10" i="3"/>
  <c r="E55" i="20" s="1"/>
  <c r="F55" s="1"/>
  <c r="E43"/>
  <c r="F43" s="1"/>
  <c r="P16" i="19"/>
  <c r="E56" i="20"/>
  <c r="F56" s="1"/>
  <c r="P27" i="19"/>
  <c r="E54" i="20"/>
  <c r="F54" s="1"/>
  <c r="P25" i="19"/>
  <c r="B7" i="13"/>
  <c r="K19" i="19"/>
  <c r="D32" i="3"/>
  <c r="E28" i="20"/>
  <c r="AJ130" i="2"/>
  <c r="E53" i="20"/>
  <c r="F53" s="1"/>
  <c r="P24" i="19"/>
  <c r="E57" i="20"/>
  <c r="F57" s="1"/>
  <c r="P28" i="19"/>
  <c r="AJ8" i="2"/>
  <c r="E5" i="20"/>
  <c r="D7" i="3"/>
  <c r="E58" i="20" l="1"/>
  <c r="F58" s="1"/>
  <c r="F59"/>
  <c r="E4"/>
  <c r="F5"/>
  <c r="P26" i="19"/>
  <c r="F28" i="20"/>
  <c r="E27"/>
  <c r="F27" s="1"/>
  <c r="D6" i="3"/>
  <c r="E7"/>
  <c r="K13" i="19"/>
  <c r="F7" i="3"/>
  <c r="F6" s="1"/>
  <c r="B11" i="13"/>
  <c r="F32" i="3"/>
  <c r="F31" s="1"/>
  <c r="E32"/>
  <c r="D31"/>
  <c r="K38" i="19"/>
  <c r="F4" i="20" l="1"/>
  <c r="E34"/>
  <c r="F34" s="1"/>
  <c r="F38" i="3"/>
  <c r="E39" i="20"/>
  <c r="P12" i="19"/>
  <c r="E45" i="20"/>
  <c r="F45" s="1"/>
  <c r="P18" i="19"/>
  <c r="E52" i="20"/>
  <c r="E6" i="3"/>
  <c r="P22" i="19" s="1"/>
  <c r="P23"/>
  <c r="D38" i="3"/>
  <c r="K44" i="19" s="1"/>
  <c r="K12"/>
  <c r="B8" i="13"/>
  <c r="K37" i="19"/>
  <c r="B4" i="13"/>
  <c r="E61" i="20"/>
  <c r="E31" i="3"/>
  <c r="P33" i="19" s="1"/>
  <c r="P34"/>
  <c r="E60" i="20" l="1"/>
  <c r="F60" s="1"/>
  <c r="F61"/>
  <c r="E51"/>
  <c r="F52"/>
  <c r="P19" i="19"/>
  <c r="P36"/>
  <c r="F51" i="20"/>
  <c r="F39"/>
  <c r="E46"/>
  <c r="F46" s="1"/>
  <c r="E63" l="1"/>
  <c r="F63" s="1"/>
</calcChain>
</file>

<file path=xl/comments1.xml><?xml version="1.0" encoding="utf-8"?>
<comments xmlns="http://schemas.openxmlformats.org/spreadsheetml/2006/main">
  <authors>
    <author>dkm</author>
  </authors>
  <commentList>
    <comment ref="B12" authorId="0">
      <text>
        <r>
          <rPr>
            <b/>
            <sz val="8"/>
            <color indexed="81"/>
            <rFont val="Tahoma"/>
            <family val="2"/>
          </rPr>
          <t>dkm: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u/>
            <sz val="8"/>
            <color indexed="81"/>
            <rFont val="Tahoma"/>
            <family val="2"/>
          </rPr>
          <t>Værdi fra energinet.dk:</t>
        </r>
        <r>
          <rPr>
            <sz val="8"/>
            <color indexed="81"/>
            <rFont val="Tahoma"/>
            <family val="2"/>
          </rPr>
          <t xml:space="preserve">
Tabet i distributionsnettet er ikke indregnet i miljødeklarationen, og bør derfor indregnes med værdier fra det lokale netselskab eller alternativt med en gennemsnitsværdi på 5 %.
</t>
        </r>
      </text>
    </comment>
  </commentList>
</comments>
</file>

<file path=xl/comments2.xml><?xml version="1.0" encoding="utf-8"?>
<comments xmlns="http://schemas.openxmlformats.org/spreadsheetml/2006/main">
  <authors>
    <author>Else Marie Tofveson Kristiansen</author>
  </authors>
  <commentList>
    <comment ref="D3" authorId="0">
      <text>
        <r>
          <rPr>
            <b/>
            <sz val="9"/>
            <color indexed="81"/>
            <rFont val="Tahoma"/>
            <family val="2"/>
          </rPr>
          <t>Else Marie Tofveson Kristiansen:</t>
        </r>
        <r>
          <rPr>
            <sz val="9"/>
            <color indexed="81"/>
            <rFont val="Tahoma"/>
            <family val="2"/>
          </rPr>
          <t xml:space="preserve">
Mette Winther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>Else Marie Tofveson Kristiansen:</t>
        </r>
        <r>
          <rPr>
            <sz val="9"/>
            <color indexed="81"/>
            <rFont val="Tahoma"/>
            <family val="2"/>
          </rPr>
          <t xml:space="preserve">
2012 Gitte Trolle
</t>
        </r>
      </text>
    </comment>
    <comment ref="H12" authorId="0">
      <text>
        <r>
          <rPr>
            <b/>
            <sz val="9"/>
            <color indexed="81"/>
            <rFont val="Tahoma"/>
            <family val="2"/>
          </rPr>
          <t>Else Marie Tofveson Kristiansen:</t>
        </r>
        <r>
          <rPr>
            <sz val="9"/>
            <color indexed="81"/>
            <rFont val="Tahoma"/>
            <family val="2"/>
          </rPr>
          <t xml:space="preserve">
2012 Gitte Trolle</t>
        </r>
      </text>
    </comment>
  </commentList>
</comments>
</file>

<file path=xl/comments3.xml><?xml version="1.0" encoding="utf-8"?>
<comments xmlns="http://schemas.openxmlformats.org/spreadsheetml/2006/main">
  <authors>
    <author>Pernille Rosenberg Fløjborg</author>
    <author>Grith Gabriella Rasmussen</author>
    <author>Else Marie Tofveson Kristiansen</author>
    <author>Assens Kommune</author>
    <author>Karina Sund Jensen</author>
    <author>dcemtok</author>
  </authors>
  <commentList>
    <comment ref="L11" authorId="0">
      <text>
        <r>
          <rPr>
            <b/>
            <sz val="8"/>
            <color indexed="81"/>
            <rFont val="Tahoma"/>
            <family val="2"/>
          </rPr>
          <t>Pernille Rosenberg Fløjborg:</t>
        </r>
        <r>
          <rPr>
            <sz val="8"/>
            <color indexed="81"/>
            <rFont val="Tahoma"/>
            <family val="2"/>
          </rPr>
          <t xml:space="preserve">
Årsopgørelse for varmeår 2010/11
Willemoesgade 15 = 609,0 MWh
</t>
        </r>
      </text>
    </comment>
    <comment ref="A12" authorId="1">
      <text>
        <r>
          <rPr>
            <b/>
            <sz val="9"/>
            <color indexed="81"/>
            <rFont val="Tahoma"/>
            <charset val="1"/>
          </rPr>
          <t>Grith Gabriella Rasmussen:</t>
        </r>
        <r>
          <rPr>
            <sz val="9"/>
            <color indexed="81"/>
            <rFont val="Tahoma"/>
            <charset val="1"/>
          </rPr>
          <t xml:space="preserve">
ændret brug</t>
        </r>
      </text>
    </comment>
    <comment ref="A13" authorId="2">
      <text>
        <r>
          <rPr>
            <b/>
            <sz val="9"/>
            <color indexed="81"/>
            <rFont val="Tahoma"/>
            <family val="2"/>
          </rPr>
          <t>Else Marie Tofveson Kristiansen:</t>
        </r>
        <r>
          <rPr>
            <sz val="9"/>
            <color indexed="81"/>
            <rFont val="Tahoma"/>
            <family val="2"/>
          </rPr>
          <t xml:space="preserve">
Ændret brug</t>
        </r>
      </text>
    </comment>
    <comment ref="L13" authorId="0">
      <text>
        <r>
          <rPr>
            <b/>
            <sz val="11"/>
            <color indexed="81"/>
            <rFont val="Tahoma"/>
            <family val="2"/>
          </rPr>
          <t>Pernille Rosenberg Fløjborg:</t>
        </r>
        <r>
          <rPr>
            <sz val="11"/>
            <color indexed="81"/>
            <rFont val="Tahoma"/>
            <family val="2"/>
          </rPr>
          <t xml:space="preserve">
Årsopgørelse for varmeår 2010/11</t>
        </r>
      </text>
    </comment>
    <comment ref="A14" authorId="2">
      <text>
        <r>
          <rPr>
            <b/>
            <sz val="9"/>
            <color indexed="81"/>
            <rFont val="Tahoma"/>
            <charset val="1"/>
          </rPr>
          <t>Else Marie Tofveson Kristiansen:</t>
        </r>
        <r>
          <rPr>
            <sz val="9"/>
            <color indexed="81"/>
            <rFont val="Tahoma"/>
            <charset val="1"/>
          </rPr>
          <t xml:space="preserve">
Ændret brug</t>
        </r>
      </text>
    </comment>
    <comment ref="L14" authorId="0">
      <text>
        <r>
          <rPr>
            <b/>
            <sz val="8"/>
            <color indexed="81"/>
            <rFont val="Tahoma"/>
            <family val="2"/>
          </rPr>
          <t>Pernille Rosenberg Fløjborg:</t>
        </r>
        <r>
          <rPr>
            <sz val="8"/>
            <color indexed="81"/>
            <rFont val="Tahoma"/>
            <family val="2"/>
          </rPr>
          <t xml:space="preserve">
Årsopgørelse for varmeår 2010/11</t>
        </r>
      </text>
    </comment>
    <comment ref="A16" authorId="1">
      <text>
        <r>
          <rPr>
            <b/>
            <sz val="9"/>
            <color indexed="81"/>
            <rFont val="Tahoma"/>
            <charset val="1"/>
          </rPr>
          <t>Grith Gabriella Rasmussen:</t>
        </r>
        <r>
          <rPr>
            <sz val="9"/>
            <color indexed="81"/>
            <rFont val="Tahoma"/>
            <charset val="1"/>
          </rPr>
          <t xml:space="preserve">
kompasset
Ændret brug</t>
        </r>
      </text>
    </comment>
    <comment ref="A17" authorId="1">
      <text>
        <r>
          <rPr>
            <b/>
            <sz val="9"/>
            <color indexed="81"/>
            <rFont val="Tahoma"/>
            <charset val="1"/>
          </rPr>
          <t>Grith Gabriella Rasmussen:</t>
        </r>
        <r>
          <rPr>
            <sz val="9"/>
            <color indexed="81"/>
            <rFont val="Tahoma"/>
            <charset val="1"/>
          </rPr>
          <t xml:space="preserve">
jeg mener der er lavet et lysprojekt</t>
        </r>
      </text>
    </comment>
    <comment ref="V17" authorId="3">
      <text>
        <r>
          <rPr>
            <sz val="12"/>
            <color indexed="81"/>
            <rFont val="Tahoma"/>
            <family val="2"/>
          </rPr>
          <t xml:space="preserve">12/1-11  :   7.939 l
9/2-11    :   6.406 l
9/3-11    :   7.140 l
3/5-11    :   6.214 l
19/10-11:   4.636 l
16/11-11:   3.103 l
14/12-11:   4.286 l
</t>
        </r>
        <r>
          <rPr>
            <b/>
            <sz val="12"/>
            <color indexed="81"/>
            <rFont val="Tahoma"/>
            <family val="2"/>
          </rPr>
          <t>I alt     =  39.724 L</t>
        </r>
      </text>
    </comment>
    <comment ref="W17" authorId="0">
      <text>
        <r>
          <rPr>
            <b/>
            <sz val="9"/>
            <color indexed="81"/>
            <rFont val="Tahoma"/>
            <family val="2"/>
          </rPr>
          <t>Pernille Rosenberg Fløjborg:</t>
        </r>
        <r>
          <rPr>
            <sz val="9"/>
            <color indexed="81"/>
            <rFont val="Tahoma"/>
            <family val="2"/>
          </rPr>
          <t xml:space="preserve">
dato liter
10-01-2012 4.053
09-02-2012 6.668
07-03-2012 4.427
02-05-2012 5.919
18-10-2012 3.730
14-11-2012 3.253
11-12-2012 4.782
sum 32.832</t>
        </r>
      </text>
    </comment>
    <comment ref="A20" authorId="2">
      <text>
        <r>
          <rPr>
            <b/>
            <sz val="9"/>
            <color indexed="81"/>
            <rFont val="Tahoma"/>
            <family val="2"/>
          </rPr>
          <t>Else Marie Tofveson Kristiansen:</t>
        </r>
        <r>
          <rPr>
            <sz val="9"/>
            <color indexed="81"/>
            <rFont val="Tahoma"/>
            <family val="2"/>
          </rPr>
          <t xml:space="preserve">
Ændret fra naturgas til fjernvarme</t>
        </r>
      </text>
    </comment>
    <comment ref="M20" authorId="2">
      <text>
        <r>
          <rPr>
            <b/>
            <sz val="9"/>
            <color indexed="81"/>
            <rFont val="Tahoma"/>
            <charset val="1"/>
          </rPr>
          <t>Else Marie Tofveson Kristiansen:</t>
        </r>
        <r>
          <rPr>
            <sz val="9"/>
            <color indexed="81"/>
            <rFont val="Tahoma"/>
            <charset val="1"/>
          </rPr>
          <t xml:space="preserve">
Konverteret fra naturgas til fjernvarme 21/10-2011</t>
        </r>
      </text>
    </comment>
    <comment ref="M22" authorId="0">
      <text>
        <r>
          <rPr>
            <b/>
            <sz val="9"/>
            <color indexed="81"/>
            <rFont val="Tahoma"/>
            <family val="2"/>
          </rPr>
          <t>Pernille Rosenberg Fløjborg:</t>
        </r>
        <r>
          <rPr>
            <sz val="9"/>
            <color indexed="81"/>
            <rFont val="Tahoma"/>
            <family val="2"/>
          </rPr>
          <t xml:space="preserve">
Ikke sikker på at jeg har hele forbruget.</t>
        </r>
      </text>
    </comment>
    <comment ref="A23" authorId="1">
      <text>
        <r>
          <rPr>
            <b/>
            <sz val="9"/>
            <color indexed="81"/>
            <rFont val="Tahoma"/>
            <charset val="1"/>
          </rPr>
          <t>Grith Gabriella Rasmussen:</t>
        </r>
        <r>
          <rPr>
            <sz val="9"/>
            <color indexed="81"/>
            <rFont val="Tahoma"/>
            <charset val="1"/>
          </rPr>
          <t xml:space="preserve">
belysningsprojekt i børnehaven
Ændret brug</t>
        </r>
      </text>
    </comment>
    <comment ref="H24" authorId="0">
      <text>
        <r>
          <rPr>
            <b/>
            <sz val="8"/>
            <color indexed="81"/>
            <rFont val="Tahoma"/>
            <family val="2"/>
          </rPr>
          <t>Pernille Rosenberg Fløjborg:</t>
        </r>
        <r>
          <rPr>
            <sz val="8"/>
            <color indexed="81"/>
            <rFont val="Tahoma"/>
            <family val="2"/>
          </rPr>
          <t xml:space="preserve">
2942 + 47181</t>
        </r>
      </text>
    </comment>
    <comment ref="H25" authorId="0">
      <text>
        <r>
          <rPr>
            <b/>
            <sz val="8"/>
            <color indexed="81"/>
            <rFont val="Tahoma"/>
            <family val="2"/>
          </rPr>
          <t>Pernille Rosenberg Fløjborg:</t>
        </r>
        <r>
          <rPr>
            <sz val="8"/>
            <color indexed="81"/>
            <rFont val="Tahoma"/>
            <family val="2"/>
          </rPr>
          <t xml:space="preserve">
130010+4064</t>
        </r>
      </text>
    </comment>
    <comment ref="M25" authorId="0">
      <text>
        <r>
          <rPr>
            <b/>
            <sz val="9"/>
            <color indexed="81"/>
            <rFont val="Tahoma"/>
            <family val="2"/>
          </rPr>
          <t>Pernille Rosenberg Fløjborg:</t>
        </r>
        <r>
          <rPr>
            <sz val="9"/>
            <color indexed="81"/>
            <rFont val="Tahoma"/>
            <family val="2"/>
          </rPr>
          <t xml:space="preserve">
Ikke sikker på at det er hele forbruget</t>
        </r>
      </text>
    </comment>
    <comment ref="M27" authorId="0">
      <text>
        <r>
          <rPr>
            <b/>
            <sz val="9"/>
            <color indexed="81"/>
            <rFont val="Tahoma"/>
            <family val="2"/>
          </rPr>
          <t>Pernille Rosenberg Fløjborg:</t>
        </r>
        <r>
          <rPr>
            <sz val="9"/>
            <color indexed="81"/>
            <rFont val="Tahoma"/>
            <family val="2"/>
          </rPr>
          <t xml:space="preserve">
Overført forbrug fra 2011 regnskab - vi kan evt. få nyt varmeår med afhængig af hvornår færdigt regnskab skal afleveres. </t>
        </r>
      </text>
    </comment>
    <comment ref="M28" authorId="0">
      <text>
        <r>
          <rPr>
            <b/>
            <sz val="9"/>
            <color indexed="81"/>
            <rFont val="Tahoma"/>
            <family val="2"/>
          </rPr>
          <t>Pernille Rosenberg Fløjborg:</t>
        </r>
        <r>
          <rPr>
            <sz val="9"/>
            <color indexed="81"/>
            <rFont val="Tahoma"/>
            <family val="2"/>
          </rPr>
          <t xml:space="preserve">
Overført forbrug fra 2011 regnskab - vi kan evt. få nyt varmeår med afhængig af hvornår færdigt regnskab skal afleveres. </t>
        </r>
      </text>
    </comment>
    <comment ref="M29" authorId="0">
      <text>
        <r>
          <rPr>
            <b/>
            <sz val="9"/>
            <color indexed="81"/>
            <rFont val="Tahoma"/>
            <family val="2"/>
          </rPr>
          <t>Pernille Rosenberg Fløjborg:</t>
        </r>
        <r>
          <rPr>
            <sz val="9"/>
            <color indexed="81"/>
            <rFont val="Tahoma"/>
            <family val="2"/>
          </rPr>
          <t xml:space="preserve">
Overført forbrug fra 2011 regnskab - vi kan evt. få nyt varmeår med afhængig af hvornår færdigt regnskab skal afleveres. </t>
        </r>
      </text>
    </comment>
    <comment ref="H33" authorId="0">
      <text>
        <r>
          <rPr>
            <b/>
            <sz val="8"/>
            <color indexed="81"/>
            <rFont val="Tahoma"/>
            <family val="2"/>
          </rPr>
          <t>Pernille Rosenberg Fløjborg:</t>
        </r>
        <r>
          <rPr>
            <sz val="8"/>
            <color indexed="81"/>
            <rFont val="Tahoma"/>
            <family val="2"/>
          </rPr>
          <t xml:space="preserve">
7636+7575+3004+10+75487+76116+2988</t>
        </r>
      </text>
    </comment>
    <comment ref="H34" authorId="0">
      <text>
        <r>
          <rPr>
            <b/>
            <sz val="8"/>
            <color indexed="81"/>
            <rFont val="Tahoma"/>
            <family val="2"/>
          </rPr>
          <t>Pernille Rosenberg Fløjborg:</t>
        </r>
        <r>
          <rPr>
            <sz val="8"/>
            <color indexed="81"/>
            <rFont val="Tahoma"/>
            <family val="2"/>
          </rPr>
          <t xml:space="preserve">
149+48377+3988+141120</t>
        </r>
      </text>
    </comment>
    <comment ref="V37" authorId="3">
      <text>
        <r>
          <rPr>
            <sz val="12"/>
            <color indexed="81"/>
            <rFont val="Tahoma"/>
            <family val="2"/>
          </rPr>
          <t xml:space="preserve">24/1-11 : 1.546 l
21/12-11 : 1.497 l
</t>
        </r>
        <r>
          <rPr>
            <b/>
            <sz val="12"/>
            <color indexed="81"/>
            <rFont val="Tahoma"/>
            <family val="2"/>
          </rPr>
          <t>I alt        : 3.043 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W37" authorId="0">
      <text>
        <r>
          <rPr>
            <b/>
            <sz val="9"/>
            <color indexed="81"/>
            <rFont val="Tahoma"/>
            <family val="2"/>
          </rPr>
          <t>Pernille Rosenberg Fløjborg:</t>
        </r>
        <r>
          <rPr>
            <sz val="9"/>
            <color indexed="81"/>
            <rFont val="Tahoma"/>
            <family val="2"/>
          </rPr>
          <t xml:space="preserve">
27/12-2012 1.915 l</t>
        </r>
      </text>
    </comment>
    <comment ref="A41" authorId="2">
      <text>
        <r>
          <rPr>
            <b/>
            <sz val="9"/>
            <color indexed="81"/>
            <rFont val="Tahoma"/>
            <family val="2"/>
          </rPr>
          <t>Else Marie Tofveson Kristiansen:</t>
        </r>
        <r>
          <rPr>
            <sz val="9"/>
            <color indexed="81"/>
            <rFont val="Tahoma"/>
            <family val="2"/>
          </rPr>
          <t xml:space="preserve">
Ændret brug</t>
        </r>
      </text>
    </comment>
    <comment ref="S41" authorId="4">
      <text>
        <r>
          <rPr>
            <b/>
            <sz val="9"/>
            <color indexed="81"/>
            <rFont val="Tahoma"/>
            <family val="2"/>
          </rPr>
          <t>Karina Sund Jensen:</t>
        </r>
        <r>
          <rPr>
            <sz val="9"/>
            <color indexed="81"/>
            <rFont val="Tahoma"/>
            <family val="2"/>
          </rPr>
          <t xml:space="preserve">
Forbruget er det aflæste og ikke det forbrugte</t>
        </r>
      </text>
    </comment>
    <comment ref="M46" authorId="0">
      <text>
        <r>
          <rPr>
            <b/>
            <sz val="9"/>
            <color indexed="81"/>
            <rFont val="Tahoma"/>
            <family val="2"/>
          </rPr>
          <t>Pernille Rosenberg Fløjborg:</t>
        </r>
        <r>
          <rPr>
            <sz val="9"/>
            <color indexed="81"/>
            <rFont val="Tahoma"/>
            <family val="2"/>
          </rPr>
          <t xml:space="preserve">
Mangler måleren for Skolevej 6A</t>
        </r>
      </text>
    </comment>
    <comment ref="S49" authorId="2">
      <text>
        <r>
          <rPr>
            <b/>
            <sz val="9"/>
            <color indexed="81"/>
            <rFont val="Tahoma"/>
            <family val="2"/>
          </rPr>
          <t>Else Marie Tofveson Kristiansen:</t>
        </r>
        <r>
          <rPr>
            <sz val="9"/>
            <color indexed="81"/>
            <rFont val="Tahoma"/>
            <family val="2"/>
          </rPr>
          <t xml:space="preserve">
Forbrug overført fra 2011, da der ikke kan logges på med kode</t>
        </r>
      </text>
    </comment>
    <comment ref="H52" authorId="0">
      <text>
        <r>
          <rPr>
            <b/>
            <sz val="8"/>
            <color indexed="81"/>
            <rFont val="Tahoma"/>
            <family val="2"/>
          </rPr>
          <t>Pernille Rosenberg Fløjborg:</t>
        </r>
        <r>
          <rPr>
            <sz val="8"/>
            <color indexed="81"/>
            <rFont val="Tahoma"/>
            <family val="2"/>
          </rPr>
          <t xml:space="preserve">
17338+10795</t>
        </r>
      </text>
    </comment>
    <comment ref="V52" authorId="3">
      <text>
        <r>
          <rPr>
            <sz val="12"/>
            <color indexed="81"/>
            <rFont val="Tahoma"/>
            <family val="2"/>
          </rPr>
          <t xml:space="preserve">25/1-11 :  616 l
15/2-11 :  643 l
8/3-11   :  616 l
29/3-11 :  550 l
7/6-11   :  991 l
13/9-11 : 931
04/10-11 : 256
25-10-11 : 323
15/12-11: 705 l
</t>
        </r>
        <r>
          <rPr>
            <b/>
            <sz val="12"/>
            <color indexed="81"/>
            <rFont val="Tahoma"/>
            <family val="2"/>
          </rPr>
          <t>I alt     = 4.121 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W52" authorId="0">
      <text>
        <r>
          <rPr>
            <b/>
            <sz val="9"/>
            <color indexed="81"/>
            <rFont val="Tahoma"/>
            <charset val="1"/>
          </rPr>
          <t>Pernille Rosenberg Fløjborg:</t>
        </r>
        <r>
          <rPr>
            <sz val="9"/>
            <color indexed="81"/>
            <rFont val="Tahoma"/>
            <charset val="1"/>
          </rPr>
          <t xml:space="preserve">
13-01-2012 709
13-02-2012 1.009
14-03-2012 1.030
13-04-2012 779
14-05-2012 544
13-07-2012 723
13-09-2012 551
16-10-2012 452
12-12-2012 804
</t>
        </r>
        <r>
          <rPr>
            <b/>
            <sz val="9"/>
            <color indexed="81"/>
            <rFont val="Tahoma"/>
            <family val="2"/>
          </rPr>
          <t>sum 6.601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54" authorId="2">
      <text>
        <r>
          <rPr>
            <b/>
            <sz val="9"/>
            <color indexed="81"/>
            <rFont val="Tahoma"/>
            <charset val="1"/>
          </rPr>
          <t>Else Marie Tofveson Kristiansen:</t>
        </r>
        <r>
          <rPr>
            <sz val="9"/>
            <color indexed="81"/>
            <rFont val="Tahoma"/>
            <charset val="1"/>
          </rPr>
          <t xml:space="preserve">
Har ikke adgang til måler
</t>
        </r>
      </text>
    </comment>
    <comment ref="M54" authorId="2">
      <text>
        <r>
          <rPr>
            <b/>
            <sz val="9"/>
            <color indexed="81"/>
            <rFont val="Tahoma"/>
            <charset val="1"/>
          </rPr>
          <t>Else Marie Tofveson Kristiansen:</t>
        </r>
        <r>
          <rPr>
            <sz val="9"/>
            <color indexed="81"/>
            <rFont val="Tahoma"/>
            <charset val="1"/>
          </rPr>
          <t xml:space="preserve">
Har ikke adgang til måler
</t>
        </r>
      </text>
    </comment>
    <comment ref="M55" authorId="0">
      <text>
        <r>
          <rPr>
            <b/>
            <sz val="9"/>
            <color indexed="81"/>
            <rFont val="Tahoma"/>
            <family val="2"/>
          </rPr>
          <t>Pernille Rosenberg Fløjborg:</t>
        </r>
        <r>
          <rPr>
            <sz val="9"/>
            <color indexed="81"/>
            <rFont val="Tahoma"/>
            <family val="2"/>
          </rPr>
          <t xml:space="preserve">
Overført forbrug fra 2011 regnskab - vi kan evt. få nyt varmeår med afhængig af hvornår færdigt regnskab skal afleveres. </t>
        </r>
      </text>
    </comment>
    <comment ref="H57" authorId="0">
      <text>
        <r>
          <rPr>
            <b/>
            <sz val="8"/>
            <color indexed="81"/>
            <rFont val="Tahoma"/>
            <family val="2"/>
          </rPr>
          <t>Pernille Rosenberg Fløjborg:</t>
        </r>
        <r>
          <rPr>
            <sz val="8"/>
            <color indexed="81"/>
            <rFont val="Tahoma"/>
            <family val="2"/>
          </rPr>
          <t xml:space="preserve">
9013+23941</t>
        </r>
      </text>
    </comment>
    <comment ref="H58" authorId="0">
      <text>
        <r>
          <rPr>
            <b/>
            <sz val="8"/>
            <color indexed="81"/>
            <rFont val="Tahoma"/>
            <family val="2"/>
          </rPr>
          <t>Pernille Rosenberg Fløjborg:</t>
        </r>
        <r>
          <rPr>
            <sz val="8"/>
            <color indexed="81"/>
            <rFont val="Tahoma"/>
            <family val="2"/>
          </rPr>
          <t xml:space="preserve">
Ny måler ikke registreret i 2010:  9346 kWh
Måler registreret i 2010: 10111 kWh</t>
        </r>
      </text>
    </comment>
    <comment ref="H59" authorId="0">
      <text>
        <r>
          <rPr>
            <b/>
            <sz val="8"/>
            <color indexed="81"/>
            <rFont val="Tahoma"/>
            <family val="2"/>
          </rPr>
          <t>Pernille Rosenberg Fløjborg:</t>
        </r>
        <r>
          <rPr>
            <sz val="8"/>
            <color indexed="81"/>
            <rFont val="Tahoma"/>
            <family val="2"/>
          </rPr>
          <t xml:space="preserve">
13826+6495</t>
        </r>
      </text>
    </comment>
    <comment ref="L59" authorId="0">
      <text>
        <r>
          <rPr>
            <b/>
            <sz val="8"/>
            <color indexed="81"/>
            <rFont val="Tahoma"/>
            <family val="2"/>
          </rPr>
          <t>Pernille Rosenberg Fløjborg:</t>
        </r>
        <r>
          <rPr>
            <sz val="8"/>
            <color indexed="81"/>
            <rFont val="Tahoma"/>
            <family val="2"/>
          </rPr>
          <t xml:space="preserve">
Årsopgørelse varmeår 2010/11</t>
        </r>
      </text>
    </comment>
    <comment ref="A62" authorId="2">
      <text>
        <r>
          <rPr>
            <b/>
            <sz val="9"/>
            <color indexed="81"/>
            <rFont val="Tahoma"/>
            <family val="2"/>
          </rPr>
          <t>Else Marie Tofveson Kristiansen:</t>
        </r>
        <r>
          <rPr>
            <sz val="9"/>
            <color indexed="81"/>
            <rFont val="Tahoma"/>
            <family val="2"/>
          </rPr>
          <t xml:space="preserve">
Ændret brug</t>
        </r>
      </text>
    </comment>
    <comment ref="H63" authorId="0">
      <text>
        <r>
          <rPr>
            <b/>
            <sz val="8"/>
            <color indexed="81"/>
            <rFont val="Tahoma"/>
            <family val="2"/>
          </rPr>
          <t>Pernille Rosenberg Fløjborg:</t>
        </r>
        <r>
          <rPr>
            <sz val="8"/>
            <color indexed="81"/>
            <rFont val="Tahoma"/>
            <family val="2"/>
          </rPr>
          <t xml:space="preserve">
39777+12507</t>
        </r>
      </text>
    </comment>
    <comment ref="I67" authorId="2">
      <text>
        <r>
          <rPr>
            <b/>
            <sz val="9"/>
            <color indexed="81"/>
            <rFont val="Tahoma"/>
            <family val="2"/>
          </rPr>
          <t>Else Marie Tofveson Kristiansen:</t>
        </r>
        <r>
          <rPr>
            <sz val="9"/>
            <color indexed="81"/>
            <rFont val="Tahoma"/>
            <family val="2"/>
          </rPr>
          <t xml:space="preserve">
Forbrug ligger under Korsvang 78</t>
        </r>
      </text>
    </comment>
    <comment ref="A69" authorId="2">
      <text>
        <r>
          <rPr>
            <b/>
            <sz val="9"/>
            <color indexed="81"/>
            <rFont val="Tahoma"/>
            <family val="2"/>
          </rPr>
          <t>Else Marie Tofveson Kristiansen:</t>
        </r>
        <r>
          <rPr>
            <sz val="9"/>
            <color indexed="81"/>
            <rFont val="Tahoma"/>
            <family val="2"/>
          </rPr>
          <t xml:space="preserve">
Ændret brug</t>
        </r>
      </text>
    </comment>
    <comment ref="A71" authorId="2">
      <text>
        <r>
          <rPr>
            <b/>
            <sz val="9"/>
            <color indexed="81"/>
            <rFont val="Tahoma"/>
            <family val="2"/>
          </rPr>
          <t>Else Marie Tofveson Kristiansen:</t>
        </r>
        <r>
          <rPr>
            <sz val="9"/>
            <color indexed="81"/>
            <rFont val="Tahoma"/>
            <family val="2"/>
          </rPr>
          <t xml:space="preserve">
Ændret brug</t>
        </r>
      </text>
    </comment>
    <comment ref="M71" authorId="2">
      <text>
        <r>
          <rPr>
            <b/>
            <sz val="9"/>
            <color indexed="81"/>
            <rFont val="Tahoma"/>
            <family val="2"/>
          </rPr>
          <t>Else Marie Tofveson Kristiansen:</t>
        </r>
        <r>
          <rPr>
            <sz val="9"/>
            <color indexed="81"/>
            <rFont val="Tahoma"/>
            <family val="2"/>
          </rPr>
          <t xml:space="preserve">
Overført fra 2011</t>
        </r>
      </text>
    </comment>
    <comment ref="R74" authorId="4">
      <text>
        <r>
          <rPr>
            <b/>
            <sz val="9"/>
            <color indexed="81"/>
            <rFont val="Tahoma"/>
            <family val="2"/>
          </rPr>
          <t xml:space="preserve">kasje: </t>
        </r>
        <r>
          <rPr>
            <sz val="9"/>
            <color indexed="81"/>
            <rFont val="Tahoma"/>
            <family val="2"/>
          </rPr>
          <t xml:space="preserve">forbrug 1/1-10 til 31/3-11
</t>
        </r>
      </text>
    </comment>
    <comment ref="V78" authorId="3">
      <text>
        <r>
          <rPr>
            <sz val="9"/>
            <color indexed="81"/>
            <rFont val="Tahoma"/>
            <family val="2"/>
          </rPr>
          <t xml:space="preserve">18/2-11 :    860 l
15/4-11 : 1.014 l
20/6-11 :    581 l
16/9-11 :    630 l
25/11-11:   346 l
2/2-12   :    852 l
</t>
        </r>
        <r>
          <rPr>
            <b/>
            <sz val="9"/>
            <color indexed="81"/>
            <rFont val="Tahoma"/>
            <family val="2"/>
          </rPr>
          <t xml:space="preserve">I alt         4.283 l </t>
        </r>
        <r>
          <rPr>
            <b/>
            <sz val="12"/>
            <color indexed="81"/>
            <rFont val="Tahoma"/>
            <family val="2"/>
          </rPr>
          <t xml:space="preserve"> </t>
        </r>
      </text>
    </comment>
    <comment ref="W78" authorId="4">
      <text>
        <r>
          <rPr>
            <sz val="9"/>
            <color indexed="81"/>
            <rFont val="Tahoma"/>
            <family val="2"/>
          </rPr>
          <t>29/3-12 = 800
7/6-12 = 1.161
31/10-12 = 654
19/12-12 = 432 + 498
13/2-13 = 1.123
= 4.668</t>
        </r>
      </text>
    </comment>
    <comment ref="H80" authorId="0">
      <text>
        <r>
          <rPr>
            <b/>
            <sz val="8"/>
            <color indexed="81"/>
            <rFont val="Tahoma"/>
            <family val="2"/>
          </rPr>
          <t>Pernille Rosenberg Fløjborg:</t>
        </r>
        <r>
          <rPr>
            <sz val="8"/>
            <color indexed="81"/>
            <rFont val="Tahoma"/>
            <family val="2"/>
          </rPr>
          <t xml:space="preserve">
13544+6639</t>
        </r>
      </text>
    </comment>
    <comment ref="V83" authorId="3">
      <text>
        <r>
          <rPr>
            <sz val="12"/>
            <color indexed="81"/>
            <rFont val="Tahoma"/>
            <family val="2"/>
          </rPr>
          <t xml:space="preserve">14/2-11 : 1.015 l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W83" authorId="0">
      <text>
        <r>
          <rPr>
            <b/>
            <sz val="9"/>
            <color indexed="81"/>
            <rFont val="Tahoma"/>
            <family val="2"/>
          </rPr>
          <t>Pernille Rosenberg Fløjborg:</t>
        </r>
        <r>
          <rPr>
            <sz val="9"/>
            <color indexed="81"/>
            <rFont val="Tahoma"/>
            <family val="2"/>
          </rPr>
          <t xml:space="preserve">
22/2-2012 : 833 l</t>
        </r>
      </text>
    </comment>
    <comment ref="H91" authorId="0">
      <text>
        <r>
          <rPr>
            <b/>
            <sz val="8"/>
            <color indexed="81"/>
            <rFont val="Tahoma"/>
            <family val="2"/>
          </rPr>
          <t>Pernille Rosenberg Fløjborg:</t>
        </r>
        <r>
          <rPr>
            <sz val="8"/>
            <color indexed="81"/>
            <rFont val="Tahoma"/>
            <family val="2"/>
          </rPr>
          <t xml:space="preserve">
40351+6385
</t>
        </r>
      </text>
    </comment>
    <comment ref="A93" authorId="2">
      <text>
        <r>
          <rPr>
            <b/>
            <sz val="9"/>
            <color indexed="81"/>
            <rFont val="Tahoma"/>
            <family val="2"/>
          </rPr>
          <t>Else Marie Tofveson Kristiansen:</t>
        </r>
        <r>
          <rPr>
            <sz val="9"/>
            <color indexed="81"/>
            <rFont val="Tahoma"/>
            <family val="2"/>
          </rPr>
          <t xml:space="preserve">
Ændret brug</t>
        </r>
      </text>
    </comment>
    <comment ref="A94" authorId="2">
      <text>
        <r>
          <rPr>
            <b/>
            <sz val="9"/>
            <color indexed="81"/>
            <rFont val="Tahoma"/>
            <family val="2"/>
          </rPr>
          <t>Else Marie Tofveson Kristiansen:</t>
        </r>
        <r>
          <rPr>
            <sz val="9"/>
            <color indexed="81"/>
            <rFont val="Tahoma"/>
            <family val="2"/>
          </rPr>
          <t xml:space="preserve">
Ændret brug</t>
        </r>
      </text>
    </comment>
    <comment ref="L94" authorId="1">
      <text>
        <r>
          <rPr>
            <b/>
            <sz val="9"/>
            <color indexed="81"/>
            <rFont val="Tahoma"/>
            <family val="2"/>
          </rPr>
          <t>Grith Gabriella Rasmussen:</t>
        </r>
        <r>
          <rPr>
            <sz val="9"/>
            <color indexed="81"/>
            <rFont val="Tahoma"/>
            <family val="2"/>
          </rPr>
          <t xml:space="preserve">
rettet 2 målere</t>
        </r>
      </text>
    </comment>
    <comment ref="A95" authorId="2">
      <text>
        <r>
          <rPr>
            <b/>
            <sz val="9"/>
            <color indexed="81"/>
            <rFont val="Tahoma"/>
            <family val="2"/>
          </rPr>
          <t>Else Marie Tofveson Kristiansen:</t>
        </r>
        <r>
          <rPr>
            <sz val="9"/>
            <color indexed="81"/>
            <rFont val="Tahoma"/>
            <family val="2"/>
          </rPr>
          <t xml:space="preserve">
Ændret brug</t>
        </r>
      </text>
    </comment>
    <comment ref="A97" authorId="2">
      <text>
        <r>
          <rPr>
            <b/>
            <sz val="9"/>
            <color indexed="81"/>
            <rFont val="Tahoma"/>
            <family val="2"/>
          </rPr>
          <t>Else Marie Tofveson Kristiansen:</t>
        </r>
        <r>
          <rPr>
            <sz val="9"/>
            <color indexed="81"/>
            <rFont val="Tahoma"/>
            <family val="2"/>
          </rPr>
          <t xml:space="preserve">
Ændret brug</t>
        </r>
      </text>
    </comment>
    <comment ref="A99" authorId="2">
      <text>
        <r>
          <rPr>
            <b/>
            <sz val="9"/>
            <color indexed="81"/>
            <rFont val="Tahoma"/>
            <family val="2"/>
          </rPr>
          <t>Else Marie Tofveson Kristiansen:</t>
        </r>
        <r>
          <rPr>
            <sz val="9"/>
            <color indexed="81"/>
            <rFont val="Tahoma"/>
            <family val="2"/>
          </rPr>
          <t xml:space="preserve">
Ændret brug</t>
        </r>
      </text>
    </comment>
    <comment ref="A101" authorId="1">
      <text>
        <r>
          <rPr>
            <b/>
            <sz val="9"/>
            <color indexed="81"/>
            <rFont val="Tahoma"/>
            <charset val="1"/>
          </rPr>
          <t>Grith Gabriella Rasmussen:</t>
        </r>
        <r>
          <rPr>
            <sz val="9"/>
            <color indexed="81"/>
            <rFont val="Tahoma"/>
            <charset val="1"/>
          </rPr>
          <t xml:space="preserve">
tom</t>
        </r>
      </text>
    </comment>
    <comment ref="A103" authorId="2">
      <text>
        <r>
          <rPr>
            <b/>
            <sz val="9"/>
            <color indexed="81"/>
            <rFont val="Tahoma"/>
            <family val="2"/>
          </rPr>
          <t>Else Marie Tofveson Kristiansen:</t>
        </r>
        <r>
          <rPr>
            <sz val="9"/>
            <color indexed="81"/>
            <rFont val="Tahoma"/>
            <family val="2"/>
          </rPr>
          <t xml:space="preserve">
Ændret brug</t>
        </r>
      </text>
    </comment>
    <comment ref="L104" authorId="0">
      <text>
        <r>
          <rPr>
            <b/>
            <sz val="8"/>
            <color indexed="81"/>
            <rFont val="Tahoma"/>
            <family val="2"/>
          </rPr>
          <t>perfl: Årsopgørelse for varmeår 2010/11</t>
        </r>
      </text>
    </comment>
    <comment ref="M104" authorId="4">
      <text>
        <r>
          <rPr>
            <sz val="9"/>
            <color indexed="81"/>
            <rFont val="Tahoma"/>
            <family val="2"/>
          </rPr>
          <t xml:space="preserve">kasje:
Varmeopg. for 11/12 = 
</t>
        </r>
      </text>
    </comment>
    <comment ref="V106" authorId="3">
      <text>
        <r>
          <rPr>
            <sz val="12"/>
            <color indexed="81"/>
            <rFont val="Tahoma"/>
            <family val="2"/>
          </rPr>
          <t xml:space="preserve">3/1-11     :   1.702 l
19/1-11   :   1.327 l
4/2-11     :   1.406 l
7/2-11     :       216 l
28/2-11   :   1.798 l
21/3-11   :   1.749 l
</t>
        </r>
        <r>
          <rPr>
            <b/>
            <sz val="12"/>
            <color indexed="81"/>
            <rFont val="Tahoma"/>
            <family val="2"/>
          </rPr>
          <t>I alt       =  8.198 l</t>
        </r>
        <r>
          <rPr>
            <sz val="12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107" authorId="5">
      <text>
        <r>
          <rPr>
            <b/>
            <sz val="8"/>
            <color indexed="81"/>
            <rFont val="Tahoma"/>
            <family val="2"/>
          </rPr>
          <t>dcemtok:</t>
        </r>
        <r>
          <rPr>
            <sz val="8"/>
            <color indexed="81"/>
            <rFont val="Tahoma"/>
            <family val="2"/>
          </rPr>
          <t xml:space="preserve">
Forbrug overført fra 2010
</t>
        </r>
      </text>
    </comment>
    <comment ref="S107" authorId="5">
      <text>
        <r>
          <rPr>
            <b/>
            <sz val="8"/>
            <color indexed="81"/>
            <rFont val="Tahoma"/>
            <family val="2"/>
          </rPr>
          <t>dcemtok:</t>
        </r>
        <r>
          <rPr>
            <sz val="8"/>
            <color indexed="81"/>
            <rFont val="Tahoma"/>
            <family val="2"/>
          </rPr>
          <t xml:space="preserve">
Forbrug overført fra 2010
</t>
        </r>
      </text>
    </comment>
    <comment ref="I109" authorId="2">
      <text>
        <r>
          <rPr>
            <b/>
            <sz val="9"/>
            <color indexed="81"/>
            <rFont val="Tahoma"/>
            <charset val="1"/>
          </rPr>
          <t>Else Marie Tofveson Kristiansen:</t>
        </r>
        <r>
          <rPr>
            <sz val="9"/>
            <color indexed="81"/>
            <rFont val="Tahoma"/>
            <charset val="1"/>
          </rPr>
          <t xml:space="preserve">
Har ikke adgang til målerne</t>
        </r>
      </text>
    </comment>
    <comment ref="L109" authorId="1">
      <text>
        <r>
          <rPr>
            <b/>
            <sz val="9"/>
            <color indexed="81"/>
            <rFont val="Tahoma"/>
            <family val="2"/>
          </rPr>
          <t>Grith Gabriella Rasmussen:</t>
        </r>
        <r>
          <rPr>
            <sz val="9"/>
            <color indexed="81"/>
            <rFont val="Tahoma"/>
            <family val="2"/>
          </rPr>
          <t xml:space="preserve">
rettet</t>
        </r>
      </text>
    </comment>
    <comment ref="I110" authorId="2">
      <text>
        <r>
          <rPr>
            <b/>
            <sz val="9"/>
            <color indexed="81"/>
            <rFont val="Tahoma"/>
            <charset val="1"/>
          </rPr>
          <t>Else Marie Tofveson Kristiansen:</t>
        </r>
        <r>
          <rPr>
            <sz val="9"/>
            <color indexed="81"/>
            <rFont val="Tahoma"/>
            <charset val="1"/>
          </rPr>
          <t xml:space="preserve">
Forbrug overført fra 2011
</t>
        </r>
      </text>
    </comment>
    <comment ref="L110" authorId="1">
      <text>
        <r>
          <rPr>
            <b/>
            <sz val="9"/>
            <color indexed="81"/>
            <rFont val="Tahoma"/>
            <family val="2"/>
          </rPr>
          <t>Grith Gabriella Rasmussen:</t>
        </r>
        <r>
          <rPr>
            <sz val="9"/>
            <color indexed="81"/>
            <rFont val="Tahoma"/>
            <family val="2"/>
          </rPr>
          <t xml:space="preserve">
rettet til måler</t>
        </r>
      </text>
    </comment>
    <comment ref="I111" authorId="2">
      <text>
        <r>
          <rPr>
            <b/>
            <sz val="9"/>
            <color indexed="81"/>
            <rFont val="Tahoma"/>
            <family val="2"/>
          </rPr>
          <t>Else Marie Tofveson Kristiansen:</t>
        </r>
        <r>
          <rPr>
            <sz val="9"/>
            <color indexed="81"/>
            <rFont val="Tahoma"/>
            <family val="2"/>
          </rPr>
          <t xml:space="preserve">
Forbrug overført fra 2011</t>
        </r>
      </text>
    </comment>
    <comment ref="I112" authorId="2">
      <text>
        <r>
          <rPr>
            <b/>
            <sz val="9"/>
            <color indexed="81"/>
            <rFont val="Tahoma"/>
            <charset val="1"/>
          </rPr>
          <t>Else Marie Tofveson Kristiansen:</t>
        </r>
        <r>
          <rPr>
            <sz val="9"/>
            <color indexed="81"/>
            <rFont val="Tahoma"/>
            <charset val="1"/>
          </rPr>
          <t xml:space="preserve">
Forbrug indgår i 89C</t>
        </r>
      </text>
    </comment>
    <comment ref="I113" authorId="2">
      <text>
        <r>
          <rPr>
            <b/>
            <sz val="9"/>
            <color indexed="81"/>
            <rFont val="Tahoma"/>
            <charset val="1"/>
          </rPr>
          <t>Else Marie Tofveson Kristiansen:</t>
        </r>
        <r>
          <rPr>
            <sz val="9"/>
            <color indexed="81"/>
            <rFont val="Tahoma"/>
            <charset val="1"/>
          </rPr>
          <t xml:space="preserve">
Forbrug overført fra 2011
</t>
        </r>
      </text>
    </comment>
    <comment ref="M113" authorId="2">
      <text>
        <r>
          <rPr>
            <b/>
            <sz val="9"/>
            <color indexed="81"/>
            <rFont val="Tahoma"/>
            <family val="2"/>
          </rPr>
          <t>Else Marie Tofveson Kristiansen:</t>
        </r>
        <r>
          <rPr>
            <sz val="9"/>
            <color indexed="81"/>
            <rFont val="Tahoma"/>
            <family val="2"/>
          </rPr>
          <t xml:space="preserve">
Forbrug overført fra 2011
</t>
        </r>
      </text>
    </comment>
    <comment ref="V114" authorId="3">
      <text>
        <r>
          <rPr>
            <sz val="12"/>
            <color indexed="81"/>
            <rFont val="Tahoma"/>
            <family val="2"/>
          </rPr>
          <t xml:space="preserve">3/2-11   : 646 l
16/2-11 : 6.000 l
8/3-11   : 3.800 l
31/3-11 : 4.467 l
31/3-11 : 791 l
6/7-11   : 2.833 l
27/12-11: 5.121 l
27/12-11: 
901 l
</t>
        </r>
        <r>
          <rPr>
            <b/>
            <sz val="12"/>
            <color indexed="81"/>
            <rFont val="Tahoma"/>
            <family val="2"/>
          </rPr>
          <t>I alt      = 24.559 l</t>
        </r>
      </text>
    </comment>
    <comment ref="W114" authorId="0">
      <text>
        <r>
          <rPr>
            <b/>
            <sz val="9"/>
            <color indexed="81"/>
            <rFont val="Tahoma"/>
            <family val="2"/>
          </rPr>
          <t>Pernille Rosenberg Fløjborg:</t>
        </r>
        <r>
          <rPr>
            <sz val="9"/>
            <color indexed="81"/>
            <rFont val="Tahoma"/>
            <family val="2"/>
          </rPr>
          <t xml:space="preserve">
17-01-2012 5.357
20-02-2012 5.316
22-02-2012 831
16-04-2012 4.630
05-06-2012 788
26-10-2012 4.976
19-11-2012 701
11-12-2012 4.837
</t>
        </r>
        <r>
          <rPr>
            <b/>
            <sz val="9"/>
            <color indexed="81"/>
            <rFont val="Tahoma"/>
            <family val="2"/>
          </rPr>
          <t xml:space="preserve">sum 27.436 l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15" authorId="2">
      <text>
        <r>
          <rPr>
            <b/>
            <sz val="9"/>
            <color indexed="81"/>
            <rFont val="Tahoma"/>
            <family val="2"/>
          </rPr>
          <t>Else Marie Tofveson Kristiansen:</t>
        </r>
        <r>
          <rPr>
            <sz val="9"/>
            <color indexed="81"/>
            <rFont val="Tahoma"/>
            <family val="2"/>
          </rPr>
          <t xml:space="preserve">
Ændret brug</t>
        </r>
      </text>
    </comment>
    <comment ref="A116" authorId="2">
      <text>
        <r>
          <rPr>
            <b/>
            <sz val="9"/>
            <color indexed="81"/>
            <rFont val="Tahoma"/>
            <family val="2"/>
          </rPr>
          <t>Else Marie Tofveson Kristiansen:</t>
        </r>
        <r>
          <rPr>
            <sz val="9"/>
            <color indexed="81"/>
            <rFont val="Tahoma"/>
            <family val="2"/>
          </rPr>
          <t xml:space="preserve">
Ændret brug</t>
        </r>
      </text>
    </comment>
    <comment ref="L116" authorId="1">
      <text>
        <r>
          <rPr>
            <b/>
            <sz val="9"/>
            <color indexed="81"/>
            <rFont val="Tahoma"/>
            <family val="2"/>
          </rPr>
          <t>Grith Gabriella Rasmussen:</t>
        </r>
        <r>
          <rPr>
            <sz val="9"/>
            <color indexed="81"/>
            <rFont val="Tahoma"/>
            <family val="2"/>
          </rPr>
          <t xml:space="preserve">
rettet.</t>
        </r>
      </text>
    </comment>
    <comment ref="A119" authorId="2">
      <text>
        <r>
          <rPr>
            <b/>
            <sz val="9"/>
            <color indexed="81"/>
            <rFont val="Tahoma"/>
            <family val="2"/>
          </rPr>
          <t>Else Marie Tofveson Kristiansen:</t>
        </r>
        <r>
          <rPr>
            <sz val="9"/>
            <color indexed="81"/>
            <rFont val="Tahoma"/>
            <family val="2"/>
          </rPr>
          <t xml:space="preserve">
Ændret brug</t>
        </r>
      </text>
    </comment>
    <comment ref="A121" authorId="2">
      <text>
        <r>
          <rPr>
            <b/>
            <sz val="9"/>
            <color indexed="81"/>
            <rFont val="Tahoma"/>
            <family val="2"/>
          </rPr>
          <t>Else Marie Tofveson Kristiansen:</t>
        </r>
        <r>
          <rPr>
            <sz val="9"/>
            <color indexed="81"/>
            <rFont val="Tahoma"/>
            <family val="2"/>
          </rPr>
          <t xml:space="preserve">
Ændret brug</t>
        </r>
      </text>
    </comment>
    <comment ref="I122" authorId="2">
      <text>
        <r>
          <rPr>
            <b/>
            <sz val="9"/>
            <color indexed="81"/>
            <rFont val="Tahoma"/>
            <family val="2"/>
          </rPr>
          <t>Else Marie Tofveson Kristiansen:</t>
        </r>
        <r>
          <rPr>
            <sz val="9"/>
            <color indexed="81"/>
            <rFont val="Tahoma"/>
            <family val="2"/>
          </rPr>
          <t xml:space="preserve">
Lejet ud. Ikke adgang til måler.</t>
        </r>
      </text>
    </comment>
    <comment ref="I123" authorId="2">
      <text>
        <r>
          <rPr>
            <b/>
            <sz val="9"/>
            <color indexed="81"/>
            <rFont val="Tahoma"/>
            <family val="2"/>
          </rPr>
          <t>Else Marie Tofveson Kristiansen:</t>
        </r>
        <r>
          <rPr>
            <sz val="9"/>
            <color indexed="81"/>
            <rFont val="Tahoma"/>
            <family val="2"/>
          </rPr>
          <t xml:space="preserve">
Lejet ud. Ikke adgang til måler.</t>
        </r>
      </text>
    </comment>
    <comment ref="M124" authorId="2">
      <text>
        <r>
          <rPr>
            <b/>
            <sz val="9"/>
            <color indexed="81"/>
            <rFont val="Tahoma"/>
            <family val="2"/>
          </rPr>
          <t>Else Marie Tofveson Kristiansen:</t>
        </r>
        <r>
          <rPr>
            <sz val="9"/>
            <color indexed="81"/>
            <rFont val="Tahoma"/>
            <family val="2"/>
          </rPr>
          <t xml:space="preserve">
Forbrug overført fra 2011</t>
        </r>
      </text>
    </comment>
    <comment ref="A125" authorId="5">
      <text>
        <r>
          <rPr>
            <b/>
            <sz val="8"/>
            <color indexed="81"/>
            <rFont val="Tahoma"/>
            <family val="2"/>
          </rPr>
          <t>dcemtok:</t>
        </r>
        <r>
          <rPr>
            <sz val="8"/>
            <color indexed="81"/>
            <rFont val="Tahoma"/>
            <family val="2"/>
          </rPr>
          <t xml:space="preserve">
Ændret brug 
Fjernvarme fra 2013</t>
        </r>
      </text>
    </comment>
    <comment ref="V125" authorId="5">
      <text>
        <r>
          <rPr>
            <b/>
            <sz val="8"/>
            <color indexed="81"/>
            <rFont val="Tahoma"/>
            <family val="2"/>
          </rPr>
          <t>dcemtok:</t>
        </r>
        <r>
          <rPr>
            <sz val="8"/>
            <color indexed="81"/>
            <rFont val="Tahoma"/>
            <family val="2"/>
          </rPr>
          <t xml:space="preserve">
Muligheder for VE unedersøges i 2013
Forbrug overført fra 2010
</t>
        </r>
      </text>
    </comment>
    <comment ref="I126" authorId="2">
      <text>
        <r>
          <rPr>
            <b/>
            <sz val="9"/>
            <color indexed="81"/>
            <rFont val="Tahoma"/>
            <family val="2"/>
          </rPr>
          <t>Else Marie Tofveson Kristiansen:</t>
        </r>
        <r>
          <rPr>
            <sz val="9"/>
            <color indexed="81"/>
            <rFont val="Tahoma"/>
            <family val="2"/>
          </rPr>
          <t xml:space="preserve">
Lejet ud. Ingen adgang til måler.</t>
        </r>
      </text>
    </comment>
    <comment ref="A127" authorId="5">
      <text>
        <r>
          <rPr>
            <b/>
            <sz val="8"/>
            <color indexed="81"/>
            <rFont val="Tahoma"/>
            <family val="2"/>
          </rPr>
          <t>dcemtok:</t>
        </r>
        <r>
          <rPr>
            <sz val="8"/>
            <color indexed="81"/>
            <rFont val="Tahoma"/>
            <family val="2"/>
          </rPr>
          <t xml:space="preserve">
Elforbrug overført fra 2009</t>
        </r>
      </text>
    </comment>
    <comment ref="I127" authorId="2">
      <text>
        <r>
          <rPr>
            <b/>
            <sz val="9"/>
            <color indexed="81"/>
            <rFont val="Tahoma"/>
            <family val="2"/>
          </rPr>
          <t>Else Marie Tofveson Kristiansen:</t>
        </r>
        <r>
          <rPr>
            <sz val="9"/>
            <color indexed="81"/>
            <rFont val="Tahoma"/>
            <family val="2"/>
          </rPr>
          <t xml:space="preserve">
Forbrug overført fra 2011</t>
        </r>
      </text>
    </comment>
    <comment ref="A128" authorId="2">
      <text>
        <r>
          <rPr>
            <b/>
            <sz val="9"/>
            <color indexed="81"/>
            <rFont val="Tahoma"/>
            <family val="2"/>
          </rPr>
          <t>Else Marie Tofveson Kristiansen:</t>
        </r>
        <r>
          <rPr>
            <sz val="9"/>
            <color indexed="81"/>
            <rFont val="Tahoma"/>
            <family val="2"/>
          </rPr>
          <t xml:space="preserve">
Lille forbrug
Ændret brug</t>
        </r>
      </text>
    </comment>
    <comment ref="M128" authorId="2">
      <text>
        <r>
          <rPr>
            <b/>
            <sz val="9"/>
            <color indexed="81"/>
            <rFont val="Tahoma"/>
            <family val="2"/>
          </rPr>
          <t>Else Marie Tofveson Kristiansen:</t>
        </r>
        <r>
          <rPr>
            <sz val="9"/>
            <color indexed="81"/>
            <rFont val="Tahoma"/>
            <family val="2"/>
          </rPr>
          <t xml:space="preserve">
Forbrug overført fra 2011</t>
        </r>
      </text>
    </comment>
    <comment ref="I129" authorId="2">
      <text>
        <r>
          <rPr>
            <b/>
            <sz val="9"/>
            <color indexed="81"/>
            <rFont val="Tahoma"/>
            <family val="2"/>
          </rPr>
          <t>Else Marie Tofveson Kristiansen:</t>
        </r>
        <r>
          <rPr>
            <sz val="9"/>
            <color indexed="81"/>
            <rFont val="Tahoma"/>
            <family val="2"/>
          </rPr>
          <t xml:space="preserve">
Lejet ud. Ingen adgang til måler.</t>
        </r>
      </text>
    </comment>
    <comment ref="M129" authorId="2">
      <text>
        <r>
          <rPr>
            <b/>
            <sz val="9"/>
            <color indexed="81"/>
            <rFont val="Tahoma"/>
            <family val="2"/>
          </rPr>
          <t>Else Marie Tofveson Kristiansen:</t>
        </r>
        <r>
          <rPr>
            <sz val="9"/>
            <color indexed="81"/>
            <rFont val="Tahoma"/>
            <family val="2"/>
          </rPr>
          <t xml:space="preserve">
Forbrug overført fra 2011</t>
        </r>
      </text>
    </comment>
    <comment ref="H132" authorId="0">
      <text>
        <r>
          <rPr>
            <b/>
            <sz val="8"/>
            <color indexed="81"/>
            <rFont val="Tahoma"/>
            <family val="2"/>
          </rPr>
          <t>Pernille Rosenberg Fløjborg:</t>
        </r>
        <r>
          <rPr>
            <sz val="8"/>
            <color indexed="81"/>
            <rFont val="Tahoma"/>
            <family val="2"/>
          </rPr>
          <t xml:space="preserve">
10527+688+13727</t>
        </r>
      </text>
    </comment>
    <comment ref="I132" authorId="1">
      <text>
        <r>
          <rPr>
            <b/>
            <sz val="9"/>
            <color indexed="81"/>
            <rFont val="Tahoma"/>
            <charset val="1"/>
          </rPr>
          <t>Grith Gabriella Rasmussen:</t>
        </r>
        <r>
          <rPr>
            <sz val="9"/>
            <color indexed="81"/>
            <rFont val="Tahoma"/>
            <charset val="1"/>
          </rPr>
          <t xml:space="preserve">
13794+720+10925</t>
        </r>
      </text>
    </comment>
    <comment ref="A133" authorId="2">
      <text>
        <r>
          <rPr>
            <b/>
            <sz val="9"/>
            <color indexed="81"/>
            <rFont val="Tahoma"/>
            <family val="2"/>
          </rPr>
          <t>Else Marie Tofveson Kristiansen:</t>
        </r>
        <r>
          <rPr>
            <sz val="9"/>
            <color indexed="81"/>
            <rFont val="Tahoma"/>
            <family val="2"/>
          </rPr>
          <t xml:space="preserve">
Ændret brug</t>
        </r>
      </text>
    </comment>
    <comment ref="H133" authorId="0">
      <text>
        <r>
          <rPr>
            <b/>
            <sz val="8"/>
            <color indexed="81"/>
            <rFont val="Tahoma"/>
            <family val="2"/>
          </rPr>
          <t>Pernille Rosenberg Fløjborg:</t>
        </r>
        <r>
          <rPr>
            <sz val="8"/>
            <color indexed="81"/>
            <rFont val="Tahoma"/>
            <family val="2"/>
          </rPr>
          <t xml:space="preserve">
144+11974</t>
        </r>
      </text>
    </comment>
    <comment ref="W133" authorId="2">
      <text>
        <r>
          <rPr>
            <b/>
            <sz val="9"/>
            <color indexed="81"/>
            <rFont val="Tahoma"/>
            <family val="2"/>
          </rPr>
          <t>Else Marie Tofveson Kristiansen:</t>
        </r>
        <r>
          <rPr>
            <sz val="9"/>
            <color indexed="81"/>
            <rFont val="Tahoma"/>
            <family val="2"/>
          </rPr>
          <t xml:space="preserve">
Oplyst af Gitte Trolle
</t>
        </r>
      </text>
    </comment>
    <comment ref="V138" authorId="3">
      <text>
        <r>
          <rPr>
            <sz val="12"/>
            <color indexed="81"/>
            <rFont val="Tahoma"/>
            <family val="2"/>
          </rPr>
          <t xml:space="preserve">3/3-11 : 1.290 l
27/5-11: 1.367 l
30/8-11:    739 l
</t>
        </r>
        <r>
          <rPr>
            <b/>
            <sz val="12"/>
            <color indexed="81"/>
            <rFont val="Tahoma"/>
            <family val="2"/>
          </rPr>
          <t>I alt    = 2.106 l</t>
        </r>
        <r>
          <rPr>
            <sz val="12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W138" authorId="4">
      <text>
        <r>
          <rPr>
            <sz val="9"/>
            <color indexed="81"/>
            <rFont val="Tahoma"/>
            <family val="2"/>
          </rPr>
          <t>15/3-12 : 1.582 l
7/6-12 : 1.357 l
18/10-12: 1.299 l
I alt = 4.238 l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139" authorId="2">
      <text>
        <r>
          <rPr>
            <b/>
            <sz val="9"/>
            <color indexed="81"/>
            <rFont val="Tahoma"/>
            <family val="2"/>
          </rPr>
          <t>Else Marie Tofveson Kristiansen:</t>
        </r>
        <r>
          <rPr>
            <sz val="9"/>
            <color indexed="81"/>
            <rFont val="Tahoma"/>
            <family val="2"/>
          </rPr>
          <t xml:space="preserve">
Ændret brug</t>
        </r>
      </text>
    </comment>
    <comment ref="S139" authorId="2">
      <text>
        <r>
          <rPr>
            <b/>
            <sz val="9"/>
            <color indexed="81"/>
            <rFont val="Tahoma"/>
            <family val="2"/>
          </rPr>
          <t>Else Marie Tofveson Kristiansen:</t>
        </r>
        <r>
          <rPr>
            <sz val="9"/>
            <color indexed="81"/>
            <rFont val="Tahoma"/>
            <family val="2"/>
          </rPr>
          <t xml:space="preserve">
Overført forbrug fra 2011</t>
        </r>
      </text>
    </comment>
    <comment ref="V140" authorId="3">
      <text>
        <r>
          <rPr>
            <sz val="12"/>
            <color indexed="81"/>
            <rFont val="Tahoma"/>
            <family val="2"/>
          </rPr>
          <t>13/1-11 : 700 l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30/1-12 : 700 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W140" authorId="4">
      <text>
        <r>
          <rPr>
            <sz val="9"/>
            <color indexed="81"/>
            <rFont val="Tahoma"/>
            <family val="2"/>
          </rPr>
          <t xml:space="preserve">30/1-12 = 700 l
</t>
        </r>
      </text>
    </comment>
    <comment ref="A143" authorId="1">
      <text>
        <r>
          <rPr>
            <b/>
            <sz val="9"/>
            <color indexed="81"/>
            <rFont val="Tahoma"/>
            <charset val="1"/>
          </rPr>
          <t>Grith Gabriella Rasmussen:</t>
        </r>
        <r>
          <rPr>
            <sz val="9"/>
            <color indexed="81"/>
            <rFont val="Tahoma"/>
            <charset val="1"/>
          </rPr>
          <t xml:space="preserve">
Ændret brug
Varmepumpe</t>
        </r>
      </text>
    </comment>
    <comment ref="V143" authorId="3">
      <text>
        <r>
          <rPr>
            <sz val="12"/>
            <color indexed="81"/>
            <rFont val="Tahoma"/>
            <family val="2"/>
          </rPr>
          <t xml:space="preserve">22/3-11 : 1.552 l
30/11-11: 1.739 l
29/12-11: 1.680 l
</t>
        </r>
        <r>
          <rPr>
            <b/>
            <sz val="12"/>
            <color indexed="81"/>
            <rFont val="Tahoma"/>
            <family val="2"/>
          </rPr>
          <t>I alt     = 3.419 l</t>
        </r>
        <r>
          <rPr>
            <sz val="12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W143" authorId="4">
      <text>
        <r>
          <rPr>
            <sz val="9"/>
            <color indexed="81"/>
            <rFont val="Tahoma"/>
            <family val="2"/>
          </rPr>
          <t xml:space="preserve">22/3-12 : 1.295 l
28/11-12 : 1.737 l
I alt : 3.032 l
</t>
        </r>
      </text>
    </comment>
    <comment ref="V147" authorId="3">
      <text>
        <r>
          <rPr>
            <sz val="12"/>
            <color indexed="81"/>
            <rFont val="Tahoma"/>
            <family val="2"/>
          </rPr>
          <t xml:space="preserve">13/1-11   : 1.068 l
9/2-11     :    850 l
7/3-11     :    966 l
4/4-11     :    799 l
3/6-11     :    882 l
</t>
        </r>
        <r>
          <rPr>
            <b/>
            <sz val="12"/>
            <color indexed="81"/>
            <rFont val="Tahoma"/>
            <family val="2"/>
          </rPr>
          <t xml:space="preserve">I alt      =  4.565 l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150" authorId="3">
      <text>
        <r>
          <rPr>
            <sz val="12"/>
            <color indexed="81"/>
            <rFont val="Tahoma"/>
            <family val="2"/>
          </rPr>
          <t xml:space="preserve">31/1-11 : 871 l
4/3-11   : 889 l
12/4-11 : 744 l
3/8-11   : 534 l
</t>
        </r>
        <r>
          <rPr>
            <b/>
            <sz val="12"/>
            <color indexed="81"/>
            <rFont val="Tahoma"/>
            <family val="2"/>
          </rPr>
          <t>I alt    = 3.038 l</t>
        </r>
        <r>
          <rPr>
            <sz val="12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<sst xmlns="http://schemas.openxmlformats.org/spreadsheetml/2006/main" count="1386" uniqueCount="643">
  <si>
    <t>ADRESSE</t>
  </si>
  <si>
    <t>HUS NR.</t>
  </si>
  <si>
    <t>POST NR.</t>
  </si>
  <si>
    <t>BY</t>
  </si>
  <si>
    <t xml:space="preserve">Indre Ringvej </t>
  </si>
  <si>
    <t>Aarup</t>
  </si>
  <si>
    <t>Møllebakken</t>
  </si>
  <si>
    <t>Tommerup</t>
  </si>
  <si>
    <t>Vestergade</t>
  </si>
  <si>
    <t>Vissenbjerg</t>
  </si>
  <si>
    <t>Haarby</t>
  </si>
  <si>
    <t>Willemoesgade</t>
  </si>
  <si>
    <t>Assens</t>
  </si>
  <si>
    <t>Glamsbjerg</t>
  </si>
  <si>
    <t>Tallerupvej</t>
  </si>
  <si>
    <t>Stadionvænget</t>
  </si>
  <si>
    <t>Skolevej</t>
  </si>
  <si>
    <t>Torpvej</t>
  </si>
  <si>
    <t>Stationsvej</t>
  </si>
  <si>
    <t>Linien</t>
  </si>
  <si>
    <t xml:space="preserve">Kaj Nielsens Vej </t>
  </si>
  <si>
    <t xml:space="preserve">Byvejen </t>
  </si>
  <si>
    <t xml:space="preserve">Langgade </t>
  </si>
  <si>
    <t>Bogensevej</t>
  </si>
  <si>
    <t>Orte Vejsmark</t>
  </si>
  <si>
    <t xml:space="preserve">Tobovej </t>
  </si>
  <si>
    <t xml:space="preserve">Langstedvej </t>
  </si>
  <si>
    <t xml:space="preserve">Sportsvej </t>
  </si>
  <si>
    <t>Snavevej</t>
  </si>
  <si>
    <t>Stadionvej</t>
  </si>
  <si>
    <t>Skelvej</t>
  </si>
  <si>
    <t>Salbrovad</t>
  </si>
  <si>
    <t>Krengerupvej</t>
  </si>
  <si>
    <t>Kelstrupvej</t>
  </si>
  <si>
    <t>Fuglebakken</t>
  </si>
  <si>
    <t>Kertevej</t>
  </si>
  <si>
    <t>Bøllehuset</t>
  </si>
  <si>
    <t xml:space="preserve">Lindevej </t>
  </si>
  <si>
    <t>Bredgade</t>
  </si>
  <si>
    <t xml:space="preserve">Skolevej </t>
  </si>
  <si>
    <t>Mosevangen</t>
  </si>
  <si>
    <t>Jordløse Børnecenter</t>
  </si>
  <si>
    <t xml:space="preserve">Jordløse Møllevej </t>
  </si>
  <si>
    <t>Ryttergade</t>
  </si>
  <si>
    <t>Brylle Børnehave</t>
  </si>
  <si>
    <t>Fuglekilden</t>
  </si>
  <si>
    <t>Fuglekildevej</t>
  </si>
  <si>
    <t>Teglbakken</t>
  </si>
  <si>
    <t>Skovstrupvej</t>
  </si>
  <si>
    <t>Korsvang</t>
  </si>
  <si>
    <t>Kærumvej</t>
  </si>
  <si>
    <t>Barløsevej</t>
  </si>
  <si>
    <t>Pilehaven</t>
  </si>
  <si>
    <t>Østerled</t>
  </si>
  <si>
    <t>Østergade</t>
  </si>
  <si>
    <t>4A</t>
  </si>
  <si>
    <t xml:space="preserve">Odensevej </t>
  </si>
  <si>
    <t>Fåborgvej</t>
  </si>
  <si>
    <t xml:space="preserve">Birkevej </t>
  </si>
  <si>
    <t xml:space="preserve">Østergade </t>
  </si>
  <si>
    <t xml:space="preserve">Dærupvej </t>
  </si>
  <si>
    <t>Th. Bangsvej</t>
  </si>
  <si>
    <t>Sortebrovej</t>
  </si>
  <si>
    <t>Vestervangen</t>
  </si>
  <si>
    <t>Kildevangen</t>
  </si>
  <si>
    <t>Syrenvej</t>
  </si>
  <si>
    <t>Søndergade</t>
  </si>
  <si>
    <t>Industrien (bibliotek og biograf)</t>
  </si>
  <si>
    <t>Kærvangen</t>
  </si>
  <si>
    <t>Glamsbjerg Bibliotek</t>
  </si>
  <si>
    <t>Aarup Stadion</t>
  </si>
  <si>
    <t>Prinsehøjsvej</t>
  </si>
  <si>
    <t xml:space="preserve">Korsvang </t>
  </si>
  <si>
    <t xml:space="preserve">Lindebjerg </t>
  </si>
  <si>
    <t xml:space="preserve">Pilevej </t>
  </si>
  <si>
    <t>Ellehaven</t>
  </si>
  <si>
    <t xml:space="preserve">Krabbeløkkevej </t>
  </si>
  <si>
    <t xml:space="preserve">Adelgade </t>
  </si>
  <si>
    <t>Assens Stadion</t>
  </si>
  <si>
    <t xml:space="preserve">Stadionvej </t>
  </si>
  <si>
    <t>Turup Klubhus</t>
  </si>
  <si>
    <t xml:space="preserve">Assensvej </t>
  </si>
  <si>
    <t xml:space="preserve">Barløsevej </t>
  </si>
  <si>
    <t>Kirkehelle</t>
  </si>
  <si>
    <t>Højeløkkevej</t>
  </si>
  <si>
    <t>Industrivej</t>
  </si>
  <si>
    <t xml:space="preserve">Trunderupvej </t>
  </si>
  <si>
    <t>Ebberup</t>
  </si>
  <si>
    <t>Kirkebjerg</t>
  </si>
  <si>
    <t xml:space="preserve">Næsvej </t>
  </si>
  <si>
    <t xml:space="preserve">Sportsvej  </t>
  </si>
  <si>
    <t>3A</t>
  </si>
  <si>
    <t>11D</t>
  </si>
  <si>
    <t>29E</t>
  </si>
  <si>
    <t>89C</t>
  </si>
  <si>
    <t>101A</t>
  </si>
  <si>
    <t>43A</t>
  </si>
  <si>
    <t>Assens Sejlklub</t>
  </si>
  <si>
    <t>Naturskolen på Baagø</t>
  </si>
  <si>
    <t>71-75</t>
  </si>
  <si>
    <t>003939 A</t>
  </si>
  <si>
    <t>009539 B</t>
  </si>
  <si>
    <t>009539 A</t>
  </si>
  <si>
    <t>000212 B</t>
  </si>
  <si>
    <t>012458 B</t>
  </si>
  <si>
    <t>003939 B</t>
  </si>
  <si>
    <t>012458 A</t>
  </si>
  <si>
    <t>Ebberup Skole + SFO</t>
  </si>
  <si>
    <t>Glamsbjergskolen + SFO + Musikskole m.m.</t>
  </si>
  <si>
    <t>Dreslette Skole + SFO + Børnehave</t>
  </si>
  <si>
    <t>Børnehaven Fuglereden</t>
  </si>
  <si>
    <t>Børnehaven Østerled</t>
  </si>
  <si>
    <t>Agerholm Gårdbørnehave</t>
  </si>
  <si>
    <t>Salbrovadskolen + SFO</t>
  </si>
  <si>
    <t>Strandgade</t>
  </si>
  <si>
    <t>Pilehaveskolen + SFO</t>
  </si>
  <si>
    <t>Gummerup Skole + SFO + Børnehave</t>
  </si>
  <si>
    <t>Verninge Skole + SFO</t>
  </si>
  <si>
    <t>Assens Vandrerhjem</t>
  </si>
  <si>
    <t>Assensskolen + SFO + Tandklinik</t>
  </si>
  <si>
    <t>Vissenbjerg Skole + Musik/Ungdomsskole</t>
  </si>
  <si>
    <t>Uglebo</t>
  </si>
  <si>
    <t>Spiloppen</t>
  </si>
  <si>
    <t>Gårdbørnehaven "Overmarksgården"</t>
  </si>
  <si>
    <t>Solbakken</t>
  </si>
  <si>
    <t>Mælkebøtten</t>
  </si>
  <si>
    <t>Børnehaven Bøgedal (Bred Gl. Skole)</t>
  </si>
  <si>
    <t>Skovbrynet</t>
  </si>
  <si>
    <t>Børnehaven Fuglebakken</t>
  </si>
  <si>
    <t>Æblehaven Ældrecenter</t>
  </si>
  <si>
    <t>Birkely Ældreboliger</t>
  </si>
  <si>
    <t>Aarup Materialegård</t>
  </si>
  <si>
    <t>Naturbørnehaven Krummeluren</t>
  </si>
  <si>
    <t>Skallebjergvej</t>
  </si>
  <si>
    <t>Haarby Skole + Ungdomsskole + SFO</t>
  </si>
  <si>
    <t>AREAL</t>
  </si>
  <si>
    <t>Aarupskolen + Musik/Ungdomsskole + SFO</t>
  </si>
  <si>
    <t>31-33</t>
  </si>
  <si>
    <t>Nygade</t>
  </si>
  <si>
    <t>Vissenbjerg Bibliotek</t>
  </si>
  <si>
    <t>24-26</t>
  </si>
  <si>
    <t>89D</t>
  </si>
  <si>
    <t>Brylle Skole + SFO</t>
  </si>
  <si>
    <t>Tommerup Skole +SFO</t>
  </si>
  <si>
    <t>Skallebølle Skole + SFO</t>
  </si>
  <si>
    <t>16 -18</t>
  </si>
  <si>
    <t>Savværksvej</t>
  </si>
  <si>
    <t>Haarby Bibliotek</t>
  </si>
  <si>
    <t>Sportsvej</t>
  </si>
  <si>
    <t>9539 B</t>
  </si>
  <si>
    <t>017948 C</t>
  </si>
  <si>
    <t>16B</t>
  </si>
  <si>
    <t>012472 A</t>
  </si>
  <si>
    <t>012472 B</t>
  </si>
  <si>
    <t>16A</t>
  </si>
  <si>
    <t>Byggeår</t>
  </si>
  <si>
    <t>Ingen</t>
  </si>
  <si>
    <t>1900 / 1990</t>
  </si>
  <si>
    <t>1950 / 1996</t>
  </si>
  <si>
    <t>1961 / 2004</t>
  </si>
  <si>
    <t>1900 / 1967</t>
  </si>
  <si>
    <t>1955 - 2005</t>
  </si>
  <si>
    <t>1984 - 2002</t>
  </si>
  <si>
    <t>1994 - 1998</t>
  </si>
  <si>
    <t>1935 - 1955</t>
  </si>
  <si>
    <t>1970 - 2004</t>
  </si>
  <si>
    <t>1966 - 1989</t>
  </si>
  <si>
    <t>1982 - 1988</t>
  </si>
  <si>
    <t>1950 / 1972</t>
  </si>
  <si>
    <t>1993 / 1994</t>
  </si>
  <si>
    <t>1964 - 2003</t>
  </si>
  <si>
    <t>1955 - 2002</t>
  </si>
  <si>
    <t>1991 - 1995</t>
  </si>
  <si>
    <t>(1998)</t>
  </si>
  <si>
    <t>1954 - 1982</t>
  </si>
  <si>
    <t>1974 - 1993</t>
  </si>
  <si>
    <t>1910</t>
  </si>
  <si>
    <t>1997</t>
  </si>
  <si>
    <t>1957 / 1987</t>
  </si>
  <si>
    <t>2001</t>
  </si>
  <si>
    <t>1952 - 2001</t>
  </si>
  <si>
    <t>2004</t>
  </si>
  <si>
    <t>1964 - 1974</t>
  </si>
  <si>
    <t>2003</t>
  </si>
  <si>
    <t>1909 - 2002</t>
  </si>
  <si>
    <t>1938 - 2001</t>
  </si>
  <si>
    <t>1927 - 2003</t>
  </si>
  <si>
    <t>1984 - 2005</t>
  </si>
  <si>
    <t>1953 /1983</t>
  </si>
  <si>
    <t>2002</t>
  </si>
  <si>
    <t>2006</t>
  </si>
  <si>
    <t>1954</t>
  </si>
  <si>
    <t>2005</t>
  </si>
  <si>
    <t>1954 - 1996</t>
  </si>
  <si>
    <t>2002 / 2004</t>
  </si>
  <si>
    <t>2000</t>
  </si>
  <si>
    <t>1980 / 2001</t>
  </si>
  <si>
    <t>1904 / 2004</t>
  </si>
  <si>
    <t>1995</t>
  </si>
  <si>
    <t>1980 - 1984</t>
  </si>
  <si>
    <t>1998</t>
  </si>
  <si>
    <t>1967</t>
  </si>
  <si>
    <t>1997 / 1999</t>
  </si>
  <si>
    <t>1897</t>
  </si>
  <si>
    <t>1980</t>
  </si>
  <si>
    <t>1982</t>
  </si>
  <si>
    <t>1994</t>
  </si>
  <si>
    <t>007510 B</t>
  </si>
  <si>
    <t>1993</t>
  </si>
  <si>
    <t>1955</t>
  </si>
  <si>
    <t>1971</t>
  </si>
  <si>
    <t>1900 - 2000</t>
  </si>
  <si>
    <t>(1995)</t>
  </si>
  <si>
    <t>1985</t>
  </si>
  <si>
    <t>1827 / 1989</t>
  </si>
  <si>
    <t>1976 - 1987</t>
  </si>
  <si>
    <t>1937</t>
  </si>
  <si>
    <t>1850 - 2002</t>
  </si>
  <si>
    <t>1994 / 1998</t>
  </si>
  <si>
    <t>1790</t>
  </si>
  <si>
    <t>1992</t>
  </si>
  <si>
    <t>1930</t>
  </si>
  <si>
    <t>1972</t>
  </si>
  <si>
    <t>1965</t>
  </si>
  <si>
    <t>015143 A</t>
  </si>
  <si>
    <t>1969</t>
  </si>
  <si>
    <t>015143 B</t>
  </si>
  <si>
    <t>1900</t>
  </si>
  <si>
    <t>1975</t>
  </si>
  <si>
    <t>1900 -1993</t>
  </si>
  <si>
    <t>1980 / 1993</t>
  </si>
  <si>
    <t>1981 / 1999</t>
  </si>
  <si>
    <t>20A</t>
  </si>
  <si>
    <t>1999</t>
  </si>
  <si>
    <t>1974 / 1996</t>
  </si>
  <si>
    <t>(2002)</t>
  </si>
  <si>
    <t>1991</t>
  </si>
  <si>
    <t>1990</t>
  </si>
  <si>
    <t>1977</t>
  </si>
  <si>
    <t>1969 - 2004</t>
  </si>
  <si>
    <t>1989 - 1993</t>
  </si>
  <si>
    <t>1978</t>
  </si>
  <si>
    <t>1934 - 2000</t>
  </si>
  <si>
    <t>1974</t>
  </si>
  <si>
    <t>1994 / 2001</t>
  </si>
  <si>
    <t>1980 / 2005</t>
  </si>
  <si>
    <t>1937 - 1981</t>
  </si>
  <si>
    <t>2000 - 2005</t>
  </si>
  <si>
    <t>1951</t>
  </si>
  <si>
    <t>1914</t>
  </si>
  <si>
    <t>1961 - 1989</t>
  </si>
  <si>
    <t>1984 / 1986</t>
  </si>
  <si>
    <t>1981</t>
  </si>
  <si>
    <t>1970 / 1985</t>
  </si>
  <si>
    <t>1986</t>
  </si>
  <si>
    <t>1964</t>
  </si>
  <si>
    <t>1927</t>
  </si>
  <si>
    <t>1952</t>
  </si>
  <si>
    <t>(2004)</t>
  </si>
  <si>
    <t>1936</t>
  </si>
  <si>
    <t>1890 / 1954</t>
  </si>
  <si>
    <t>1964 - 1999</t>
  </si>
  <si>
    <t>(1987)</t>
  </si>
  <si>
    <t>Evt. om/tilbygn.</t>
  </si>
  <si>
    <t>Varme</t>
  </si>
  <si>
    <t>Naturgas</t>
  </si>
  <si>
    <t>Olie</t>
  </si>
  <si>
    <t>El</t>
  </si>
  <si>
    <t>18624 A</t>
  </si>
  <si>
    <t>8</t>
  </si>
  <si>
    <t>10</t>
  </si>
  <si>
    <t>12</t>
  </si>
  <si>
    <t>Enhed</t>
  </si>
  <si>
    <t>Benzin</t>
  </si>
  <si>
    <t>Diesel</t>
  </si>
  <si>
    <t>Administrationsbygninger</t>
  </si>
  <si>
    <t>Skoler</t>
  </si>
  <si>
    <t>Daginstitutioner</t>
  </si>
  <si>
    <t>Materialegårde</t>
  </si>
  <si>
    <t>Distrikt 2</t>
  </si>
  <si>
    <t>Distrikt 3</t>
  </si>
  <si>
    <t>BRÆNDSTOF</t>
  </si>
  <si>
    <t>Udgift</t>
  </si>
  <si>
    <t>-</t>
  </si>
  <si>
    <t>Ældrepleje</t>
  </si>
  <si>
    <t>Kulturinstitutioner</t>
  </si>
  <si>
    <t>Andre kommunale bygninger</t>
  </si>
  <si>
    <t>Transport i alt</t>
  </si>
  <si>
    <t>Plejepersonalekørsel (hjemmehjælp mv.)</t>
  </si>
  <si>
    <t>Teknisk forvaltnings kørsel og forbrug (Vej &amp; Park mv.)</t>
  </si>
  <si>
    <t>Anden kørsel (inkl. i private biler)</t>
  </si>
  <si>
    <t>Offentlig transport i alt</t>
  </si>
  <si>
    <t>Offentlige busser</t>
  </si>
  <si>
    <t>Færger</t>
  </si>
  <si>
    <t>Skolebusordning</t>
  </si>
  <si>
    <t>Andet</t>
  </si>
  <si>
    <t>Vejbelysning</t>
  </si>
  <si>
    <t>Idrætsanlæg i alt</t>
  </si>
  <si>
    <t>Svømmehaller</t>
  </si>
  <si>
    <t>Indsamling af husholdningsaffald</t>
  </si>
  <si>
    <t>Behandling af husholdningsaffald</t>
  </si>
  <si>
    <t>Tekniske anlæg i alt</t>
  </si>
  <si>
    <t>Vandværk</t>
  </si>
  <si>
    <t>Rensningsanlæg</t>
  </si>
  <si>
    <t>Genbrugspladser</t>
  </si>
  <si>
    <t>I alt (hele kommunen)</t>
  </si>
  <si>
    <t>Energiindhold</t>
  </si>
  <si>
    <t>MJ/Nm3</t>
  </si>
  <si>
    <t>kr/km</t>
  </si>
  <si>
    <t>Brændstofpris</t>
  </si>
  <si>
    <t>kr/L</t>
  </si>
  <si>
    <t>km/år</t>
  </si>
  <si>
    <t>Brændstofforbrug</t>
  </si>
  <si>
    <t>Sats</t>
  </si>
  <si>
    <t>kr/år</t>
  </si>
  <si>
    <t>type</t>
  </si>
  <si>
    <t>L/år</t>
  </si>
  <si>
    <t>Årlig kørsel</t>
  </si>
  <si>
    <t>Andel benzin</t>
  </si>
  <si>
    <t>%</t>
  </si>
  <si>
    <t>ton/år</t>
  </si>
  <si>
    <t>Tjenestekøresel i privat bil</t>
  </si>
  <si>
    <t>m3</t>
  </si>
  <si>
    <t>L</t>
  </si>
  <si>
    <t>kWh</t>
  </si>
  <si>
    <t>MWh</t>
  </si>
  <si>
    <t>kWh/m2</t>
  </si>
  <si>
    <t>Madudbringning</t>
  </si>
  <si>
    <t>Udliciteret og medtages derfor ikke</t>
  </si>
  <si>
    <t>m2</t>
  </si>
  <si>
    <t>OFFENTLIG TRANSPORT</t>
  </si>
  <si>
    <t>ny indtastning</t>
  </si>
  <si>
    <t>Losseplads</t>
  </si>
  <si>
    <t>Kommunal bygninger</t>
  </si>
  <si>
    <t>Tjenestekørsel</t>
  </si>
  <si>
    <t>Offentlig transport</t>
  </si>
  <si>
    <t>Idrætsanlæg</t>
  </si>
  <si>
    <t>Affaldshåndtering</t>
  </si>
  <si>
    <t>Tekniske anlæg</t>
  </si>
  <si>
    <t>I alt</t>
  </si>
  <si>
    <t>Kommunale bygninger i alt</t>
  </si>
  <si>
    <t>Andre kommunal bygninger</t>
  </si>
  <si>
    <t>Indrætanlæg i alt</t>
  </si>
  <si>
    <t>Affaldshåndtering i alt</t>
  </si>
  <si>
    <t>Vejbelysning i alt</t>
  </si>
  <si>
    <t>Areal</t>
  </si>
  <si>
    <t>Elforbrug</t>
  </si>
  <si>
    <t>CO2-udledning</t>
  </si>
  <si>
    <t>TRANSPORT</t>
  </si>
  <si>
    <t>kg/borger/år</t>
  </si>
  <si>
    <t xml:space="preserve">Danmarks Naturfredningsforening, "Vejledning til opgørelse og dokumentation af kommunens CO2-udledninger og -reduktioner" </t>
  </si>
  <si>
    <t>Benzin/diesel*</t>
  </si>
  <si>
    <t>Energinet.dk, "Miljødeklarationer for el"</t>
  </si>
  <si>
    <t>CO2-udledning, samlet</t>
  </si>
  <si>
    <t>CO2-udledning, bygninger</t>
  </si>
  <si>
    <t>Relativ CO2-udledning (kg/borger)</t>
  </si>
  <si>
    <t>VEJBELYSNING</t>
  </si>
  <si>
    <t>Forbrug</t>
  </si>
  <si>
    <t>Kilde</t>
  </si>
  <si>
    <t>Energi Fyn</t>
  </si>
  <si>
    <t>Ny indtastning</t>
  </si>
  <si>
    <t>Brændstof</t>
  </si>
  <si>
    <t>CO2_benzin</t>
  </si>
  <si>
    <t>CO2_diesel</t>
  </si>
  <si>
    <t>kg/år</t>
  </si>
  <si>
    <t>CO2_total</t>
  </si>
  <si>
    <t>k/år</t>
  </si>
  <si>
    <t>Stadions incl. tilhørende klubhuse</t>
  </si>
  <si>
    <t>Skoler, fritids- og ungdomsklubber</t>
  </si>
  <si>
    <t>Brændsel</t>
  </si>
  <si>
    <t>Værdi</t>
  </si>
  <si>
    <t>kg/kWh</t>
  </si>
  <si>
    <t>kg/Nm3</t>
  </si>
  <si>
    <t>MJ/liter</t>
  </si>
  <si>
    <t>kg/liter</t>
  </si>
  <si>
    <t>Energistyrelsen</t>
  </si>
  <si>
    <t>Indbyggere i Assens kommune:</t>
  </si>
  <si>
    <t>kg/km</t>
  </si>
  <si>
    <t>Relativ CO2-udledning (kg/m2)</t>
  </si>
  <si>
    <t>Fjernvarmeværk</t>
  </si>
  <si>
    <t>Assens Fjernvarme</t>
  </si>
  <si>
    <t>Vissenbjerg Fjernvarme</t>
  </si>
  <si>
    <t>Glamsbjerg Fjernvarme</t>
  </si>
  <si>
    <t>Haarby Fjernvarme</t>
  </si>
  <si>
    <t>Energikilde</t>
  </si>
  <si>
    <t>Informationskilde</t>
  </si>
  <si>
    <t>Fjernvarmeværker</t>
  </si>
  <si>
    <t>Brændsel på værket</t>
  </si>
  <si>
    <t>TEKNISKE ANLÆG</t>
  </si>
  <si>
    <t>IDRÆTSANLÆG</t>
  </si>
  <si>
    <t>KOMMUNALE BYGNINGER</t>
  </si>
  <si>
    <r>
      <t>Vejledning til beregning af den årlige CO2-reduktion</t>
    </r>
    <r>
      <rPr>
        <sz val="11"/>
        <rFont val="Arial"/>
        <family val="2"/>
      </rPr>
      <t xml:space="preserve">:
Værdierne i røde firkant kopieres til arket "Samlet CO2-regnskab".
</t>
    </r>
    <r>
      <rPr>
        <i/>
        <sz val="11"/>
        <rFont val="Arial"/>
        <family val="2"/>
      </rPr>
      <t>Fremgangsmåde</t>
    </r>
    <r>
      <rPr>
        <sz val="11"/>
        <rFont val="Arial"/>
        <family val="2"/>
      </rPr>
      <t xml:space="preserve">
1: De røde felter markes og kopieres på sædvanlig vis.
2: Gå til arket for det aktuelle år hvor CO2-reduktionen ønskes beregnet.
3: Gå til feltet svarende til teksten ud for det øverste røde felt.
4: Højreklikkes på feltet og vælg "Indsæt speciel (Paste special)" og vælg "Værdier (Values)"
Nu skulle alene værdier være kopieret.</t>
    </r>
  </si>
  <si>
    <t>Træflis*</t>
  </si>
  <si>
    <t>*Træflis har pr. def. en CO2-udledning på 0 kg/kWh</t>
  </si>
  <si>
    <t>CO2-udledningen ved kørsel kan angives pr. km med følgende værdier</t>
  </si>
  <si>
    <r>
      <t>Vejledning til brug af arket</t>
    </r>
    <r>
      <rPr>
        <sz val="11"/>
        <rFont val="Arial"/>
        <family val="2"/>
      </rPr>
      <t xml:space="preserve">
Dette regnark bruges til opgørelse af Assens kommunes CO2-udledning, som indberettes til Danmarks Naturfrednings forening iht. den indgåede klimakommune aftale.
Regnearket er udført iht. Danmarks Naturfredningsforenings vejledning til opgørelse af klimakommunens CO2-udledning "Vejledning til opgørelse og dokumentation af kommunens CO2-udledning og -reduktionen".
Når I vil indrapportere næste år, skal I blot åbne regnearket "CO2-regnskab Assens Kommune 2008" og gemme det som en 2009-version og taste data for 2009 ind i de grønne celler. Herefter kopieres de tre markerede kolonner fra fanen "Vejledning" over i regnearket "CO2-reduktion Assens Kommune" til kolonnerne for det relevante år.
</t>
    </r>
    <r>
      <rPr>
        <b/>
        <sz val="11"/>
        <rFont val="Arial"/>
        <family val="2"/>
      </rPr>
      <t>Opdatering</t>
    </r>
    <r>
      <rPr>
        <u/>
        <sz val="11"/>
        <rFont val="Arial"/>
        <family val="2"/>
      </rPr>
      <t xml:space="preserve">
I arket "Forudsætninger" opdateres</t>
    </r>
    <r>
      <rPr>
        <i/>
        <sz val="11"/>
        <rFont val="Arial"/>
        <family val="2"/>
      </rPr>
      <t>:</t>
    </r>
    <r>
      <rPr>
        <sz val="11"/>
        <rFont val="Arial"/>
        <family val="2"/>
      </rPr>
      <t xml:space="preserve">
- Indbyggertallet i Assens Kommune opdateres.
- CO2-udledningen fra el og fjernvarme opdateres. 
</t>
    </r>
    <r>
      <rPr>
        <u/>
        <sz val="11"/>
        <rFont val="Arial"/>
        <family val="2"/>
      </rPr>
      <t>I arkene: "</t>
    </r>
    <r>
      <rPr>
        <i/>
        <u/>
        <sz val="11"/>
        <rFont val="Arial"/>
        <family val="2"/>
      </rPr>
      <t>Bygninger", "Transport", "Offentlig transport", "Vejbelysning"</t>
    </r>
    <r>
      <rPr>
        <u/>
        <sz val="11"/>
        <rFont val="Arial"/>
        <family val="2"/>
      </rPr>
      <t>opdateres:</t>
    </r>
    <r>
      <rPr>
        <sz val="11"/>
        <rFont val="Arial"/>
        <family val="2"/>
      </rPr>
      <t xml:space="preserve">
- Alle forbrug</t>
    </r>
  </si>
  <si>
    <t>Stadions inkl. tilhørende klubhuse</t>
  </si>
  <si>
    <t>Kommunale bygninger</t>
  </si>
  <si>
    <t>Transport</t>
  </si>
  <si>
    <r>
      <t>Energiforbrug pr. m</t>
    </r>
    <r>
      <rPr>
        <b/>
        <vertAlign val="superscript"/>
        <sz val="14"/>
        <rFont val="Arial"/>
        <family val="2"/>
      </rPr>
      <t>2</t>
    </r>
  </si>
  <si>
    <r>
      <t>m</t>
    </r>
    <r>
      <rPr>
        <i/>
        <vertAlign val="superscript"/>
        <sz val="10"/>
        <rFont val="Arial"/>
        <family val="2"/>
      </rPr>
      <t>2</t>
    </r>
  </si>
  <si>
    <r>
      <t>kWh/m</t>
    </r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>/år</t>
    </r>
  </si>
  <si>
    <r>
      <t>kg/m</t>
    </r>
    <r>
      <rPr>
        <i/>
        <vertAlign val="superscript"/>
        <sz val="11"/>
        <rFont val="Arial"/>
        <family val="2"/>
      </rPr>
      <t>2</t>
    </r>
    <r>
      <rPr>
        <i/>
        <sz val="11"/>
        <rFont val="Arial"/>
        <family val="2"/>
      </rPr>
      <t>/år</t>
    </r>
  </si>
  <si>
    <r>
      <t>CO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i alt</t>
    </r>
  </si>
  <si>
    <r>
      <t>CO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pr. borger</t>
    </r>
  </si>
  <si>
    <r>
      <t>CO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pr. m</t>
    </r>
    <r>
      <rPr>
        <b/>
        <vertAlign val="superscript"/>
        <sz val="11"/>
        <rFont val="Arial"/>
        <family val="2"/>
      </rPr>
      <t>2</t>
    </r>
  </si>
  <si>
    <t>Kategori</t>
  </si>
  <si>
    <t>Naturgas og bioolie</t>
  </si>
  <si>
    <t>Naturgas og træflis**</t>
  </si>
  <si>
    <t>50% flis og 50% naturgas</t>
  </si>
  <si>
    <t>Tommerup By Fjernvarme</t>
  </si>
  <si>
    <t>95% flis og 5% naturgas</t>
  </si>
  <si>
    <t>Naturgas og flis</t>
  </si>
  <si>
    <t>Træpiller of naturgas</t>
  </si>
  <si>
    <t>Tommerup St. Fjernvarme</t>
  </si>
  <si>
    <t>57% flis og 43% naturgas</t>
  </si>
  <si>
    <t>Forsynes 60% fra Tommerup By Fjernvarme - resten naturgas</t>
  </si>
  <si>
    <t>100% træflis</t>
  </si>
  <si>
    <t xml:space="preserve">Aarup Station </t>
  </si>
  <si>
    <t>30% bioolie og 70%naturgas</t>
  </si>
  <si>
    <t>64% træpiller og 36% naturgas</t>
  </si>
  <si>
    <t xml:space="preserve">**Vejledning til opgørelse og dokumentation af kommunens CO2-udledninger og -reduktioner  
Rockwools omregningsstjerne for energienheder - www.rockwool.dk/r%C3%A5d+og+vejledning/den+lille+lune/godt+at+vide/omregning+af+energienheder  
</t>
  </si>
  <si>
    <t>Plejepersonalekørsel</t>
  </si>
  <si>
    <t>Hjemmeplejen</t>
  </si>
  <si>
    <t>Kørsel i miljø og teknik</t>
  </si>
  <si>
    <t>Benzin forbrug Entreprenørgården</t>
  </si>
  <si>
    <t>Diesel forbrug Entreprenørgården</t>
  </si>
  <si>
    <t>El 2011</t>
  </si>
  <si>
    <t>Ændring</t>
  </si>
  <si>
    <t>Drømmebakken</t>
  </si>
  <si>
    <t>1901 / 1967</t>
  </si>
  <si>
    <t>1971 - 2004</t>
  </si>
  <si>
    <t>Skovvej</t>
  </si>
  <si>
    <t>2A</t>
  </si>
  <si>
    <t>Tallerupskolen</t>
  </si>
  <si>
    <t>Tallerupskolen - SFO</t>
  </si>
  <si>
    <t>Tallerupskolen - Værksted</t>
  </si>
  <si>
    <t>Lokalhistorisk Arkiv (Haarby)</t>
  </si>
  <si>
    <t>Niels Kjærbyes Vej</t>
  </si>
  <si>
    <t>VW Polo (Købt 9.6.2010)  BF 57 918</t>
  </si>
  <si>
    <t xml:space="preserve">Toyota Rav 4  XE 95 157 </t>
  </si>
  <si>
    <t>Provstistræde</t>
  </si>
  <si>
    <t>Tommerup By's Fjernvarme</t>
  </si>
  <si>
    <t>22A+B</t>
  </si>
  <si>
    <t>Rådhus Allé</t>
  </si>
  <si>
    <t xml:space="preserve">Fredensvej </t>
  </si>
  <si>
    <t>25-27</t>
  </si>
  <si>
    <t xml:space="preserve">Tallerupvej </t>
  </si>
  <si>
    <t>53</t>
  </si>
  <si>
    <t xml:space="preserve">Lilleskovvej </t>
  </si>
  <si>
    <t>3</t>
  </si>
  <si>
    <t>Assens kommune</t>
  </si>
  <si>
    <t>Kørsel i Miljø og teknik</t>
  </si>
  <si>
    <r>
      <t>CO</t>
    </r>
    <r>
      <rPr>
        <b/>
        <vertAlign val="subscript"/>
        <sz val="14"/>
        <rFont val="Arial"/>
        <family val="2"/>
      </rPr>
      <t>2</t>
    </r>
    <r>
      <rPr>
        <b/>
        <sz val="14"/>
        <rFont val="Arial"/>
        <family val="2"/>
      </rPr>
      <t>-udledning (tons/år)</t>
    </r>
  </si>
  <si>
    <r>
      <t>Relativ CO</t>
    </r>
    <r>
      <rPr>
        <b/>
        <vertAlign val="subscript"/>
        <sz val="14"/>
        <rFont val="Arial"/>
        <family val="2"/>
      </rPr>
      <t>2</t>
    </r>
    <r>
      <rPr>
        <b/>
        <sz val="14"/>
        <rFont val="Arial"/>
        <family val="2"/>
      </rPr>
      <t>-udledning (kg/borger)</t>
    </r>
  </si>
  <si>
    <r>
      <t>Relativ CO</t>
    </r>
    <r>
      <rPr>
        <b/>
        <vertAlign val="subscript"/>
        <sz val="14"/>
        <rFont val="Arial"/>
        <family val="2"/>
      </rPr>
      <t>2</t>
    </r>
    <r>
      <rPr>
        <b/>
        <sz val="14"/>
        <rFont val="Arial"/>
        <family val="2"/>
      </rPr>
      <t>-udledning (kg/m</t>
    </r>
    <r>
      <rPr>
        <b/>
        <vertAlign val="superscript"/>
        <sz val="14"/>
        <rFont val="Arial"/>
        <family val="2"/>
      </rPr>
      <t>2</t>
    </r>
    <r>
      <rPr>
        <b/>
        <sz val="14"/>
        <rFont val="Arial"/>
        <family val="2"/>
      </rPr>
      <t>)</t>
    </r>
  </si>
  <si>
    <t>El  2012</t>
  </si>
  <si>
    <t>Årligt brændstofforbrug2011</t>
  </si>
  <si>
    <t>NOTE VEDR ELFORBRUG / AFLÆSNING</t>
  </si>
  <si>
    <t>Forbrug aflæst på www.asfyn.dk</t>
  </si>
  <si>
    <t>Forbrug under Agerholm Gårdbørnehave</t>
  </si>
  <si>
    <t>Forbrug fra www.goenergi.dk</t>
  </si>
  <si>
    <t>Frubrug aflæst på energidanmark</t>
  </si>
  <si>
    <t>Forbrug ligger under Salbrovad Skole</t>
  </si>
  <si>
    <t>forbrug aflæst på ffv.dk</t>
  </si>
  <si>
    <t>fra www.goenergi.dk</t>
  </si>
  <si>
    <t>Forbrug ligger under Legestue Rytterskolen</t>
  </si>
  <si>
    <t>Bemærkninger til fjernvarme</t>
  </si>
  <si>
    <t>10.01.11-11.01.12</t>
  </si>
  <si>
    <t>30.12.10-02.01.12</t>
  </si>
  <si>
    <t>Indgår i forbruget  under Østergade 89 C</t>
  </si>
  <si>
    <t>2010/2011</t>
  </si>
  <si>
    <t>05.01.11-11.01.12</t>
  </si>
  <si>
    <t>15.11.10-19.09.11</t>
  </si>
  <si>
    <t>30.09.10-30.09.11</t>
  </si>
  <si>
    <t>01.05.11-30.04.12</t>
  </si>
  <si>
    <t xml:space="preserve">30.12.10-02.01.12  </t>
  </si>
  <si>
    <t>Fjernvarmemåler 7181756 opsat 21/10-11</t>
  </si>
  <si>
    <t>Overført fra 2010</t>
  </si>
  <si>
    <t>Forbrug under skolen</t>
  </si>
  <si>
    <t>06.01.11-10.01.12</t>
  </si>
  <si>
    <t>10.01.11-06.01.12</t>
  </si>
  <si>
    <t>05.01.11-09.01.12</t>
  </si>
  <si>
    <t>28.05.10-30.05.11</t>
  </si>
  <si>
    <t>01.10.10-30.09.11</t>
  </si>
  <si>
    <t>01.07.10-30.06.111</t>
  </si>
  <si>
    <t>Note vedr. naturgasforbrug</t>
  </si>
  <si>
    <t>Assens Rådhus</t>
  </si>
  <si>
    <t>Assens Rådhus (PPR)</t>
  </si>
  <si>
    <t>Ældreplejen administrationsbygning (Granly)</t>
  </si>
  <si>
    <t>Familiehus Nord og Hjemmeplejen Tommerup</t>
  </si>
  <si>
    <t>Bilsyningshallen</t>
  </si>
  <si>
    <t>Kollegiet Assens</t>
  </si>
  <si>
    <t>Centralkøkkenet</t>
  </si>
  <si>
    <t>Dobbelthus</t>
  </si>
  <si>
    <t>Etageejendom</t>
  </si>
  <si>
    <t>Enfamiliehus</t>
  </si>
  <si>
    <t>Assensskolen Nord (Handelsskolen)</t>
  </si>
  <si>
    <t>Heldagsskolen i Flemløse Skole</t>
  </si>
  <si>
    <t>Barløse Legestue</t>
  </si>
  <si>
    <t>Legestue</t>
  </si>
  <si>
    <t>Tommerup Børnehave</t>
  </si>
  <si>
    <t>Dagplejehuset, Tommerup</t>
  </si>
  <si>
    <t>Børnenes Hus</t>
  </si>
  <si>
    <t>Børnehuset Møllebakken</t>
  </si>
  <si>
    <t>Dagplejehuset, Aarup</t>
  </si>
  <si>
    <t>Bofællesskabet Korsvang</t>
  </si>
  <si>
    <t>Korsvang Ældreboliger</t>
  </si>
  <si>
    <t>CUA Erhvervs- og Aktivitetscenter Assens</t>
  </si>
  <si>
    <t>Ældreplejen Lev og Bo (Plejeboliger)</t>
  </si>
  <si>
    <t>CUA Pilebakken Døgninstitution</t>
  </si>
  <si>
    <t>Bofællesskabet for demente</t>
  </si>
  <si>
    <t>Hjælpemiddeldepot / Brahesholmprojektet</t>
  </si>
  <si>
    <t>Aktivcentret Glamsbjerg / Misbrugscentret</t>
  </si>
  <si>
    <t>Job- og Kompetencecentret, adm. + værksted</t>
  </si>
  <si>
    <t>Hjemmeplejen Glamsbjerg (kun 1. sal)</t>
  </si>
  <si>
    <t>Ungdoms- og Erhvervsskole</t>
  </si>
  <si>
    <t>Flemløse Plejehjem</t>
  </si>
  <si>
    <t>Strandgaarden Plejecenter</t>
  </si>
  <si>
    <t>Børnetandplejen</t>
  </si>
  <si>
    <t>Assens Psykiatricenter</t>
  </si>
  <si>
    <t>Hørvangen Ældreboliger</t>
  </si>
  <si>
    <t>Assens Psykiatricenter - aflastningsboliger</t>
  </si>
  <si>
    <t>Lindebjerg Døgninstitution</t>
  </si>
  <si>
    <t>CUA Erhvervs- og Aktivitetscenter Aarup</t>
  </si>
  <si>
    <t>Assens Bibliotek</t>
  </si>
  <si>
    <t>Willemoesgården</t>
  </si>
  <si>
    <t>Glamsbjerg Stadion</t>
  </si>
  <si>
    <t>Spejderhytte</t>
  </si>
  <si>
    <t>Skalbjerg Boldklub (Skalbjerg Gl. Skole)</t>
  </si>
  <si>
    <t>Boldhus Kerte</t>
  </si>
  <si>
    <t>Assens Materialegård</t>
  </si>
  <si>
    <t>Fritidshjemmet Myretuen</t>
  </si>
  <si>
    <t>Assens Sundhedscenter</t>
  </si>
  <si>
    <t>Borgerskolen: Sundhedspleje + dagpleje</t>
  </si>
  <si>
    <t>Assens gl. Rådhus</t>
  </si>
  <si>
    <t>Familiehuset</t>
  </si>
  <si>
    <t>Tidl. Paletten</t>
  </si>
  <si>
    <t>Tidligere 1000-ben</t>
  </si>
  <si>
    <t>EJD NR.</t>
  </si>
  <si>
    <t xml:space="preserve">Kompas'et </t>
  </si>
  <si>
    <t>43-45</t>
  </si>
  <si>
    <t>82-84</t>
  </si>
  <si>
    <t>14-16</t>
  </si>
  <si>
    <t>Udlejningsejendom</t>
  </si>
  <si>
    <t>111-121</t>
  </si>
  <si>
    <t>Lokalhistorisk arkiv (Brylle Bibliotek)</t>
  </si>
  <si>
    <t>Udlejningsejendomme</t>
  </si>
  <si>
    <t>Social, sundhed og arbejdsmarked</t>
  </si>
  <si>
    <t>Kultur og fritid</t>
  </si>
  <si>
    <t>Tobovej</t>
  </si>
  <si>
    <t>Søndersøvej</t>
  </si>
  <si>
    <t>På bimåler under Assensskolen Nord</t>
  </si>
  <si>
    <t>Stenløkkevej</t>
  </si>
  <si>
    <t>29D</t>
  </si>
  <si>
    <t>21A-B</t>
  </si>
  <si>
    <t>Gl. Torø Huse Vej</t>
  </si>
  <si>
    <t>Odensevej</t>
  </si>
  <si>
    <t>Ryet</t>
  </si>
  <si>
    <t>Korsvangcentret</t>
  </si>
  <si>
    <t>29A-C</t>
  </si>
  <si>
    <t>Fjernvarme 
2011</t>
  </si>
  <si>
    <t>Fjernvarme 
2012</t>
  </si>
  <si>
    <t>Varme total
2012</t>
  </si>
  <si>
    <t>Relativ el
2012</t>
  </si>
  <si>
    <t>Lager og udlejningsejendom</t>
  </si>
  <si>
    <t>Tommerup Materialeplads</t>
  </si>
  <si>
    <t>Materialegården, Grønnemose</t>
  </si>
  <si>
    <t>UDGÅEDE BYGNINGER</t>
  </si>
  <si>
    <t>Naturgas 
2011</t>
  </si>
  <si>
    <t>Naturgas 
2012</t>
  </si>
  <si>
    <t>Olie 
2011</t>
  </si>
  <si>
    <t>Olie 
2012</t>
  </si>
  <si>
    <t>CO2 
udledning</t>
  </si>
  <si>
    <t>Ændring 
i %</t>
  </si>
  <si>
    <t>BYGNING</t>
  </si>
  <si>
    <t>CO2
naturgas</t>
  </si>
  <si>
    <t>CO2
olie</t>
  </si>
  <si>
    <t>CO2
varme</t>
  </si>
  <si>
    <t>CO2
total</t>
  </si>
  <si>
    <t>CO2
el</t>
  </si>
  <si>
    <t>Børnehuset Salbrohave</t>
  </si>
  <si>
    <t>Børnehuset i Ebberup</t>
  </si>
  <si>
    <t>Samlet forbrug fra www.goenergi.dk  mangler koder</t>
  </si>
  <si>
    <t>fra www.goenergi.dk. Mangler kode</t>
  </si>
  <si>
    <t>Assens kommune 2012</t>
  </si>
  <si>
    <t>Ældreboliger</t>
  </si>
  <si>
    <t>CO2
fjv</t>
  </si>
  <si>
    <t>Relativ 
varme
2012</t>
  </si>
  <si>
    <t>Terrariet</t>
  </si>
  <si>
    <t>Forbrug aflæst på årsopgørelse / 2011 rettet</t>
  </si>
  <si>
    <t>Klubhus Knallertbane</t>
  </si>
  <si>
    <t>Er lejet ud. Assens Kommune betaler ikke drift.</t>
  </si>
  <si>
    <t>Forbrug under Børnenes Hus</t>
  </si>
  <si>
    <t>Vissenbjerg Rådhus</t>
  </si>
  <si>
    <t>Forbrug ligger under Haarby Skole.</t>
  </si>
  <si>
    <t>01.05.2011 - 03.04.2012</t>
  </si>
  <si>
    <t>01.06.2011 - 31.05.2012</t>
  </si>
  <si>
    <t>2011/2012</t>
  </si>
  <si>
    <t>01.05.2011 - 30.04.2012</t>
  </si>
  <si>
    <t>jan-dec 2012</t>
  </si>
  <si>
    <t>01.06.2011-31.05.2012</t>
  </si>
  <si>
    <t>jan - dec 2012</t>
  </si>
  <si>
    <t>01.10.2011-30.09.2012</t>
  </si>
  <si>
    <t>01.05.2011-30.04.2012</t>
  </si>
  <si>
    <t>Forbrug ligger under Korsvang 78</t>
  </si>
  <si>
    <t>Forbrug fra www.goenergi.dk og asfyn.dk</t>
  </si>
  <si>
    <t>2-4,5,12</t>
  </si>
  <si>
    <t>Overført fra 2011.</t>
  </si>
  <si>
    <t>Servicearealer opkræves af Kristiansdal fremadrettet. 
Overført forbruget fra 2010</t>
  </si>
  <si>
    <t>På bimåler til Aktivitetscentret, Østergade 89C</t>
  </si>
  <si>
    <t>Pernille: Kan ikke finde bilag i Opus</t>
  </si>
  <si>
    <t>Servicearealer opkræves af Kristiansdal 
fremadrettet. Overført forbruget fra 2010</t>
  </si>
  <si>
    <t>Under Assensskolen Nord</t>
  </si>
  <si>
    <t>01.06.11-31.05.12</t>
  </si>
  <si>
    <t>Teknisk forvaltnings kørsel og forbrug</t>
  </si>
  <si>
    <t>goenergi</t>
  </si>
  <si>
    <t>2011 forbrug rettet.</t>
  </si>
  <si>
    <t>Haarby Amatør Teater</t>
  </si>
  <si>
    <t>Udlejet Assens Kommune betaler ikke forbrug.</t>
  </si>
  <si>
    <t>Forbrug aflæst på www.asfyn.dk og goenergi.dk</t>
  </si>
  <si>
    <r>
      <t xml:space="preserve">Draco Klub   </t>
    </r>
    <r>
      <rPr>
        <sz val="8"/>
        <color indexed="10"/>
        <rFont val="Arial"/>
        <family val="2"/>
      </rPr>
      <t>Ingen opkrævninger på varme</t>
    </r>
  </si>
  <si>
    <r>
      <t xml:space="preserve">Udlejningsejendom, Højløkkevej 11 </t>
    </r>
    <r>
      <rPr>
        <sz val="8"/>
        <color indexed="10"/>
        <rFont val="Arial"/>
        <family val="2"/>
      </rPr>
      <t>(solgt oktober 2011)</t>
    </r>
  </si>
  <si>
    <r>
      <t xml:space="preserve">Børnehaven Gustavsminde   </t>
    </r>
    <r>
      <rPr>
        <sz val="8"/>
        <color indexed="10"/>
        <rFont val="Arial"/>
        <family val="2"/>
      </rPr>
      <t>Solgt 1/8-2011 (privatiseret)</t>
    </r>
  </si>
  <si>
    <r>
      <t>Daginstitution for voksne (Markusholm)</t>
    </r>
    <r>
      <rPr>
        <sz val="8"/>
        <color indexed="10"/>
        <rFont val="Arial"/>
        <family val="2"/>
      </rPr>
      <t xml:space="preserve"> SOLGT 2011</t>
    </r>
  </si>
  <si>
    <r>
      <t xml:space="preserve">Aktiveringscentret/projekthuset </t>
    </r>
    <r>
      <rPr>
        <sz val="8"/>
        <color indexed="10"/>
        <rFont val="Arial"/>
        <family val="2"/>
      </rPr>
      <t>Nedrevet medio efterår 2011</t>
    </r>
  </si>
  <si>
    <r>
      <t xml:space="preserve">Børnehaven Gnisten  </t>
    </r>
    <r>
      <rPr>
        <sz val="8"/>
        <color indexed="10"/>
        <rFont val="Arial"/>
        <family val="2"/>
      </rPr>
      <t>Solgt 1/8-2011</t>
    </r>
  </si>
  <si>
    <t>Note vedr. olieforbrug</t>
  </si>
  <si>
    <t>Overgået til andre energiformer</t>
  </si>
  <si>
    <t>Ikke med i sidste års regnskab</t>
  </si>
  <si>
    <t>Granly Aktivitetscenter (Østergade 89D indgår i forbruget)</t>
  </si>
  <si>
    <t>Tommerup St. Varmeforsyning</t>
  </si>
  <si>
    <t xml:space="preserve">2011/2012 </t>
  </si>
  <si>
    <t>Dagpleje Ebberup /Børnetandplejen</t>
  </si>
  <si>
    <t>01.04.12-31.03.13</t>
  </si>
  <si>
    <t>31.03.12-01.09.12</t>
  </si>
  <si>
    <t xml:space="preserve">01.04.12-31.03.13                                             (Forbrug 2011 = 17.074) </t>
  </si>
  <si>
    <t>Regnbuen, Haarbys</t>
  </si>
  <si>
    <r>
      <t xml:space="preserve">Hytten Dagplejen - </t>
    </r>
    <r>
      <rPr>
        <sz val="8"/>
        <color indexed="10"/>
        <rFont val="Arial"/>
        <family val="2"/>
      </rPr>
      <t>varmeforbrug under skole</t>
    </r>
  </si>
  <si>
    <t xml:space="preserve">Else Marie: Forbrug overført fra 2011 </t>
  </si>
  <si>
    <t>Forbrug aflæst på www.net.sydenergi.dk</t>
  </si>
  <si>
    <r>
      <t xml:space="preserve">Linien 2 (legestue, mødelokaler m.m.) </t>
    </r>
    <r>
      <rPr>
        <sz val="8"/>
        <color rgb="FFFF0000"/>
        <rFont val="Arial"/>
        <family val="2"/>
      </rPr>
      <t>Til salg</t>
    </r>
  </si>
  <si>
    <t xml:space="preserve">Lagerbygning 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</si>
</sst>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#,##0.0"/>
    <numFmt numFmtId="165" formatCode="0.0000"/>
    <numFmt numFmtId="166" formatCode="0.000"/>
    <numFmt numFmtId="167" formatCode="0.0%"/>
    <numFmt numFmtId="168" formatCode="#,##0.000"/>
    <numFmt numFmtId="169" formatCode="#,##0.000000"/>
  </numFmts>
  <fonts count="72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20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8"/>
      <color indexed="81"/>
      <name val="Tahoma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u/>
      <sz val="10"/>
      <color indexed="12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i/>
      <u/>
      <sz val="11"/>
      <name val="Arial"/>
      <family val="2"/>
    </font>
    <font>
      <b/>
      <vertAlign val="superscript"/>
      <sz val="14"/>
      <name val="Arial"/>
      <family val="2"/>
    </font>
    <font>
      <i/>
      <vertAlign val="superscript"/>
      <sz val="10"/>
      <name val="Arial"/>
      <family val="2"/>
    </font>
    <font>
      <i/>
      <vertAlign val="superscript"/>
      <sz val="11"/>
      <name val="Arial"/>
      <family val="2"/>
    </font>
    <font>
      <b/>
      <vertAlign val="subscript"/>
      <sz val="11"/>
      <name val="Arial"/>
      <family val="2"/>
    </font>
    <font>
      <b/>
      <vertAlign val="superscript"/>
      <sz val="11"/>
      <name val="Arial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sz val="12"/>
      <color indexed="81"/>
      <name val="Tahoma"/>
      <family val="2"/>
    </font>
    <font>
      <b/>
      <sz val="12"/>
      <color indexed="81"/>
      <name val="Tahoma"/>
      <family val="2"/>
    </font>
    <font>
      <sz val="10"/>
      <color indexed="12"/>
      <name val="Arial"/>
      <family val="2"/>
    </font>
    <font>
      <strike/>
      <sz val="10"/>
      <name val="Arial"/>
      <family val="2"/>
    </font>
    <font>
      <b/>
      <vertAlign val="subscript"/>
      <sz val="14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indexed="8"/>
      <name val="Verdana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i/>
      <sz val="8"/>
      <color rgb="FFFF000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 style="thick">
        <color indexed="10"/>
      </right>
      <top/>
      <bottom/>
      <diagonal/>
    </border>
    <border>
      <left style="thick">
        <color indexed="10"/>
      </left>
      <right style="thick">
        <color indexed="10"/>
      </right>
      <top/>
      <bottom style="thick">
        <color indexed="10"/>
      </bottom>
      <diagonal/>
    </border>
    <border>
      <left style="thick">
        <color indexed="10"/>
      </left>
      <right/>
      <top style="thick">
        <color indexed="10"/>
      </top>
      <bottom/>
      <diagonal/>
    </border>
  </borders>
  <cellStyleXfs count="137">
    <xf numFmtId="0" fontId="0" fillId="0" borderId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12" fillId="3" borderId="0" applyNumberFormat="0" applyBorder="0" applyAlignment="0" applyProtection="0"/>
    <xf numFmtId="0" fontId="1" fillId="20" borderId="1" applyNumberFormat="0" applyFont="0" applyAlignment="0" applyProtection="0"/>
    <xf numFmtId="0" fontId="52" fillId="20" borderId="1" applyNumberFormat="0" applyFont="0" applyAlignment="0" applyProtection="0"/>
    <xf numFmtId="0" fontId="6" fillId="20" borderId="1" applyNumberFormat="0" applyFont="0" applyAlignment="0" applyProtection="0"/>
    <xf numFmtId="0" fontId="59" fillId="20" borderId="1" applyNumberFormat="0" applyFon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4" fillId="22" borderId="3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26" fillId="4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53" fillId="7" borderId="2" applyNumberFormat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4" fillId="0" borderId="0" applyFont="0" applyFill="0" applyBorder="0" applyAlignment="0" applyProtection="0"/>
    <xf numFmtId="0" fontId="24" fillId="22" borderId="3" applyNumberFormat="0" applyAlignment="0" applyProtection="0"/>
    <xf numFmtId="0" fontId="24" fillId="22" borderId="3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0" fillId="0" borderId="7" applyNumberFormat="0" applyFill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54" fillId="23" borderId="0" applyNumberFormat="0" applyBorder="0" applyAlignment="0" applyProtection="0"/>
    <xf numFmtId="0" fontId="6" fillId="0" borderId="0"/>
    <xf numFmtId="0" fontId="6" fillId="0" borderId="0"/>
    <xf numFmtId="0" fontId="64" fillId="0" borderId="0"/>
    <xf numFmtId="0" fontId="6" fillId="20" borderId="1" applyNumberFormat="0" applyFont="0" applyAlignment="0" applyProtection="0"/>
    <xf numFmtId="0" fontId="59" fillId="20" borderId="1" applyNumberFormat="0" applyFont="0" applyAlignment="0" applyProtection="0"/>
    <xf numFmtId="0" fontId="55" fillId="21" borderId="8" applyNumberFormat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12" fillId="3" borderId="0" applyNumberFormat="0" applyBorder="0" applyAlignment="0" applyProtection="0"/>
    <xf numFmtId="43" fontId="6" fillId="0" borderId="0" applyFont="0" applyFill="0" applyBorder="0" applyAlignment="0" applyProtection="0"/>
  </cellStyleXfs>
  <cellXfs count="453">
    <xf numFmtId="0" fontId="0" fillId="0" borderId="0" xfId="0"/>
    <xf numFmtId="0" fontId="5" fillId="0" borderId="10" xfId="0" applyFont="1" applyBorder="1"/>
    <xf numFmtId="0" fontId="6" fillId="0" borderId="0" xfId="0" applyFont="1" applyAlignment="1">
      <alignment horizontal="center"/>
    </xf>
    <xf numFmtId="0" fontId="5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Fill="1" applyBorder="1"/>
    <xf numFmtId="0" fontId="4" fillId="24" borderId="10" xfId="0" applyFont="1" applyFill="1" applyBorder="1"/>
    <xf numFmtId="0" fontId="5" fillId="0" borderId="0" xfId="0" applyFont="1" applyBorder="1"/>
    <xf numFmtId="0" fontId="4" fillId="0" borderId="0" xfId="0" applyFont="1" applyAlignment="1">
      <alignment horizontal="center"/>
    </xf>
    <xf numFmtId="0" fontId="9" fillId="0" borderId="10" xfId="0" applyFont="1" applyBorder="1"/>
    <xf numFmtId="0" fontId="4" fillId="0" borderId="0" xfId="0" applyFont="1" applyFill="1" applyBorder="1"/>
    <xf numFmtId="10" fontId="4" fillId="24" borderId="10" xfId="0" applyNumberFormat="1" applyFont="1" applyFill="1" applyBorder="1"/>
    <xf numFmtId="0" fontId="3" fillId="25" borderId="10" xfId="0" applyFont="1" applyFill="1" applyBorder="1"/>
    <xf numFmtId="0" fontId="4" fillId="25" borderId="10" xfId="0" applyFont="1" applyFill="1" applyBorder="1"/>
    <xf numFmtId="0" fontId="4" fillId="24" borderId="11" xfId="0" applyFont="1" applyFill="1" applyBorder="1"/>
    <xf numFmtId="0" fontId="3" fillId="25" borderId="12" xfId="0" applyFont="1" applyFill="1" applyBorder="1"/>
    <xf numFmtId="0" fontId="9" fillId="0" borderId="0" xfId="0" applyFont="1" applyBorder="1"/>
    <xf numFmtId="0" fontId="6" fillId="0" borderId="0" xfId="0" applyFont="1"/>
    <xf numFmtId="1" fontId="4" fillId="0" borderId="0" xfId="0" applyNumberFormat="1" applyFont="1" applyFill="1" applyBorder="1" applyAlignment="1">
      <alignment vertical="top"/>
    </xf>
    <xf numFmtId="1" fontId="4" fillId="0" borderId="0" xfId="0" applyNumberFormat="1" applyFont="1" applyAlignment="1"/>
    <xf numFmtId="0" fontId="11" fillId="0" borderId="0" xfId="0" applyFont="1"/>
    <xf numFmtId="1" fontId="0" fillId="0" borderId="0" xfId="0" applyNumberFormat="1"/>
    <xf numFmtId="3" fontId="0" fillId="0" borderId="0" xfId="0" applyNumberFormat="1"/>
    <xf numFmtId="0" fontId="3" fillId="26" borderId="0" xfId="0" applyFont="1" applyFill="1" applyBorder="1" applyAlignment="1">
      <alignment horizontal="left" vertical="top" wrapText="1"/>
    </xf>
    <xf numFmtId="0" fontId="4" fillId="26" borderId="0" xfId="0" applyFont="1" applyFill="1"/>
    <xf numFmtId="0" fontId="8" fillId="26" borderId="0" xfId="0" applyFont="1" applyFill="1"/>
    <xf numFmtId="0" fontId="3" fillId="26" borderId="0" xfId="0" applyFont="1" applyFill="1"/>
    <xf numFmtId="0" fontId="4" fillId="26" borderId="0" xfId="0" applyFont="1" applyFill="1" applyBorder="1"/>
    <xf numFmtId="1" fontId="4" fillId="26" borderId="0" xfId="0" applyNumberFormat="1" applyFont="1" applyFill="1"/>
    <xf numFmtId="0" fontId="10" fillId="26" borderId="0" xfId="0" applyFont="1" applyFill="1"/>
    <xf numFmtId="0" fontId="4" fillId="26" borderId="0" xfId="0" applyFont="1" applyFill="1" applyAlignment="1">
      <alignment horizontal="center"/>
    </xf>
    <xf numFmtId="0" fontId="6" fillId="0" borderId="10" xfId="0" applyFont="1" applyBorder="1"/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10" xfId="0" applyFont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Border="1" applyAlignment="1">
      <alignment horizontal="center"/>
    </xf>
    <xf numFmtId="0" fontId="6" fillId="26" borderId="0" xfId="0" applyFont="1" applyFill="1" applyBorder="1"/>
    <xf numFmtId="0" fontId="6" fillId="26" borderId="0" xfId="0" applyFont="1" applyFill="1" applyBorder="1" applyAlignment="1">
      <alignment horizontal="center"/>
    </xf>
    <xf numFmtId="2" fontId="6" fillId="26" borderId="0" xfId="0" applyNumberFormat="1" applyFont="1" applyFill="1" applyBorder="1"/>
    <xf numFmtId="0" fontId="6" fillId="26" borderId="13" xfId="0" applyFont="1" applyFill="1" applyBorder="1"/>
    <xf numFmtId="0" fontId="6" fillId="26" borderId="14" xfId="0" applyFont="1" applyFill="1" applyBorder="1"/>
    <xf numFmtId="0" fontId="6" fillId="26" borderId="11" xfId="0" applyFont="1" applyFill="1" applyBorder="1"/>
    <xf numFmtId="0" fontId="6" fillId="26" borderId="15" xfId="0" applyFont="1" applyFill="1" applyBorder="1"/>
    <xf numFmtId="0" fontId="6" fillId="26" borderId="16" xfId="0" applyFont="1" applyFill="1" applyBorder="1" applyAlignment="1">
      <alignment horizontal="center"/>
    </xf>
    <xf numFmtId="0" fontId="6" fillId="26" borderId="16" xfId="0" applyFont="1" applyFill="1" applyBorder="1"/>
    <xf numFmtId="0" fontId="5" fillId="26" borderId="0" xfId="0" applyFont="1" applyFill="1" applyBorder="1"/>
    <xf numFmtId="0" fontId="16" fillId="26" borderId="0" xfId="0" applyFont="1" applyFill="1" applyBorder="1"/>
    <xf numFmtId="0" fontId="5" fillId="25" borderId="17" xfId="0" applyFont="1" applyFill="1" applyBorder="1"/>
    <xf numFmtId="0" fontId="6" fillId="26" borderId="0" xfId="0" applyFont="1" applyFill="1" applyBorder="1" applyAlignment="1">
      <alignment horizontal="left"/>
    </xf>
    <xf numFmtId="0" fontId="16" fillId="26" borderId="0" xfId="0" applyFont="1" applyFill="1"/>
    <xf numFmtId="0" fontId="5" fillId="26" borderId="0" xfId="0" applyFont="1" applyFill="1"/>
    <xf numFmtId="0" fontId="6" fillId="26" borderId="0" xfId="0" applyFont="1" applyFill="1"/>
    <xf numFmtId="0" fontId="9" fillId="26" borderId="0" xfId="0" applyFont="1" applyFill="1" applyBorder="1"/>
    <xf numFmtId="0" fontId="9" fillId="26" borderId="16" xfId="0" applyFont="1" applyFill="1" applyBorder="1"/>
    <xf numFmtId="0" fontId="5" fillId="25" borderId="17" xfId="0" applyFont="1" applyFill="1" applyBorder="1" applyAlignment="1">
      <alignment horizontal="center"/>
    </xf>
    <xf numFmtId="0" fontId="5" fillId="26" borderId="0" xfId="0" applyFont="1" applyFill="1" applyAlignment="1">
      <alignment horizontal="center"/>
    </xf>
    <xf numFmtId="0" fontId="6" fillId="26" borderId="0" xfId="0" applyFont="1" applyFill="1" applyAlignment="1">
      <alignment horizontal="center"/>
    </xf>
    <xf numFmtId="166" fontId="6" fillId="30" borderId="14" xfId="79" applyNumberFormat="1" applyFont="1" applyBorder="1" applyAlignment="1">
      <alignment horizontal="center"/>
    </xf>
    <xf numFmtId="2" fontId="6" fillId="26" borderId="0" xfId="0" applyNumberFormat="1" applyFont="1" applyFill="1" applyBorder="1" applyAlignment="1">
      <alignment horizontal="center"/>
    </xf>
    <xf numFmtId="2" fontId="6" fillId="26" borderId="16" xfId="0" applyNumberFormat="1" applyFont="1" applyFill="1" applyBorder="1" applyAlignment="1">
      <alignment horizontal="center"/>
    </xf>
    <xf numFmtId="0" fontId="9" fillId="26" borderId="0" xfId="0" applyFont="1" applyFill="1" applyBorder="1" applyAlignment="1">
      <alignment horizontal="center"/>
    </xf>
    <xf numFmtId="0" fontId="5" fillId="26" borderId="0" xfId="0" applyFont="1" applyFill="1" applyBorder="1" applyAlignment="1">
      <alignment horizontal="center"/>
    </xf>
    <xf numFmtId="0" fontId="6" fillId="25" borderId="17" xfId="0" applyFont="1" applyFill="1" applyBorder="1"/>
    <xf numFmtId="0" fontId="6" fillId="26" borderId="14" xfId="0" applyFont="1" applyFill="1" applyBorder="1" applyAlignment="1">
      <alignment horizontal="left"/>
    </xf>
    <xf numFmtId="0" fontId="6" fillId="26" borderId="16" xfId="0" applyFont="1" applyFill="1" applyBorder="1" applyAlignment="1">
      <alignment horizontal="left"/>
    </xf>
    <xf numFmtId="0" fontId="9" fillId="26" borderId="14" xfId="0" applyFont="1" applyFill="1" applyBorder="1"/>
    <xf numFmtId="0" fontId="6" fillId="26" borderId="14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9" fontId="5" fillId="0" borderId="10" xfId="123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" fontId="5" fillId="0" borderId="18" xfId="0" applyNumberFormat="1" applyFont="1" applyBorder="1"/>
    <xf numFmtId="9" fontId="6" fillId="0" borderId="10" xfId="123" applyFont="1" applyBorder="1" applyAlignment="1">
      <alignment horizontal="center"/>
    </xf>
    <xf numFmtId="3" fontId="6" fillId="27" borderId="10" xfId="0" applyNumberFormat="1" applyFont="1" applyFill="1" applyBorder="1" applyAlignment="1">
      <alignment horizontal="center"/>
    </xf>
    <xf numFmtId="0" fontId="6" fillId="30" borderId="10" xfId="79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6" fillId="0" borderId="19" xfId="0" applyNumberFormat="1" applyFont="1" applyBorder="1" applyAlignment="1">
      <alignment horizontal="center"/>
    </xf>
    <xf numFmtId="1" fontId="6" fillId="25" borderId="13" xfId="0" applyNumberFormat="1" applyFont="1" applyFill="1" applyBorder="1"/>
    <xf numFmtId="1" fontId="6" fillId="25" borderId="14" xfId="0" applyNumberFormat="1" applyFont="1" applyFill="1" applyBorder="1"/>
    <xf numFmtId="1" fontId="6" fillId="25" borderId="20" xfId="0" applyNumberFormat="1" applyFont="1" applyFill="1" applyBorder="1"/>
    <xf numFmtId="1" fontId="6" fillId="25" borderId="11" xfId="0" applyNumberFormat="1" applyFont="1" applyFill="1" applyBorder="1"/>
    <xf numFmtId="1" fontId="6" fillId="25" borderId="0" xfId="0" applyNumberFormat="1" applyFont="1" applyFill="1" applyBorder="1"/>
    <xf numFmtId="1" fontId="6" fillId="25" borderId="21" xfId="0" applyNumberFormat="1" applyFont="1" applyFill="1" applyBorder="1"/>
    <xf numFmtId="1" fontId="6" fillId="25" borderId="15" xfId="0" applyNumberFormat="1" applyFont="1" applyFill="1" applyBorder="1"/>
    <xf numFmtId="1" fontId="6" fillId="25" borderId="16" xfId="0" applyNumberFormat="1" applyFont="1" applyFill="1" applyBorder="1"/>
    <xf numFmtId="1" fontId="6" fillId="25" borderId="22" xfId="0" applyNumberFormat="1" applyFont="1" applyFill="1" applyBorder="1"/>
    <xf numFmtId="1" fontId="5" fillId="0" borderId="23" xfId="0" applyNumberFormat="1" applyFont="1" applyBorder="1"/>
    <xf numFmtId="3" fontId="6" fillId="0" borderId="10" xfId="0" applyNumberFormat="1" applyFont="1" applyFill="1" applyBorder="1" applyAlignment="1">
      <alignment horizontal="center"/>
    </xf>
    <xf numFmtId="3" fontId="6" fillId="27" borderId="19" xfId="0" applyNumberFormat="1" applyFont="1" applyFill="1" applyBorder="1" applyAlignment="1">
      <alignment horizontal="center"/>
    </xf>
    <xf numFmtId="1" fontId="6" fillId="0" borderId="23" xfId="0" applyNumberFormat="1" applyFont="1" applyBorder="1"/>
    <xf numFmtId="0" fontId="6" fillId="0" borderId="23" xfId="0" applyFont="1" applyBorder="1"/>
    <xf numFmtId="0" fontId="6" fillId="25" borderId="14" xfId="0" applyFont="1" applyFill="1" applyBorder="1"/>
    <xf numFmtId="0" fontId="6" fillId="25" borderId="20" xfId="0" applyFont="1" applyFill="1" applyBorder="1"/>
    <xf numFmtId="0" fontId="6" fillId="25" borderId="0" xfId="0" applyFont="1" applyFill="1" applyBorder="1"/>
    <xf numFmtId="0" fontId="6" fillId="25" borderId="21" xfId="0" applyFont="1" applyFill="1" applyBorder="1"/>
    <xf numFmtId="0" fontId="6" fillId="25" borderId="16" xfId="0" applyFont="1" applyFill="1" applyBorder="1"/>
    <xf numFmtId="0" fontId="6" fillId="25" borderId="22" xfId="0" applyFont="1" applyFill="1" applyBorder="1"/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9" fontId="6" fillId="0" borderId="0" xfId="123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9" fontId="6" fillId="0" borderId="0" xfId="0" applyNumberFormat="1" applyFont="1" applyFill="1" applyBorder="1" applyAlignment="1">
      <alignment horizontal="center"/>
    </xf>
    <xf numFmtId="9" fontId="6" fillId="26" borderId="0" xfId="123" applyFont="1" applyFill="1" applyAlignment="1">
      <alignment horizontal="center"/>
    </xf>
    <xf numFmtId="167" fontId="5" fillId="26" borderId="0" xfId="0" applyNumberFormat="1" applyFont="1" applyFill="1" applyBorder="1" applyAlignment="1">
      <alignment horizontal="center"/>
    </xf>
    <xf numFmtId="1" fontId="6" fillId="27" borderId="10" xfId="0" applyNumberFormat="1" applyFont="1" applyFill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9" fontId="6" fillId="0" borderId="10" xfId="0" applyNumberFormat="1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1" fontId="6" fillId="25" borderId="13" xfId="0" applyNumberFormat="1" applyFont="1" applyFill="1" applyBorder="1" applyAlignment="1">
      <alignment horizontal="center"/>
    </xf>
    <xf numFmtId="1" fontId="6" fillId="25" borderId="14" xfId="0" applyNumberFormat="1" applyFont="1" applyFill="1" applyBorder="1" applyAlignment="1">
      <alignment horizontal="center"/>
    </xf>
    <xf numFmtId="1" fontId="6" fillId="25" borderId="20" xfId="0" applyNumberFormat="1" applyFont="1" applyFill="1" applyBorder="1" applyAlignment="1">
      <alignment horizontal="center"/>
    </xf>
    <xf numFmtId="1" fontId="6" fillId="25" borderId="15" xfId="0" applyNumberFormat="1" applyFont="1" applyFill="1" applyBorder="1" applyAlignment="1">
      <alignment horizontal="center"/>
    </xf>
    <xf numFmtId="1" fontId="6" fillId="25" borderId="16" xfId="0" applyNumberFormat="1" applyFont="1" applyFill="1" applyBorder="1" applyAlignment="1">
      <alignment horizontal="center"/>
    </xf>
    <xf numFmtId="1" fontId="6" fillId="25" borderId="22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25" borderId="18" xfId="0" applyFont="1" applyFill="1" applyBorder="1" applyAlignment="1">
      <alignment horizontal="center"/>
    </xf>
    <xf numFmtId="0" fontId="6" fillId="27" borderId="10" xfId="0" applyFont="1" applyFill="1" applyBorder="1"/>
    <xf numFmtId="0" fontId="6" fillId="25" borderId="23" xfId="0" applyFont="1" applyFill="1" applyBorder="1"/>
    <xf numFmtId="0" fontId="6" fillId="25" borderId="12" xfId="0" applyFont="1" applyFill="1" applyBorder="1"/>
    <xf numFmtId="1" fontId="4" fillId="26" borderId="0" xfId="0" applyNumberFormat="1" applyFont="1" applyFill="1" applyBorder="1"/>
    <xf numFmtId="0" fontId="3" fillId="26" borderId="0" xfId="0" applyFont="1" applyFill="1" applyBorder="1"/>
    <xf numFmtId="0" fontId="0" fillId="0" borderId="0" xfId="0" applyBorder="1"/>
    <xf numFmtId="0" fontId="4" fillId="24" borderId="13" xfId="0" applyFont="1" applyFill="1" applyBorder="1"/>
    <xf numFmtId="0" fontId="18" fillId="24" borderId="10" xfId="0" applyFont="1" applyFill="1" applyBorder="1"/>
    <xf numFmtId="0" fontId="19" fillId="25" borderId="10" xfId="0" applyFont="1" applyFill="1" applyBorder="1"/>
    <xf numFmtId="0" fontId="3" fillId="25" borderId="23" xfId="0" applyFont="1" applyFill="1" applyBorder="1"/>
    <xf numFmtId="0" fontId="4" fillId="24" borderId="18" xfId="0" applyFont="1" applyFill="1" applyBorder="1"/>
    <xf numFmtId="0" fontId="4" fillId="24" borderId="24" xfId="0" applyFont="1" applyFill="1" applyBorder="1"/>
    <xf numFmtId="0" fontId="4" fillId="24" borderId="23" xfId="0" applyFont="1" applyFill="1" applyBorder="1"/>
    <xf numFmtId="0" fontId="4" fillId="24" borderId="12" xfId="0" applyFont="1" applyFill="1" applyBorder="1"/>
    <xf numFmtId="0" fontId="4" fillId="24" borderId="20" xfId="0" applyFont="1" applyFill="1" applyBorder="1"/>
    <xf numFmtId="0" fontId="4" fillId="25" borderId="24" xfId="0" applyFont="1" applyFill="1" applyBorder="1"/>
    <xf numFmtId="166" fontId="6" fillId="26" borderId="0" xfId="0" applyNumberFormat="1" applyFont="1" applyFill="1" applyBorder="1" applyAlignment="1">
      <alignment horizontal="left"/>
    </xf>
    <xf numFmtId="166" fontId="5" fillId="26" borderId="0" xfId="0" applyNumberFormat="1" applyFont="1" applyFill="1" applyBorder="1" applyAlignment="1">
      <alignment horizontal="left"/>
    </xf>
    <xf numFmtId="0" fontId="33" fillId="26" borderId="0" xfId="94" applyFont="1" applyFill="1" applyBorder="1" applyAlignment="1" applyProtection="1"/>
    <xf numFmtId="0" fontId="9" fillId="26" borderId="16" xfId="0" applyFont="1" applyFill="1" applyBorder="1" applyAlignment="1">
      <alignment horizontal="center"/>
    </xf>
    <xf numFmtId="0" fontId="6" fillId="26" borderId="16" xfId="79" applyFont="1" applyFill="1" applyBorder="1" applyAlignment="1">
      <alignment horizontal="center"/>
    </xf>
    <xf numFmtId="0" fontId="3" fillId="25" borderId="25" xfId="0" applyFont="1" applyFill="1" applyBorder="1"/>
    <xf numFmtId="0" fontId="18" fillId="24" borderId="18" xfId="0" applyFont="1" applyFill="1" applyBorder="1"/>
    <xf numFmtId="0" fontId="2" fillId="26" borderId="14" xfId="94" applyFill="1" applyBorder="1" applyAlignment="1" applyProtection="1"/>
    <xf numFmtId="2" fontId="9" fillId="26" borderId="16" xfId="0" applyNumberFormat="1" applyFont="1" applyFill="1" applyBorder="1" applyAlignment="1">
      <alignment horizontal="center"/>
    </xf>
    <xf numFmtId="0" fontId="3" fillId="26" borderId="18" xfId="0" applyFont="1" applyFill="1" applyBorder="1" applyAlignment="1">
      <alignment horizontal="center"/>
    </xf>
    <xf numFmtId="0" fontId="8" fillId="26" borderId="23" xfId="0" applyFont="1" applyFill="1" applyBorder="1" applyAlignment="1">
      <alignment horizontal="center"/>
    </xf>
    <xf numFmtId="0" fontId="8" fillId="26" borderId="12" xfId="0" applyFont="1" applyFill="1" applyBorder="1" applyAlignment="1">
      <alignment horizontal="center"/>
    </xf>
    <xf numFmtId="0" fontId="4" fillId="26" borderId="11" xfId="0" applyFont="1" applyFill="1" applyBorder="1"/>
    <xf numFmtId="0" fontId="4" fillId="26" borderId="19" xfId="0" applyFont="1" applyFill="1" applyBorder="1"/>
    <xf numFmtId="10" fontId="4" fillId="26" borderId="19" xfId="0" applyNumberFormat="1" applyFont="1" applyFill="1" applyBorder="1"/>
    <xf numFmtId="0" fontId="35" fillId="28" borderId="12" xfId="0" applyFont="1" applyFill="1" applyBorder="1"/>
    <xf numFmtId="0" fontId="34" fillId="28" borderId="15" xfId="0" applyFont="1" applyFill="1" applyBorder="1"/>
    <xf numFmtId="0" fontId="5" fillId="26" borderId="18" xfId="0" applyFont="1" applyFill="1" applyBorder="1" applyAlignment="1">
      <alignment horizontal="center"/>
    </xf>
    <xf numFmtId="0" fontId="5" fillId="26" borderId="14" xfId="0" applyFont="1" applyFill="1" applyBorder="1" applyAlignment="1">
      <alignment horizontal="center"/>
    </xf>
    <xf numFmtId="0" fontId="9" fillId="26" borderId="12" xfId="0" applyFont="1" applyFill="1" applyBorder="1" applyAlignment="1">
      <alignment horizontal="center"/>
    </xf>
    <xf numFmtId="0" fontId="0" fillId="26" borderId="23" xfId="0" applyFill="1" applyBorder="1"/>
    <xf numFmtId="0" fontId="6" fillId="26" borderId="24" xfId="0" applyFont="1" applyFill="1" applyBorder="1"/>
    <xf numFmtId="0" fontId="0" fillId="26" borderId="24" xfId="0" applyFill="1" applyBorder="1"/>
    <xf numFmtId="0" fontId="0" fillId="26" borderId="12" xfId="0" applyFill="1" applyBorder="1"/>
    <xf numFmtId="0" fontId="0" fillId="26" borderId="18" xfId="0" applyFill="1" applyBorder="1"/>
    <xf numFmtId="0" fontId="6" fillId="26" borderId="20" xfId="0" applyFont="1" applyFill="1" applyBorder="1"/>
    <xf numFmtId="3" fontId="35" fillId="28" borderId="10" xfId="0" applyNumberFormat="1" applyFont="1" applyFill="1" applyBorder="1" applyAlignment="1">
      <alignment horizontal="center"/>
    </xf>
    <xf numFmtId="3" fontId="35" fillId="28" borderId="22" xfId="0" applyNumberFormat="1" applyFont="1" applyFill="1" applyBorder="1" applyAlignment="1">
      <alignment horizontal="center"/>
    </xf>
    <xf numFmtId="3" fontId="35" fillId="28" borderId="12" xfId="0" applyNumberFormat="1" applyFont="1" applyFill="1" applyBorder="1" applyAlignment="1">
      <alignment horizontal="center"/>
    </xf>
    <xf numFmtId="3" fontId="4" fillId="26" borderId="10" xfId="0" applyNumberFormat="1" applyFont="1" applyFill="1" applyBorder="1" applyAlignment="1">
      <alignment horizontal="center"/>
    </xf>
    <xf numFmtId="3" fontId="4" fillId="26" borderId="24" xfId="0" applyNumberFormat="1" applyFont="1" applyFill="1" applyBorder="1" applyAlignment="1">
      <alignment horizontal="center"/>
    </xf>
    <xf numFmtId="3" fontId="4" fillId="26" borderId="17" xfId="0" applyNumberFormat="1" applyFont="1" applyFill="1" applyBorder="1" applyAlignment="1">
      <alignment horizontal="center"/>
    </xf>
    <xf numFmtId="3" fontId="0" fillId="26" borderId="10" xfId="0" applyNumberFormat="1" applyFill="1" applyBorder="1" applyAlignment="1">
      <alignment horizontal="center"/>
    </xf>
    <xf numFmtId="3" fontId="6" fillId="26" borderId="10" xfId="0" applyNumberFormat="1" applyFont="1" applyFill="1" applyBorder="1" applyAlignment="1">
      <alignment horizontal="center"/>
    </xf>
    <xf numFmtId="3" fontId="6" fillId="26" borderId="18" xfId="0" applyNumberFormat="1" applyFont="1" applyFill="1" applyBorder="1" applyAlignment="1">
      <alignment horizontal="center"/>
    </xf>
    <xf numFmtId="3" fontId="0" fillId="26" borderId="18" xfId="0" applyNumberFormat="1" applyFill="1" applyBorder="1" applyAlignment="1">
      <alignment horizontal="center"/>
    </xf>
    <xf numFmtId="3" fontId="4" fillId="26" borderId="26" xfId="0" applyNumberFormat="1" applyFont="1" applyFill="1" applyBorder="1"/>
    <xf numFmtId="3" fontId="4" fillId="26" borderId="27" xfId="0" applyNumberFormat="1" applyFont="1" applyFill="1" applyBorder="1"/>
    <xf numFmtId="3" fontId="4" fillId="26" borderId="28" xfId="0" applyNumberFormat="1" applyFont="1" applyFill="1" applyBorder="1"/>
    <xf numFmtId="3" fontId="4" fillId="26" borderId="28" xfId="0" applyNumberFormat="1" applyFont="1" applyFill="1" applyBorder="1" applyAlignment="1">
      <alignment vertical="top" wrapText="1"/>
    </xf>
    <xf numFmtId="3" fontId="4" fillId="26" borderId="29" xfId="0" applyNumberFormat="1" applyFont="1" applyFill="1" applyBorder="1"/>
    <xf numFmtId="3" fontId="6" fillId="30" borderId="0" xfId="79" applyNumberFormat="1" applyFont="1" applyAlignment="1">
      <alignment horizontal="center"/>
    </xf>
    <xf numFmtId="0" fontId="2" fillId="26" borderId="0" xfId="94" applyFont="1" applyFill="1" applyBorder="1" applyAlignment="1" applyProtection="1"/>
    <xf numFmtId="165" fontId="6" fillId="27" borderId="0" xfId="79" applyNumberFormat="1" applyFont="1" applyFill="1" applyBorder="1" applyAlignment="1">
      <alignment horizontal="center"/>
    </xf>
    <xf numFmtId="165" fontId="6" fillId="30" borderId="0" xfId="79" applyNumberFormat="1" applyFont="1" applyBorder="1" applyAlignment="1">
      <alignment horizontal="center"/>
    </xf>
    <xf numFmtId="165" fontId="6" fillId="30" borderId="16" xfId="79" applyNumberFormat="1" applyFont="1" applyBorder="1" applyAlignment="1">
      <alignment horizontal="center"/>
    </xf>
    <xf numFmtId="9" fontId="33" fillId="26" borderId="0" xfId="94" applyNumberFormat="1" applyFont="1" applyFill="1" applyBorder="1" applyAlignment="1" applyProtection="1"/>
    <xf numFmtId="0" fontId="6" fillId="26" borderId="0" xfId="79" applyFont="1" applyFill="1" applyBorder="1" applyAlignment="1">
      <alignment horizontal="center"/>
    </xf>
    <xf numFmtId="9" fontId="33" fillId="26" borderId="16" xfId="94" applyNumberFormat="1" applyFont="1" applyFill="1" applyBorder="1" applyAlignment="1" applyProtection="1"/>
    <xf numFmtId="3" fontId="4" fillId="0" borderId="0" xfId="0" applyNumberFormat="1" applyFont="1"/>
    <xf numFmtId="3" fontId="46" fillId="0" borderId="0" xfId="0" applyNumberFormat="1" applyFont="1"/>
    <xf numFmtId="0" fontId="47" fillId="0" borderId="0" xfId="0" applyFont="1"/>
    <xf numFmtId="2" fontId="35" fillId="28" borderId="12" xfId="0" applyNumberFormat="1" applyFont="1" applyFill="1" applyBorder="1" applyAlignment="1">
      <alignment horizontal="center"/>
    </xf>
    <xf numFmtId="2" fontId="4" fillId="26" borderId="10" xfId="87" applyNumberFormat="1" applyFont="1" applyFill="1" applyBorder="1" applyAlignment="1">
      <alignment horizontal="center"/>
    </xf>
    <xf numFmtId="2" fontId="4" fillId="26" borderId="10" xfId="0" applyNumberFormat="1" applyFont="1" applyFill="1" applyBorder="1" applyAlignment="1">
      <alignment horizontal="center"/>
    </xf>
    <xf numFmtId="0" fontId="0" fillId="26" borderId="0" xfId="0" applyFill="1"/>
    <xf numFmtId="0" fontId="0" fillId="26" borderId="0" xfId="0" applyFill="1" applyAlignment="1">
      <alignment horizontal="center"/>
    </xf>
    <xf numFmtId="0" fontId="6" fillId="26" borderId="0" xfId="0" applyFont="1" applyFill="1" applyAlignment="1">
      <alignment horizontal="left"/>
    </xf>
    <xf numFmtId="0" fontId="17" fillId="26" borderId="10" xfId="0" applyFont="1" applyFill="1" applyBorder="1" applyAlignment="1"/>
    <xf numFmtId="0" fontId="10" fillId="26" borderId="10" xfId="0" applyFont="1" applyFill="1" applyBorder="1" applyAlignment="1"/>
    <xf numFmtId="0" fontId="3" fillId="26" borderId="10" xfId="0" applyFont="1" applyFill="1" applyBorder="1" applyAlignment="1">
      <alignment horizontal="center"/>
    </xf>
    <xf numFmtId="0" fontId="35" fillId="28" borderId="10" xfId="0" applyFont="1" applyFill="1" applyBorder="1"/>
    <xf numFmtId="0" fontId="34" fillId="28" borderId="10" xfId="0" applyFont="1" applyFill="1" applyBorder="1"/>
    <xf numFmtId="1" fontId="35" fillId="28" borderId="10" xfId="0" applyNumberFormat="1" applyFont="1" applyFill="1" applyBorder="1" applyAlignment="1">
      <alignment horizontal="center"/>
    </xf>
    <xf numFmtId="9" fontId="35" fillId="28" borderId="10" xfId="123" applyNumberFormat="1" applyFont="1" applyFill="1" applyBorder="1" applyAlignment="1">
      <alignment horizontal="center"/>
    </xf>
    <xf numFmtId="0" fontId="4" fillId="26" borderId="10" xfId="0" applyFont="1" applyFill="1" applyBorder="1"/>
    <xf numFmtId="10" fontId="4" fillId="26" borderId="10" xfId="0" applyNumberFormat="1" applyFont="1" applyFill="1" applyBorder="1"/>
    <xf numFmtId="1" fontId="4" fillId="26" borderId="10" xfId="0" applyNumberFormat="1" applyFont="1" applyFill="1" applyBorder="1" applyAlignment="1">
      <alignment horizontal="center"/>
    </xf>
    <xf numFmtId="0" fontId="4" fillId="26" borderId="13" xfId="0" applyFont="1" applyFill="1" applyBorder="1"/>
    <xf numFmtId="0" fontId="35" fillId="28" borderId="19" xfId="0" applyFont="1" applyFill="1" applyBorder="1"/>
    <xf numFmtId="0" fontId="34" fillId="28" borderId="17" xfId="0" applyFont="1" applyFill="1" applyBorder="1"/>
    <xf numFmtId="0" fontId="35" fillId="26" borderId="0" xfId="0" applyFont="1" applyFill="1" applyBorder="1"/>
    <xf numFmtId="0" fontId="34" fillId="26" borderId="0" xfId="0" applyFont="1" applyFill="1" applyBorder="1"/>
    <xf numFmtId="1" fontId="35" fillId="26" borderId="0" xfId="0" applyNumberFormat="1" applyFont="1" applyFill="1" applyBorder="1" applyAlignment="1">
      <alignment horizontal="center"/>
    </xf>
    <xf numFmtId="9" fontId="35" fillId="26" borderId="0" xfId="123" applyNumberFormat="1" applyFont="1" applyFill="1" applyBorder="1" applyAlignment="1">
      <alignment horizontal="center"/>
    </xf>
    <xf numFmtId="0" fontId="0" fillId="26" borderId="0" xfId="0" applyFill="1" applyBorder="1"/>
    <xf numFmtId="0" fontId="10" fillId="26" borderId="0" xfId="0" applyFont="1" applyFill="1" applyBorder="1"/>
    <xf numFmtId="0" fontId="0" fillId="26" borderId="0" xfId="0" applyFill="1" applyBorder="1" applyAlignment="1">
      <alignment horizontal="center"/>
    </xf>
    <xf numFmtId="0" fontId="17" fillId="0" borderId="0" xfId="0" applyFont="1" applyBorder="1"/>
    <xf numFmtId="0" fontId="17" fillId="26" borderId="13" xfId="0" applyFont="1" applyFill="1" applyBorder="1"/>
    <xf numFmtId="0" fontId="5" fillId="26" borderId="10" xfId="0" applyFont="1" applyFill="1" applyBorder="1" applyAlignment="1">
      <alignment horizontal="center"/>
    </xf>
    <xf numFmtId="0" fontId="4" fillId="26" borderId="24" xfId="0" applyFont="1" applyFill="1" applyBorder="1"/>
    <xf numFmtId="0" fontId="0" fillId="0" borderId="10" xfId="0" applyBorder="1" applyAlignment="1">
      <alignment horizontal="center"/>
    </xf>
    <xf numFmtId="0" fontId="4" fillId="26" borderId="15" xfId="0" applyFont="1" applyFill="1" applyBorder="1"/>
    <xf numFmtId="0" fontId="4" fillId="26" borderId="20" xfId="0" applyFont="1" applyFill="1" applyBorder="1"/>
    <xf numFmtId="0" fontId="35" fillId="28" borderId="15" xfId="0" applyFont="1" applyFill="1" applyBorder="1"/>
    <xf numFmtId="1" fontId="0" fillId="26" borderId="0" xfId="0" applyNumberFormat="1" applyFill="1" applyBorder="1" applyAlignment="1">
      <alignment horizontal="center"/>
    </xf>
    <xf numFmtId="9" fontId="1" fillId="26" borderId="0" xfId="123" applyFont="1" applyFill="1" applyBorder="1" applyAlignment="1">
      <alignment horizontal="center"/>
    </xf>
    <xf numFmtId="0" fontId="17" fillId="26" borderId="19" xfId="0" applyFont="1" applyFill="1" applyBorder="1"/>
    <xf numFmtId="0" fontId="34" fillId="28" borderId="12" xfId="0" applyFont="1" applyFill="1" applyBorder="1"/>
    <xf numFmtId="0" fontId="4" fillId="26" borderId="18" xfId="0" applyFont="1" applyFill="1" applyBorder="1"/>
    <xf numFmtId="0" fontId="4" fillId="26" borderId="23" xfId="0" applyFont="1" applyFill="1" applyBorder="1"/>
    <xf numFmtId="0" fontId="4" fillId="26" borderId="12" xfId="0" applyFont="1" applyFill="1" applyBorder="1"/>
    <xf numFmtId="2" fontId="0" fillId="0" borderId="10" xfId="0" applyNumberFormat="1" applyBorder="1" applyAlignment="1">
      <alignment horizontal="center"/>
    </xf>
    <xf numFmtId="3" fontId="35" fillId="28" borderId="0" xfId="0" applyNumberFormat="1" applyFont="1" applyFill="1" applyAlignment="1">
      <alignment horizontal="center"/>
    </xf>
    <xf numFmtId="3" fontId="0" fillId="0" borderId="10" xfId="0" applyNumberFormat="1" applyBorder="1" applyAlignment="1">
      <alignment horizontal="center"/>
    </xf>
    <xf numFmtId="3" fontId="6" fillId="0" borderId="0" xfId="0" applyNumberFormat="1" applyFont="1"/>
    <xf numFmtId="4" fontId="4" fillId="26" borderId="24" xfId="0" applyNumberFormat="1" applyFont="1" applyFill="1" applyBorder="1" applyAlignment="1">
      <alignment horizontal="center"/>
    </xf>
    <xf numFmtId="1" fontId="35" fillId="28" borderId="10" xfId="109" applyNumberFormat="1" applyFont="1" applyFill="1" applyBorder="1" applyAlignment="1">
      <alignment horizontal="center"/>
    </xf>
    <xf numFmtId="0" fontId="5" fillId="26" borderId="10" xfId="109" applyFont="1" applyFill="1" applyBorder="1" applyAlignment="1">
      <alignment horizontal="center"/>
    </xf>
    <xf numFmtId="0" fontId="6" fillId="0" borderId="10" xfId="109" applyBorder="1" applyAlignment="1">
      <alignment horizontal="center"/>
    </xf>
    <xf numFmtId="2" fontId="6" fillId="0" borderId="10" xfId="109" applyNumberFormat="1" applyBorder="1" applyAlignment="1">
      <alignment horizontal="center"/>
    </xf>
    <xf numFmtId="3" fontId="35" fillId="28" borderId="22" xfId="109" applyNumberFormat="1" applyFont="1" applyFill="1" applyBorder="1" applyAlignment="1">
      <alignment horizontal="center"/>
    </xf>
    <xf numFmtId="1" fontId="4" fillId="26" borderId="10" xfId="109" applyNumberFormat="1" applyFont="1" applyFill="1" applyBorder="1" applyAlignment="1">
      <alignment horizontal="center"/>
    </xf>
    <xf numFmtId="0" fontId="3" fillId="31" borderId="0" xfId="0" applyFont="1" applyFill="1"/>
    <xf numFmtId="0" fontId="7" fillId="32" borderId="0" xfId="0" applyFont="1" applyFill="1" applyBorder="1" applyAlignment="1">
      <alignment vertical="top"/>
    </xf>
    <xf numFmtId="0" fontId="7" fillId="0" borderId="0" xfId="0" applyFont="1" applyBorder="1" applyAlignment="1">
      <alignment vertical="top"/>
    </xf>
    <xf numFmtId="1" fontId="7" fillId="0" borderId="0" xfId="0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center" vertical="top"/>
    </xf>
    <xf numFmtId="3" fontId="7" fillId="0" borderId="0" xfId="0" applyNumberFormat="1" applyFont="1" applyBorder="1" applyAlignment="1">
      <alignment horizontal="right" vertical="top"/>
    </xf>
    <xf numFmtId="3" fontId="7" fillId="0" borderId="0" xfId="0" applyNumberFormat="1" applyFont="1" applyFill="1" applyBorder="1" applyAlignment="1">
      <alignment horizontal="center" vertical="top"/>
    </xf>
    <xf numFmtId="3" fontId="7" fillId="0" borderId="0" xfId="0" applyNumberFormat="1" applyFont="1" applyBorder="1" applyAlignment="1">
      <alignment horizontal="center" vertical="top"/>
    </xf>
    <xf numFmtId="9" fontId="7" fillId="0" borderId="0" xfId="0" applyNumberFormat="1" applyFont="1" applyFill="1" applyBorder="1" applyAlignment="1">
      <alignment horizontal="right" vertical="top"/>
    </xf>
    <xf numFmtId="164" fontId="7" fillId="0" borderId="0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vertical="top"/>
    </xf>
    <xf numFmtId="3" fontId="7" fillId="0" borderId="0" xfId="0" applyNumberFormat="1" applyFont="1" applyBorder="1" applyAlignment="1">
      <alignment horizontal="left" vertical="top"/>
    </xf>
    <xf numFmtId="3" fontId="7" fillId="0" borderId="0" xfId="0" applyNumberFormat="1" applyFont="1" applyFill="1" applyBorder="1" applyAlignment="1">
      <alignment horizontal="left" vertical="top"/>
    </xf>
    <xf numFmtId="49" fontId="67" fillId="0" borderId="0" xfId="0" applyNumberFormat="1" applyFont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0" fontId="60" fillId="0" borderId="10" xfId="0" applyFont="1" applyBorder="1" applyAlignment="1">
      <alignment horizontal="left" vertical="top"/>
    </xf>
    <xf numFmtId="0" fontId="60" fillId="0" borderId="10" xfId="0" applyFont="1" applyBorder="1" applyAlignment="1">
      <alignment horizontal="center" vertical="top"/>
    </xf>
    <xf numFmtId="1" fontId="60" fillId="0" borderId="10" xfId="0" applyNumberFormat="1" applyFont="1" applyBorder="1" applyAlignment="1">
      <alignment horizontal="center" vertical="top"/>
    </xf>
    <xf numFmtId="1" fontId="60" fillId="0" borderId="10" xfId="0" applyNumberFormat="1" applyFont="1" applyBorder="1" applyAlignment="1">
      <alignment horizontal="right" vertical="top"/>
    </xf>
    <xf numFmtId="3" fontId="60" fillId="0" borderId="10" xfId="0" applyNumberFormat="1" applyFont="1" applyBorder="1" applyAlignment="1">
      <alignment horizontal="center" vertical="top"/>
    </xf>
    <xf numFmtId="3" fontId="60" fillId="0" borderId="10" xfId="0" applyNumberFormat="1" applyFont="1" applyFill="1" applyBorder="1" applyAlignment="1">
      <alignment horizontal="center" vertical="top"/>
    </xf>
    <xf numFmtId="9" fontId="60" fillId="0" borderId="10" xfId="0" applyNumberFormat="1" applyFont="1" applyFill="1" applyBorder="1" applyAlignment="1">
      <alignment horizontal="right" vertical="top" wrapText="1"/>
    </xf>
    <xf numFmtId="0" fontId="60" fillId="0" borderId="10" xfId="0" applyNumberFormat="1" applyFont="1" applyFill="1" applyBorder="1" applyAlignment="1">
      <alignment horizontal="left" vertical="top" wrapText="1"/>
    </xf>
    <xf numFmtId="164" fontId="60" fillId="0" borderId="10" xfId="0" applyNumberFormat="1" applyFont="1" applyFill="1" applyBorder="1" applyAlignment="1">
      <alignment horizontal="center" vertical="top" wrapText="1"/>
    </xf>
    <xf numFmtId="49" fontId="60" fillId="0" borderId="10" xfId="0" applyNumberFormat="1" applyFont="1" applyFill="1" applyBorder="1" applyAlignment="1">
      <alignment vertical="top"/>
    </xf>
    <xf numFmtId="164" fontId="60" fillId="0" borderId="10" xfId="0" applyNumberFormat="1" applyFont="1" applyBorder="1" applyAlignment="1">
      <alignment horizontal="left" vertical="top"/>
    </xf>
    <xf numFmtId="164" fontId="60" fillId="0" borderId="10" xfId="0" applyNumberFormat="1" applyFont="1" applyBorder="1" applyAlignment="1">
      <alignment horizontal="right" vertical="top" wrapText="1"/>
    </xf>
    <xf numFmtId="3" fontId="60" fillId="0" borderId="10" xfId="0" applyNumberFormat="1" applyFont="1" applyFill="1" applyBorder="1" applyAlignment="1">
      <alignment horizontal="center" vertical="top" wrapText="1"/>
    </xf>
    <xf numFmtId="3" fontId="60" fillId="0" borderId="10" xfId="0" applyNumberFormat="1" applyFont="1" applyFill="1" applyBorder="1" applyAlignment="1">
      <alignment vertical="top"/>
    </xf>
    <xf numFmtId="3" fontId="60" fillId="0" borderId="10" xfId="0" applyNumberFormat="1" applyFont="1" applyBorder="1" applyAlignment="1">
      <alignment horizontal="center" vertical="top" wrapText="1"/>
    </xf>
    <xf numFmtId="49" fontId="68" fillId="0" borderId="10" xfId="0" applyNumberFormat="1" applyFont="1" applyBorder="1" applyAlignment="1">
      <alignment horizontal="center" vertical="top"/>
    </xf>
    <xf numFmtId="49" fontId="68" fillId="0" borderId="10" xfId="0" applyNumberFormat="1" applyFont="1" applyFill="1" applyBorder="1" applyAlignment="1">
      <alignment horizontal="center" vertical="top"/>
    </xf>
    <xf numFmtId="49" fontId="60" fillId="0" borderId="10" xfId="0" applyNumberFormat="1" applyFont="1" applyFill="1" applyBorder="1" applyAlignment="1">
      <alignment horizontal="center" vertical="top" wrapText="1"/>
    </xf>
    <xf numFmtId="0" fontId="61" fillId="0" borderId="10" xfId="0" applyFont="1" applyBorder="1" applyAlignment="1">
      <alignment horizontal="center" vertical="top"/>
    </xf>
    <xf numFmtId="1" fontId="61" fillId="0" borderId="10" xfId="0" applyNumberFormat="1" applyFont="1" applyBorder="1" applyAlignment="1">
      <alignment horizontal="right" vertical="top"/>
    </xf>
    <xf numFmtId="3" fontId="61" fillId="0" borderId="10" xfId="0" applyNumberFormat="1" applyFont="1" applyBorder="1" applyAlignment="1">
      <alignment horizontal="right" vertical="top"/>
    </xf>
    <xf numFmtId="3" fontId="61" fillId="0" borderId="10" xfId="0" applyNumberFormat="1" applyFont="1" applyFill="1" applyBorder="1" applyAlignment="1">
      <alignment horizontal="center" vertical="top"/>
    </xf>
    <xf numFmtId="3" fontId="61" fillId="0" borderId="10" xfId="0" applyNumberFormat="1" applyFont="1" applyBorder="1" applyAlignment="1">
      <alignment horizontal="center" vertical="top"/>
    </xf>
    <xf numFmtId="9" fontId="61" fillId="0" borderId="10" xfId="0" applyNumberFormat="1" applyFont="1" applyFill="1" applyBorder="1" applyAlignment="1">
      <alignment horizontal="right" vertical="top"/>
    </xf>
    <xf numFmtId="164" fontId="61" fillId="0" borderId="10" xfId="0" applyNumberFormat="1" applyFont="1" applyFill="1" applyBorder="1" applyAlignment="1">
      <alignment horizontal="center" vertical="top"/>
    </xf>
    <xf numFmtId="49" fontId="61" fillId="0" borderId="10" xfId="0" applyNumberFormat="1" applyFont="1" applyFill="1" applyBorder="1" applyAlignment="1">
      <alignment vertical="top"/>
    </xf>
    <xf numFmtId="164" fontId="61" fillId="0" borderId="10" xfId="0" applyNumberFormat="1" applyFont="1" applyBorder="1" applyAlignment="1">
      <alignment horizontal="left" vertical="top"/>
    </xf>
    <xf numFmtId="164" fontId="61" fillId="0" borderId="10" xfId="0" applyNumberFormat="1" applyFont="1" applyBorder="1" applyAlignment="1">
      <alignment horizontal="right" vertical="top"/>
    </xf>
    <xf numFmtId="3" fontId="61" fillId="0" borderId="10" xfId="0" applyNumberFormat="1" applyFont="1" applyFill="1" applyBorder="1" applyAlignment="1">
      <alignment vertical="top"/>
    </xf>
    <xf numFmtId="49" fontId="69" fillId="0" borderId="10" xfId="0" applyNumberFormat="1" applyFont="1" applyBorder="1" applyAlignment="1">
      <alignment horizontal="center" vertical="top"/>
    </xf>
    <xf numFmtId="49" fontId="69" fillId="0" borderId="10" xfId="0" applyNumberFormat="1" applyFont="1" applyFill="1" applyBorder="1" applyAlignment="1">
      <alignment horizontal="center" vertical="top"/>
    </xf>
    <xf numFmtId="0" fontId="61" fillId="0" borderId="0" xfId="0" applyFont="1" applyFill="1" applyBorder="1" applyAlignment="1">
      <alignment vertical="top"/>
    </xf>
    <xf numFmtId="0" fontId="62" fillId="33" borderId="10" xfId="0" applyFont="1" applyFill="1" applyBorder="1" applyAlignment="1">
      <alignment vertical="top"/>
    </xf>
    <xf numFmtId="0" fontId="7" fillId="33" borderId="10" xfId="0" applyFont="1" applyFill="1" applyBorder="1" applyAlignment="1">
      <alignment vertical="top"/>
    </xf>
    <xf numFmtId="1" fontId="7" fillId="33" borderId="10" xfId="0" applyNumberFormat="1" applyFont="1" applyFill="1" applyBorder="1" applyAlignment="1">
      <alignment horizontal="right" vertical="top"/>
    </xf>
    <xf numFmtId="0" fontId="7" fillId="33" borderId="10" xfId="0" applyFont="1" applyFill="1" applyBorder="1" applyAlignment="1">
      <alignment horizontal="center" vertical="top"/>
    </xf>
    <xf numFmtId="1" fontId="70" fillId="33" borderId="10" xfId="0" applyNumberFormat="1" applyFont="1" applyFill="1" applyBorder="1" applyAlignment="1">
      <alignment horizontal="right" vertical="top"/>
    </xf>
    <xf numFmtId="3" fontId="70" fillId="33" borderId="10" xfId="0" applyNumberFormat="1" applyFont="1" applyFill="1" applyBorder="1" applyAlignment="1">
      <alignment horizontal="right" vertical="top"/>
    </xf>
    <xf numFmtId="0" fontId="60" fillId="34" borderId="10" xfId="0" applyFont="1" applyFill="1" applyBorder="1" applyAlignment="1">
      <alignment vertical="top"/>
    </xf>
    <xf numFmtId="1" fontId="60" fillId="34" borderId="10" xfId="0" applyNumberFormat="1" applyFont="1" applyFill="1" applyBorder="1" applyAlignment="1">
      <alignment horizontal="right" vertical="top"/>
    </xf>
    <xf numFmtId="0" fontId="60" fillId="34" borderId="10" xfId="0" applyFont="1" applyFill="1" applyBorder="1" applyAlignment="1">
      <alignment horizontal="center" vertical="top"/>
    </xf>
    <xf numFmtId="3" fontId="60" fillId="34" borderId="10" xfId="0" applyNumberFormat="1" applyFont="1" applyFill="1" applyBorder="1" applyAlignment="1">
      <alignment vertical="top"/>
    </xf>
    <xf numFmtId="9" fontId="7" fillId="34" borderId="10" xfId="0" applyNumberFormat="1" applyFont="1" applyFill="1" applyBorder="1" applyAlignment="1">
      <alignment horizontal="right" vertical="top"/>
    </xf>
    <xf numFmtId="0" fontId="63" fillId="34" borderId="10" xfId="0" applyNumberFormat="1" applyFont="1" applyFill="1" applyBorder="1" applyAlignment="1">
      <alignment horizontal="left" vertical="top"/>
    </xf>
    <xf numFmtId="49" fontId="60" fillId="34" borderId="10" xfId="0" applyNumberFormat="1" applyFont="1" applyFill="1" applyBorder="1" applyAlignment="1">
      <alignment vertical="top"/>
    </xf>
    <xf numFmtId="3" fontId="60" fillId="34" borderId="10" xfId="0" applyNumberFormat="1" applyFont="1" applyFill="1" applyBorder="1" applyAlignment="1">
      <alignment horizontal="left" vertical="top"/>
    </xf>
    <xf numFmtId="168" fontId="60" fillId="34" borderId="10" xfId="0" applyNumberFormat="1" applyFont="1" applyFill="1" applyBorder="1" applyAlignment="1">
      <alignment horizontal="right" vertical="top"/>
    </xf>
    <xf numFmtId="3" fontId="60" fillId="34" borderId="10" xfId="0" applyNumberFormat="1" applyFont="1" applyFill="1" applyBorder="1" applyAlignment="1">
      <alignment horizontal="right" vertical="top"/>
    </xf>
    <xf numFmtId="49" fontId="68" fillId="34" borderId="10" xfId="0" applyNumberFormat="1" applyFont="1" applyFill="1" applyBorder="1" applyAlignment="1">
      <alignment horizontal="center" vertical="top"/>
    </xf>
    <xf numFmtId="0" fontId="60" fillId="0" borderId="0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horizontal="right" vertical="top"/>
    </xf>
    <xf numFmtId="0" fontId="7" fillId="0" borderId="10" xfId="0" applyFont="1" applyFill="1" applyBorder="1" applyAlignment="1">
      <alignment horizontal="center" vertical="top"/>
    </xf>
    <xf numFmtId="1" fontId="7" fillId="0" borderId="10" xfId="0" applyNumberFormat="1" applyFont="1" applyFill="1" applyBorder="1" applyAlignment="1">
      <alignment horizontal="right" vertical="top" wrapText="1"/>
    </xf>
    <xf numFmtId="3" fontId="7" fillId="0" borderId="10" xfId="0" applyNumberFormat="1" applyFont="1" applyFill="1" applyBorder="1" applyAlignment="1">
      <alignment horizontal="right" vertical="top" wrapText="1"/>
    </xf>
    <xf numFmtId="9" fontId="7" fillId="0" borderId="10" xfId="0" applyNumberFormat="1" applyFont="1" applyFill="1" applyBorder="1" applyAlignment="1">
      <alignment horizontal="right" vertical="top"/>
    </xf>
    <xf numFmtId="3" fontId="7" fillId="0" borderId="10" xfId="0" applyNumberFormat="1" applyFont="1" applyFill="1" applyBorder="1" applyAlignment="1">
      <alignment vertical="top"/>
    </xf>
    <xf numFmtId="164" fontId="7" fillId="0" borderId="10" xfId="0" applyNumberFormat="1" applyFont="1" applyFill="1" applyBorder="1" applyAlignment="1">
      <alignment horizontal="right" vertical="top"/>
    </xf>
    <xf numFmtId="49" fontId="7" fillId="0" borderId="10" xfId="0" applyNumberFormat="1" applyFont="1" applyFill="1" applyBorder="1" applyAlignment="1">
      <alignment vertical="top"/>
    </xf>
    <xf numFmtId="164" fontId="7" fillId="0" borderId="10" xfId="0" applyNumberFormat="1" applyFont="1" applyFill="1" applyBorder="1" applyAlignment="1">
      <alignment horizontal="left" vertical="top"/>
    </xf>
    <xf numFmtId="168" fontId="7" fillId="0" borderId="10" xfId="0" applyNumberFormat="1" applyFont="1" applyFill="1" applyBorder="1" applyAlignment="1">
      <alignment horizontal="right" vertical="top"/>
    </xf>
    <xf numFmtId="3" fontId="60" fillId="0" borderId="10" xfId="0" applyNumberFormat="1" applyFont="1" applyFill="1" applyBorder="1" applyAlignment="1">
      <alignment horizontal="left" vertical="top"/>
    </xf>
    <xf numFmtId="168" fontId="60" fillId="0" borderId="10" xfId="0" applyNumberFormat="1" applyFont="1" applyFill="1" applyBorder="1" applyAlignment="1">
      <alignment horizontal="center" vertical="top"/>
    </xf>
    <xf numFmtId="164" fontId="60" fillId="0" borderId="10" xfId="0" applyNumberFormat="1" applyFont="1" applyFill="1" applyBorder="1" applyAlignment="1">
      <alignment horizontal="right" vertical="top"/>
    </xf>
    <xf numFmtId="3" fontId="60" fillId="0" borderId="10" xfId="0" applyNumberFormat="1" applyFont="1" applyFill="1" applyBorder="1" applyAlignment="1">
      <alignment horizontal="right" vertical="top"/>
    </xf>
    <xf numFmtId="3" fontId="7" fillId="0" borderId="10" xfId="0" applyNumberFormat="1" applyFont="1" applyFill="1" applyBorder="1" applyAlignment="1">
      <alignment horizontal="right" vertical="top"/>
    </xf>
    <xf numFmtId="49" fontId="67" fillId="0" borderId="10" xfId="0" applyNumberFormat="1" applyFont="1" applyFill="1" applyBorder="1" applyAlignment="1">
      <alignment horizontal="center" vertical="top"/>
    </xf>
    <xf numFmtId="2" fontId="7" fillId="0" borderId="10" xfId="0" applyNumberFormat="1" applyFont="1" applyFill="1" applyBorder="1" applyAlignment="1">
      <alignment horizontal="right" vertical="top"/>
    </xf>
    <xf numFmtId="2" fontId="60" fillId="0" borderId="0" xfId="0" applyNumberFormat="1" applyFont="1" applyFill="1" applyBorder="1" applyAlignment="1">
      <alignment horizontal="right" vertical="top"/>
    </xf>
    <xf numFmtId="0" fontId="7" fillId="0" borderId="10" xfId="0" applyFont="1" applyBorder="1" applyAlignment="1">
      <alignment vertical="top"/>
    </xf>
    <xf numFmtId="1" fontId="7" fillId="0" borderId="10" xfId="0" applyNumberFormat="1" applyFont="1" applyBorder="1" applyAlignment="1">
      <alignment horizontal="right" vertical="top"/>
    </xf>
    <xf numFmtId="0" fontId="7" fillId="0" borderId="10" xfId="0" applyFont="1" applyBorder="1" applyAlignment="1">
      <alignment horizontal="center" vertical="top"/>
    </xf>
    <xf numFmtId="1" fontId="7" fillId="0" borderId="10" xfId="0" applyNumberFormat="1" applyFont="1" applyFill="1" applyBorder="1" applyAlignment="1">
      <alignment horizontal="right" vertical="top"/>
    </xf>
    <xf numFmtId="0" fontId="7" fillId="0" borderId="10" xfId="0" applyNumberFormat="1" applyFont="1" applyFill="1" applyBorder="1" applyAlignment="1">
      <alignment horizontal="left" vertical="top"/>
    </xf>
    <xf numFmtId="164" fontId="7" fillId="0" borderId="10" xfId="0" applyNumberFormat="1" applyFont="1" applyFill="1" applyBorder="1" applyAlignment="1">
      <alignment vertical="top"/>
    </xf>
    <xf numFmtId="3" fontId="60" fillId="0" borderId="10" xfId="0" applyNumberFormat="1" applyFont="1" applyBorder="1" applyAlignment="1">
      <alignment horizontal="right" vertical="top"/>
    </xf>
    <xf numFmtId="3" fontId="7" fillId="0" borderId="10" xfId="0" applyNumberFormat="1" applyFont="1" applyBorder="1" applyAlignment="1">
      <alignment vertical="top"/>
    </xf>
    <xf numFmtId="3" fontId="7" fillId="0" borderId="10" xfId="0" applyNumberFormat="1" applyFont="1" applyFill="1" applyBorder="1" applyAlignment="1">
      <alignment vertical="top" wrapText="1"/>
    </xf>
    <xf numFmtId="0" fontId="71" fillId="0" borderId="10" xfId="111" applyFont="1" applyFill="1" applyBorder="1" applyAlignment="1">
      <alignment vertical="top"/>
    </xf>
    <xf numFmtId="3" fontId="7" fillId="0" borderId="10" xfId="0" applyNumberFormat="1" applyFont="1" applyFill="1" applyBorder="1" applyAlignment="1">
      <alignment horizontal="left" vertical="top"/>
    </xf>
    <xf numFmtId="3" fontId="7" fillId="0" borderId="10" xfId="0" applyNumberFormat="1" applyFont="1" applyBorder="1" applyAlignment="1">
      <alignment horizontal="right" vertical="top"/>
    </xf>
    <xf numFmtId="4" fontId="7" fillId="0" borderId="10" xfId="89" applyNumberFormat="1" applyFont="1" applyFill="1" applyBorder="1" applyAlignment="1">
      <alignment horizontal="right" vertical="top"/>
    </xf>
    <xf numFmtId="4" fontId="7" fillId="0" borderId="10" xfId="87" applyNumberFormat="1" applyFont="1" applyFill="1" applyBorder="1" applyAlignment="1">
      <alignment horizontal="right" vertical="top"/>
    </xf>
    <xf numFmtId="49" fontId="7" fillId="0" borderId="10" xfId="0" applyNumberFormat="1" applyFont="1" applyFill="1" applyBorder="1" applyAlignment="1">
      <alignment horizontal="left" vertical="top"/>
    </xf>
    <xf numFmtId="49" fontId="7" fillId="0" borderId="10" xfId="0" applyNumberFormat="1" applyFont="1" applyFill="1" applyBorder="1" applyAlignment="1">
      <alignment horizontal="right" vertical="top"/>
    </xf>
    <xf numFmtId="0" fontId="71" fillId="0" borderId="10" xfId="111" applyFont="1" applyBorder="1" applyAlignment="1">
      <alignment vertical="top"/>
    </xf>
    <xf numFmtId="3" fontId="7" fillId="0" borderId="10" xfId="0" applyNumberFormat="1" applyFont="1" applyFill="1" applyBorder="1" applyAlignment="1" applyProtection="1">
      <alignment vertical="top"/>
    </xf>
    <xf numFmtId="49" fontId="7" fillId="34" borderId="10" xfId="0" applyNumberFormat="1" applyFont="1" applyFill="1" applyBorder="1" applyAlignment="1">
      <alignment horizontal="right" vertical="top"/>
    </xf>
    <xf numFmtId="0" fontId="7" fillId="34" borderId="10" xfId="0" applyNumberFormat="1" applyFont="1" applyFill="1" applyBorder="1" applyAlignment="1">
      <alignment horizontal="left" vertical="top"/>
    </xf>
    <xf numFmtId="0" fontId="7" fillId="0" borderId="10" xfId="0" applyFont="1" applyBorder="1" applyAlignment="1">
      <alignment vertical="top" wrapText="1"/>
    </xf>
    <xf numFmtId="1" fontId="7" fillId="0" borderId="10" xfId="0" applyNumberFormat="1" applyFont="1" applyBorder="1" applyAlignment="1">
      <alignment horizontal="right" vertical="top" wrapText="1"/>
    </xf>
    <xf numFmtId="0" fontId="7" fillId="0" borderId="10" xfId="0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vertical="top" wrapText="1"/>
    </xf>
    <xf numFmtId="0" fontId="7" fillId="0" borderId="10" xfId="0" applyNumberFormat="1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right" vertical="top" wrapText="1"/>
    </xf>
    <xf numFmtId="49" fontId="7" fillId="0" borderId="10" xfId="0" applyNumberFormat="1" applyFont="1" applyFill="1" applyBorder="1" applyAlignment="1">
      <alignment vertical="top" wrapText="1"/>
    </xf>
    <xf numFmtId="168" fontId="7" fillId="0" borderId="10" xfId="0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vertical="top" wrapText="1"/>
    </xf>
    <xf numFmtId="4" fontId="7" fillId="0" borderId="10" xfId="0" applyNumberFormat="1" applyFont="1" applyFill="1" applyBorder="1" applyAlignment="1">
      <alignment horizontal="right" vertical="top"/>
    </xf>
    <xf numFmtId="49" fontId="67" fillId="0" borderId="10" xfId="0" applyNumberFormat="1" applyFont="1" applyBorder="1" applyAlignment="1">
      <alignment horizontal="center" vertical="top"/>
    </xf>
    <xf numFmtId="0" fontId="7" fillId="32" borderId="10" xfId="0" applyFont="1" applyFill="1" applyBorder="1" applyAlignment="1">
      <alignment vertical="top"/>
    </xf>
    <xf numFmtId="1" fontId="7" fillId="32" borderId="10" xfId="0" applyNumberFormat="1" applyFont="1" applyFill="1" applyBorder="1" applyAlignment="1">
      <alignment horizontal="right" vertical="top"/>
    </xf>
    <xf numFmtId="0" fontId="7" fillId="32" borderId="10" xfId="0" applyFont="1" applyFill="1" applyBorder="1" applyAlignment="1">
      <alignment horizontal="center" vertical="top"/>
    </xf>
    <xf numFmtId="3" fontId="7" fillId="32" borderId="10" xfId="0" applyNumberFormat="1" applyFont="1" applyFill="1" applyBorder="1" applyAlignment="1">
      <alignment vertical="top"/>
    </xf>
    <xf numFmtId="3" fontId="7" fillId="32" borderId="10" xfId="0" applyNumberFormat="1" applyFont="1" applyFill="1" applyBorder="1" applyAlignment="1">
      <alignment horizontal="right" vertical="top"/>
    </xf>
    <xf numFmtId="9" fontId="7" fillId="32" borderId="10" xfId="0" applyNumberFormat="1" applyFont="1" applyFill="1" applyBorder="1" applyAlignment="1">
      <alignment horizontal="right" vertical="top"/>
    </xf>
    <xf numFmtId="0" fontId="7" fillId="32" borderId="10" xfId="0" applyNumberFormat="1" applyFont="1" applyFill="1" applyBorder="1" applyAlignment="1">
      <alignment horizontal="left" vertical="top"/>
    </xf>
    <xf numFmtId="164" fontId="7" fillId="32" borderId="10" xfId="0" applyNumberFormat="1" applyFont="1" applyFill="1" applyBorder="1" applyAlignment="1">
      <alignment horizontal="left" vertical="top"/>
    </xf>
    <xf numFmtId="168" fontId="7" fillId="32" borderId="10" xfId="0" applyNumberFormat="1" applyFont="1" applyFill="1" applyBorder="1" applyAlignment="1">
      <alignment horizontal="right" vertical="top"/>
    </xf>
    <xf numFmtId="164" fontId="7" fillId="32" borderId="10" xfId="0" applyNumberFormat="1" applyFont="1" applyFill="1" applyBorder="1" applyAlignment="1">
      <alignment horizontal="right" vertical="top"/>
    </xf>
    <xf numFmtId="0" fontId="7" fillId="0" borderId="10" xfId="0" applyNumberFormat="1" applyFont="1" applyFill="1" applyBorder="1" applyAlignment="1">
      <alignment vertical="top" wrapText="1"/>
    </xf>
    <xf numFmtId="164" fontId="7" fillId="0" borderId="10" xfId="0" applyNumberFormat="1" applyFont="1" applyFill="1" applyBorder="1" applyAlignment="1">
      <alignment vertical="top" wrapText="1"/>
    </xf>
    <xf numFmtId="0" fontId="7" fillId="34" borderId="10" xfId="0" applyFont="1" applyFill="1" applyBorder="1" applyAlignment="1">
      <alignment vertical="top"/>
    </xf>
    <xf numFmtId="1" fontId="7" fillId="34" borderId="10" xfId="0" applyNumberFormat="1" applyFont="1" applyFill="1" applyBorder="1" applyAlignment="1">
      <alignment horizontal="right" vertical="top"/>
    </xf>
    <xf numFmtId="0" fontId="7" fillId="34" borderId="10" xfId="0" applyFont="1" applyFill="1" applyBorder="1" applyAlignment="1">
      <alignment horizontal="center" vertical="top"/>
    </xf>
    <xf numFmtId="3" fontId="7" fillId="34" borderId="10" xfId="0" applyNumberFormat="1" applyFont="1" applyFill="1" applyBorder="1" applyAlignment="1">
      <alignment horizontal="center" vertical="top"/>
    </xf>
    <xf numFmtId="49" fontId="63" fillId="0" borderId="10" xfId="0" applyNumberFormat="1" applyFont="1" applyFill="1" applyBorder="1" applyAlignment="1">
      <alignment vertical="top"/>
    </xf>
    <xf numFmtId="1" fontId="60" fillId="32" borderId="10" xfId="0" applyNumberFormat="1" applyFont="1" applyFill="1" applyBorder="1" applyAlignment="1">
      <alignment horizontal="right" vertical="top"/>
    </xf>
    <xf numFmtId="0" fontId="63" fillId="32" borderId="10" xfId="0" applyNumberFormat="1" applyFont="1" applyFill="1" applyBorder="1" applyAlignment="1">
      <alignment horizontal="left" vertical="top"/>
    </xf>
    <xf numFmtId="0" fontId="71" fillId="32" borderId="10" xfId="111" applyFont="1" applyFill="1" applyBorder="1" applyAlignment="1">
      <alignment vertical="top"/>
    </xf>
    <xf numFmtId="49" fontId="7" fillId="32" borderId="10" xfId="0" applyNumberFormat="1" applyFont="1" applyFill="1" applyBorder="1" applyAlignment="1">
      <alignment vertical="top"/>
    </xf>
    <xf numFmtId="3" fontId="60" fillId="32" borderId="10" xfId="0" applyNumberFormat="1" applyFont="1" applyFill="1" applyBorder="1" applyAlignment="1">
      <alignment horizontal="right" vertical="top"/>
    </xf>
    <xf numFmtId="3" fontId="60" fillId="32" borderId="10" xfId="0" applyNumberFormat="1" applyFont="1" applyFill="1" applyBorder="1" applyAlignment="1">
      <alignment vertical="top"/>
    </xf>
    <xf numFmtId="0" fontId="7" fillId="32" borderId="10" xfId="0" applyNumberFormat="1" applyFont="1" applyFill="1" applyBorder="1" applyAlignment="1">
      <alignment horizontal="left" vertical="top" wrapText="1"/>
    </xf>
    <xf numFmtId="49" fontId="7" fillId="34" borderId="10" xfId="0" applyNumberFormat="1" applyFont="1" applyFill="1" applyBorder="1" applyAlignment="1">
      <alignment vertical="top"/>
    </xf>
    <xf numFmtId="3" fontId="7" fillId="34" borderId="10" xfId="0" applyNumberFormat="1" applyFont="1" applyFill="1" applyBorder="1" applyAlignment="1">
      <alignment horizontal="left" vertical="top"/>
    </xf>
    <xf numFmtId="3" fontId="7" fillId="34" borderId="10" xfId="0" applyNumberFormat="1" applyFont="1" applyFill="1" applyBorder="1" applyAlignment="1">
      <alignment horizontal="right" vertical="top"/>
    </xf>
    <xf numFmtId="3" fontId="7" fillId="34" borderId="10" xfId="0" applyNumberFormat="1" applyFont="1" applyFill="1" applyBorder="1" applyAlignment="1">
      <alignment vertical="top"/>
    </xf>
    <xf numFmtId="0" fontId="60" fillId="0" borderId="10" xfId="0" applyFont="1" applyFill="1" applyBorder="1" applyAlignment="1">
      <alignment vertical="top"/>
    </xf>
    <xf numFmtId="1" fontId="60" fillId="0" borderId="10" xfId="0" applyNumberFormat="1" applyFont="1" applyFill="1" applyBorder="1" applyAlignment="1">
      <alignment horizontal="right" vertical="top"/>
    </xf>
    <xf numFmtId="3" fontId="7" fillId="0" borderId="10" xfId="0" applyNumberFormat="1" applyFont="1" applyFill="1" applyBorder="1" applyAlignment="1">
      <alignment horizontal="center" vertical="top"/>
    </xf>
    <xf numFmtId="168" fontId="7" fillId="0" borderId="10" xfId="0" applyNumberFormat="1" applyFont="1" applyFill="1" applyBorder="1" applyAlignment="1">
      <alignment vertical="top"/>
    </xf>
    <xf numFmtId="3" fontId="7" fillId="32" borderId="10" xfId="0" applyNumberFormat="1" applyFont="1" applyFill="1" applyBorder="1" applyAlignment="1">
      <alignment horizontal="left" vertical="top"/>
    </xf>
    <xf numFmtId="164" fontId="7" fillId="32" borderId="10" xfId="0" applyNumberFormat="1" applyFont="1" applyFill="1" applyBorder="1" applyAlignment="1">
      <alignment vertical="top"/>
    </xf>
    <xf numFmtId="0" fontId="7" fillId="0" borderId="10" xfId="0" applyNumberFormat="1" applyFont="1" applyFill="1" applyBorder="1" applyAlignment="1">
      <alignment vertical="top"/>
    </xf>
    <xf numFmtId="3" fontId="7" fillId="0" borderId="10" xfId="109" applyNumberFormat="1" applyFont="1" applyFill="1" applyBorder="1" applyAlignment="1">
      <alignment horizontal="right" vertical="top"/>
    </xf>
    <xf numFmtId="4" fontId="7" fillId="0" borderId="10" xfId="0" applyNumberFormat="1" applyFont="1" applyFill="1" applyBorder="1" applyAlignment="1">
      <alignment vertical="top"/>
    </xf>
    <xf numFmtId="3" fontId="7" fillId="0" borderId="0" xfId="0" applyNumberFormat="1" applyFont="1" applyFill="1" applyBorder="1" applyAlignment="1">
      <alignment vertical="top"/>
    </xf>
    <xf numFmtId="0" fontId="7" fillId="0" borderId="10" xfId="0" applyNumberFormat="1" applyFont="1" applyFill="1" applyBorder="1" applyAlignment="1">
      <alignment horizontal="center" vertical="top"/>
    </xf>
    <xf numFmtId="0" fontId="7" fillId="0" borderId="10" xfId="111" applyFont="1" applyBorder="1" applyAlignment="1">
      <alignment vertical="top"/>
    </xf>
    <xf numFmtId="0" fontId="7" fillId="32" borderId="10" xfId="0" applyFont="1" applyFill="1" applyBorder="1" applyAlignment="1">
      <alignment horizontal="right" vertical="top"/>
    </xf>
    <xf numFmtId="164" fontId="7" fillId="0" borderId="10" xfId="63" applyNumberFormat="1" applyFont="1" applyFill="1" applyBorder="1" applyAlignment="1">
      <alignment horizontal="right" vertical="top"/>
    </xf>
    <xf numFmtId="49" fontId="67" fillId="0" borderId="10" xfId="0" applyNumberFormat="1" applyFont="1" applyBorder="1" applyAlignment="1">
      <alignment vertical="top"/>
    </xf>
    <xf numFmtId="0" fontId="7" fillId="0" borderId="10" xfId="0" applyFont="1" applyFill="1" applyBorder="1" applyAlignment="1">
      <alignment horizontal="left" vertical="top"/>
    </xf>
    <xf numFmtId="3" fontId="7" fillId="0" borderId="10" xfId="63" applyNumberFormat="1" applyFont="1" applyFill="1" applyBorder="1" applyAlignment="1">
      <alignment horizontal="right" vertical="top"/>
    </xf>
    <xf numFmtId="9" fontId="7" fillId="0" borderId="10" xfId="63" applyNumberFormat="1" applyFont="1" applyFill="1" applyBorder="1" applyAlignment="1">
      <alignment horizontal="right" vertical="top"/>
    </xf>
    <xf numFmtId="3" fontId="60" fillId="0" borderId="10" xfId="0" applyNumberFormat="1" applyFont="1" applyFill="1" applyBorder="1" applyAlignment="1">
      <alignment vertical="top" wrapText="1"/>
    </xf>
    <xf numFmtId="3" fontId="7" fillId="0" borderId="10" xfId="63" applyNumberFormat="1" applyFont="1" applyFill="1" applyBorder="1" applyAlignment="1">
      <alignment vertical="top" wrapText="1"/>
    </xf>
    <xf numFmtId="9" fontId="7" fillId="0" borderId="10" xfId="63" applyNumberFormat="1" applyFont="1" applyFill="1" applyBorder="1" applyAlignment="1">
      <alignment vertical="top" wrapText="1"/>
    </xf>
    <xf numFmtId="3" fontId="7" fillId="0" borderId="10" xfId="0" applyNumberFormat="1" applyFont="1" applyBorder="1" applyAlignment="1">
      <alignment horizontal="center" vertical="top"/>
    </xf>
    <xf numFmtId="3" fontId="7" fillId="0" borderId="10" xfId="0" applyNumberFormat="1" applyFont="1" applyBorder="1" applyAlignment="1">
      <alignment horizontal="left" vertical="top"/>
    </xf>
    <xf numFmtId="164" fontId="7" fillId="0" borderId="10" xfId="64" applyNumberFormat="1" applyFont="1" applyFill="1" applyBorder="1" applyAlignment="1">
      <alignment vertical="top"/>
    </xf>
    <xf numFmtId="169" fontId="7" fillId="0" borderId="10" xfId="0" applyNumberFormat="1" applyFont="1" applyFill="1" applyBorder="1" applyAlignment="1">
      <alignment vertical="top"/>
    </xf>
    <xf numFmtId="3" fontId="60" fillId="0" borderId="10" xfId="0" applyNumberFormat="1" applyFont="1" applyBorder="1" applyAlignment="1">
      <alignment horizontal="left" vertical="top" wrapText="1"/>
    </xf>
    <xf numFmtId="3" fontId="61" fillId="0" borderId="10" xfId="0" applyNumberFormat="1" applyFont="1" applyBorder="1" applyAlignment="1">
      <alignment horizontal="left" vertical="top"/>
    </xf>
    <xf numFmtId="3" fontId="70" fillId="33" borderId="10" xfId="0" applyNumberFormat="1" applyFont="1" applyFill="1" applyBorder="1" applyAlignment="1">
      <alignment horizontal="left" vertical="top"/>
    </xf>
    <xf numFmtId="3" fontId="7" fillId="0" borderId="10" xfId="0" applyNumberFormat="1" applyFont="1" applyFill="1" applyBorder="1" applyAlignment="1">
      <alignment horizontal="left" vertical="top" wrapText="1"/>
    </xf>
    <xf numFmtId="3" fontId="60" fillId="32" borderId="10" xfId="0" applyNumberFormat="1" applyFont="1" applyFill="1" applyBorder="1" applyAlignment="1">
      <alignment horizontal="left" vertical="top"/>
    </xf>
    <xf numFmtId="1" fontId="7" fillId="0" borderId="10" xfId="0" applyNumberFormat="1" applyFont="1" applyFill="1" applyBorder="1" applyAlignment="1">
      <alignment vertical="top" wrapText="1"/>
    </xf>
    <xf numFmtId="3" fontId="68" fillId="0" borderId="10" xfId="0" applyNumberFormat="1" applyFont="1" applyFill="1" applyBorder="1" applyAlignment="1">
      <alignment horizontal="left" vertical="top"/>
    </xf>
    <xf numFmtId="0" fontId="68" fillId="0" borderId="10" xfId="0" applyNumberFormat="1" applyFont="1" applyFill="1" applyBorder="1" applyAlignment="1">
      <alignment horizontal="left" vertical="top"/>
    </xf>
    <xf numFmtId="3" fontId="70" fillId="33" borderId="10" xfId="0" applyNumberFormat="1" applyFont="1" applyFill="1" applyBorder="1" applyAlignment="1">
      <alignment vertical="top"/>
    </xf>
    <xf numFmtId="164" fontId="7" fillId="0" borderId="10" xfId="0" applyNumberFormat="1" applyFont="1" applyFill="1" applyBorder="1" applyAlignment="1">
      <alignment wrapText="1"/>
    </xf>
    <xf numFmtId="3" fontId="63" fillId="0" borderId="10" xfId="0" applyNumberFormat="1" applyFont="1" applyFill="1" applyBorder="1" applyAlignment="1">
      <alignment vertical="top"/>
    </xf>
    <xf numFmtId="0" fontId="7" fillId="35" borderId="10" xfId="0" applyFont="1" applyFill="1" applyBorder="1" applyAlignment="1">
      <alignment vertical="top"/>
    </xf>
    <xf numFmtId="1" fontId="7" fillId="35" borderId="10" xfId="0" applyNumberFormat="1" applyFont="1" applyFill="1" applyBorder="1" applyAlignment="1">
      <alignment horizontal="right" vertical="top"/>
    </xf>
    <xf numFmtId="0" fontId="7" fillId="35" borderId="10" xfId="0" applyFont="1" applyFill="1" applyBorder="1" applyAlignment="1">
      <alignment horizontal="center" vertical="top"/>
    </xf>
    <xf numFmtId="1" fontId="70" fillId="35" borderId="10" xfId="0" applyNumberFormat="1" applyFont="1" applyFill="1" applyBorder="1" applyAlignment="1">
      <alignment horizontal="right" vertical="top"/>
    </xf>
    <xf numFmtId="3" fontId="70" fillId="35" borderId="10" xfId="0" applyNumberFormat="1" applyFont="1" applyFill="1" applyBorder="1" applyAlignment="1">
      <alignment horizontal="right" vertical="top"/>
    </xf>
    <xf numFmtId="3" fontId="70" fillId="35" borderId="10" xfId="0" applyNumberFormat="1" applyFont="1" applyFill="1" applyBorder="1" applyAlignment="1">
      <alignment horizontal="left" vertical="top"/>
    </xf>
    <xf numFmtId="0" fontId="7" fillId="35" borderId="0" xfId="0" applyFont="1" applyFill="1" applyBorder="1" applyAlignment="1">
      <alignment vertical="top"/>
    </xf>
    <xf numFmtId="0" fontId="60" fillId="35" borderId="10" xfId="0" applyFont="1" applyFill="1" applyBorder="1" applyAlignment="1">
      <alignment vertical="top"/>
    </xf>
    <xf numFmtId="0" fontId="7" fillId="36" borderId="0" xfId="0" applyFont="1" applyFill="1"/>
    <xf numFmtId="9" fontId="7" fillId="36" borderId="10" xfId="0" applyNumberFormat="1" applyFont="1" applyFill="1" applyBorder="1" applyAlignment="1">
      <alignment horizontal="right" vertical="top"/>
    </xf>
    <xf numFmtId="0" fontId="7" fillId="32" borderId="0" xfId="0" applyFont="1" applyFill="1"/>
    <xf numFmtId="164" fontId="7" fillId="37" borderId="10" xfId="0" applyNumberFormat="1" applyFont="1" applyFill="1" applyBorder="1" applyAlignment="1">
      <alignment horizontal="right" vertical="top"/>
    </xf>
    <xf numFmtId="0" fontId="7" fillId="37" borderId="10" xfId="0" applyFont="1" applyFill="1" applyBorder="1" applyAlignment="1">
      <alignment vertical="top"/>
    </xf>
    <xf numFmtId="3" fontId="7" fillId="37" borderId="10" xfId="0" applyNumberFormat="1" applyFont="1" applyFill="1" applyBorder="1" applyAlignment="1">
      <alignment horizontal="right" vertical="top"/>
    </xf>
    <xf numFmtId="1" fontId="0" fillId="0" borderId="10" xfId="0" applyNumberFormat="1" applyBorder="1" applyAlignment="1">
      <alignment horizontal="center"/>
    </xf>
    <xf numFmtId="3" fontId="4" fillId="26" borderId="24" xfId="109" applyNumberFormat="1" applyFont="1" applyFill="1" applyBorder="1" applyAlignment="1">
      <alignment horizontal="center"/>
    </xf>
    <xf numFmtId="3" fontId="4" fillId="26" borderId="24" xfId="109" applyNumberFormat="1" applyFont="1" applyFill="1" applyBorder="1" applyAlignment="1">
      <alignment horizontal="center"/>
    </xf>
    <xf numFmtId="168" fontId="7" fillId="36" borderId="10" xfId="0" applyNumberFormat="1" applyFont="1" applyFill="1" applyBorder="1" applyAlignment="1">
      <alignment horizontal="right" vertical="top"/>
    </xf>
    <xf numFmtId="164" fontId="7" fillId="36" borderId="10" xfId="0" applyNumberFormat="1" applyFont="1" applyFill="1" applyBorder="1" applyAlignment="1">
      <alignment horizontal="left" vertical="top"/>
    </xf>
    <xf numFmtId="0" fontId="3" fillId="26" borderId="0" xfId="0" applyFont="1" applyFill="1" applyBorder="1" applyAlignment="1">
      <alignment horizontal="left" vertical="top" wrapText="1"/>
    </xf>
    <xf numFmtId="0" fontId="3" fillId="26" borderId="0" xfId="0" applyFont="1" applyFill="1" applyAlignment="1">
      <alignment horizontal="left" vertical="top" wrapText="1"/>
    </xf>
    <xf numFmtId="0" fontId="4" fillId="26" borderId="0" xfId="0" applyFont="1" applyFill="1" applyAlignment="1">
      <alignment horizontal="left" vertical="top" wrapText="1"/>
    </xf>
    <xf numFmtId="0" fontId="0" fillId="0" borderId="0" xfId="0" applyBorder="1" applyAlignment="1">
      <alignment horizontal="center" vertical="center" wrapText="1"/>
    </xf>
    <xf numFmtId="0" fontId="6" fillId="26" borderId="0" xfId="0" applyFont="1" applyFill="1" applyAlignment="1">
      <alignment wrapText="1"/>
    </xf>
    <xf numFmtId="0" fontId="6" fillId="26" borderId="16" xfId="0" applyFont="1" applyFill="1" applyBorder="1" applyAlignment="1">
      <alignment wrapText="1"/>
    </xf>
    <xf numFmtId="0" fontId="17" fillId="26" borderId="13" xfId="0" applyFont="1" applyFill="1" applyBorder="1" applyAlignment="1">
      <alignment horizontal="left"/>
    </xf>
    <xf numFmtId="0" fontId="17" fillId="26" borderId="20" xfId="0" applyFont="1" applyFill="1" applyBorder="1" applyAlignment="1">
      <alignment horizontal="left"/>
    </xf>
    <xf numFmtId="0" fontId="17" fillId="26" borderId="15" xfId="0" applyFont="1" applyFill="1" applyBorder="1" applyAlignment="1">
      <alignment horizontal="left"/>
    </xf>
    <xf numFmtId="0" fontId="17" fillId="26" borderId="22" xfId="0" applyFont="1" applyFill="1" applyBorder="1" applyAlignment="1">
      <alignment horizontal="left"/>
    </xf>
    <xf numFmtId="0" fontId="17" fillId="26" borderId="14" xfId="0" applyFont="1" applyFill="1" applyBorder="1" applyAlignment="1">
      <alignment horizontal="left"/>
    </xf>
    <xf numFmtId="0" fontId="17" fillId="26" borderId="16" xfId="0" applyFont="1" applyFill="1" applyBorder="1" applyAlignment="1">
      <alignment horizontal="left"/>
    </xf>
    <xf numFmtId="0" fontId="3" fillId="26" borderId="0" xfId="0" applyFont="1" applyFill="1" applyBorder="1" applyAlignment="1">
      <alignment horizontal="center"/>
    </xf>
    <xf numFmtId="0" fontId="5" fillId="26" borderId="0" xfId="0" applyFont="1" applyFill="1" applyBorder="1" applyAlignment="1">
      <alignment horizontal="center"/>
    </xf>
  </cellXfs>
  <cellStyles count="137">
    <cellStyle name="1000-sep (2 dec)" xfId="87" builtinId="3"/>
    <cellStyle name="20 % - Markeringsfarve1" xfId="1"/>
    <cellStyle name="20 % - Markeringsfarve1 2" xfId="2"/>
    <cellStyle name="20 % - Markeringsfarve2" xfId="3"/>
    <cellStyle name="20 % - Markeringsfarve2 2" xfId="4"/>
    <cellStyle name="20 % - Markeringsfarve3" xfId="5"/>
    <cellStyle name="20 % - Markeringsfarve3 2" xfId="6"/>
    <cellStyle name="20 % - Markeringsfarve4" xfId="7"/>
    <cellStyle name="20 % - Markeringsfarve4 2" xfId="8"/>
    <cellStyle name="20 % - Markeringsfarve5" xfId="9"/>
    <cellStyle name="20 % - Markeringsfarve5 2" xfId="10"/>
    <cellStyle name="20 % - Markeringsfarve6" xfId="11"/>
    <cellStyle name="20 % - Markeringsfarve6 2" xfId="12"/>
    <cellStyle name="20% - Accent1 2" xfId="13"/>
    <cellStyle name="20% - Accent2 2" xfId="14"/>
    <cellStyle name="20% - Accent3 2" xfId="15"/>
    <cellStyle name="20% - Accent4 2" xfId="16"/>
    <cellStyle name="20% - Accent5 2" xfId="17"/>
    <cellStyle name="20% - Accent6 2" xfId="18"/>
    <cellStyle name="40 % - Markeringsfarve1" xfId="19"/>
    <cellStyle name="40 % - Markeringsfarve1 2" xfId="20"/>
    <cellStyle name="40 % - Markeringsfarve2" xfId="21"/>
    <cellStyle name="40 % - Markeringsfarve2 2" xfId="22"/>
    <cellStyle name="40 % - Markeringsfarve3" xfId="23"/>
    <cellStyle name="40 % - Markeringsfarve3 2" xfId="24"/>
    <cellStyle name="40 % - Markeringsfarve4" xfId="25"/>
    <cellStyle name="40 % - Markeringsfarve4 2" xfId="26"/>
    <cellStyle name="40 % - Markeringsfarve5" xfId="27"/>
    <cellStyle name="40 % - Markeringsfarve5 2" xfId="28"/>
    <cellStyle name="40 % - Markeringsfarve6" xfId="29"/>
    <cellStyle name="40 % - Markeringsfarve6 2" xfId="30"/>
    <cellStyle name="40% - Accent1 2" xfId="31"/>
    <cellStyle name="40% - Accent2 2" xfId="32"/>
    <cellStyle name="40% - Accent3 2" xfId="33"/>
    <cellStyle name="40% - Accent4 2" xfId="34"/>
    <cellStyle name="40% - Accent5 2" xfId="35"/>
    <cellStyle name="40% - Accent6 2" xfId="36"/>
    <cellStyle name="60 % - Markeringsfarve1" xfId="37"/>
    <cellStyle name="60 % - Markeringsfarve1 2" xfId="38"/>
    <cellStyle name="60 % - Markeringsfarve2" xfId="39"/>
    <cellStyle name="60 % - Markeringsfarve2 2" xfId="40"/>
    <cellStyle name="60 % - Markeringsfarve3" xfId="41"/>
    <cellStyle name="60 % - Markeringsfarve3 2" xfId="42"/>
    <cellStyle name="60 % - Markeringsfarve4" xfId="43"/>
    <cellStyle name="60 % - Markeringsfarve4 2" xfId="44"/>
    <cellStyle name="60 % - Markeringsfarve5" xfId="45"/>
    <cellStyle name="60 % - Markeringsfarve5 2" xfId="46"/>
    <cellStyle name="60 % - Markeringsfarve6" xfId="47"/>
    <cellStyle name="60 % - Markeringsfarve6 2" xfId="48"/>
    <cellStyle name="60% - Accent1 2" xfId="49"/>
    <cellStyle name="60% - Accent2 2" xfId="50"/>
    <cellStyle name="60% - Accent3 2" xfId="51"/>
    <cellStyle name="60% - Accent4 2" xfId="52"/>
    <cellStyle name="60% - Accent5 2" xfId="53"/>
    <cellStyle name="60% - Accent6 2" xfId="54"/>
    <cellStyle name="Accent1 2" xfId="55"/>
    <cellStyle name="Accent2 2" xfId="56"/>
    <cellStyle name="Accent3 2" xfId="57"/>
    <cellStyle name="Accent4 2" xfId="58"/>
    <cellStyle name="Accent5 2" xfId="59"/>
    <cellStyle name="Accent6 2" xfId="60"/>
    <cellStyle name="Advarselstekst" xfId="61"/>
    <cellStyle name="Advarselstekst 2" xfId="62"/>
    <cellStyle name="Bad" xfId="63"/>
    <cellStyle name="Bad 2" xfId="64"/>
    <cellStyle name="Bad 3" xfId="65"/>
    <cellStyle name="Bad_Bygninger" xfId="135"/>
    <cellStyle name="Bemærk!" xfId="66"/>
    <cellStyle name="Bemærk! 2" xfId="67"/>
    <cellStyle name="Bemærk! 2 2" xfId="68"/>
    <cellStyle name="Bemærk! 3" xfId="69"/>
    <cellStyle name="Beregning" xfId="70"/>
    <cellStyle name="Beregning 2" xfId="71"/>
    <cellStyle name="Calculation 2" xfId="72"/>
    <cellStyle name="Check Cell 2" xfId="73"/>
    <cellStyle name="Explanatory Text 2" xfId="74"/>
    <cellStyle name="Forklarende tekst" xfId="75"/>
    <cellStyle name="Forklarende tekst 2" xfId="76"/>
    <cellStyle name="God" xfId="77"/>
    <cellStyle name="God 2" xfId="78"/>
    <cellStyle name="Good" xfId="79"/>
    <cellStyle name="Good 2" xfId="80"/>
    <cellStyle name="Good 3" xfId="81"/>
    <cellStyle name="Heading 1 2" xfId="82"/>
    <cellStyle name="Heading 2 2" xfId="83"/>
    <cellStyle name="Heading 3 2" xfId="84"/>
    <cellStyle name="Heading 4 2" xfId="85"/>
    <cellStyle name="Hyperlink" xfId="94" builtinId="8"/>
    <cellStyle name="Input 2" xfId="86"/>
    <cellStyle name="Komma 2" xfId="88"/>
    <cellStyle name="Komma 2 2" xfId="89"/>
    <cellStyle name="Komma 3" xfId="90"/>
    <cellStyle name="Komma 4" xfId="91"/>
    <cellStyle name="Komma 5" xfId="136"/>
    <cellStyle name="Kontroller celle" xfId="92"/>
    <cellStyle name="Kontroller celle 2" xfId="93"/>
    <cellStyle name="Linked Cell 2" xfId="95"/>
    <cellStyle name="Markeringsfarve1" xfId="96"/>
    <cellStyle name="Markeringsfarve1 2" xfId="97"/>
    <cellStyle name="Markeringsfarve2" xfId="98"/>
    <cellStyle name="Markeringsfarve2 2" xfId="99"/>
    <cellStyle name="Markeringsfarve3" xfId="100"/>
    <cellStyle name="Markeringsfarve3 2" xfId="101"/>
    <cellStyle name="Markeringsfarve4" xfId="102"/>
    <cellStyle name="Markeringsfarve4 2" xfId="103"/>
    <cellStyle name="Markeringsfarve5" xfId="104"/>
    <cellStyle name="Markeringsfarve5 2" xfId="105"/>
    <cellStyle name="Markeringsfarve6" xfId="106"/>
    <cellStyle name="Markeringsfarve6 2" xfId="107"/>
    <cellStyle name="Neutral 2" xfId="108"/>
    <cellStyle name="Normal" xfId="0" builtinId="0"/>
    <cellStyle name="Normal 2" xfId="109"/>
    <cellStyle name="Normal 3" xfId="110"/>
    <cellStyle name="Normal 4" xfId="111"/>
    <cellStyle name="Note 2" xfId="112"/>
    <cellStyle name="Note 2 2" xfId="113"/>
    <cellStyle name="Output 2" xfId="114"/>
    <cellStyle name="Overskrift 1" xfId="115"/>
    <cellStyle name="Overskrift 1 2" xfId="116"/>
    <cellStyle name="Overskrift 2" xfId="117"/>
    <cellStyle name="Overskrift 2 2" xfId="118"/>
    <cellStyle name="Overskrift 3" xfId="119"/>
    <cellStyle name="Overskrift 3 2" xfId="120"/>
    <cellStyle name="Overskrift 4" xfId="121"/>
    <cellStyle name="Overskrift 4 2" xfId="122"/>
    <cellStyle name="Procent" xfId="123" builtinId="5"/>
    <cellStyle name="Procent 2" xfId="124"/>
    <cellStyle name="Procent 3" xfId="125"/>
    <cellStyle name="Sammenkædet celle" xfId="126"/>
    <cellStyle name="Sammenkædet celle 2" xfId="127"/>
    <cellStyle name="Titel" xfId="128"/>
    <cellStyle name="Titel 2" xfId="129"/>
    <cellStyle name="Title 2" xfId="130"/>
    <cellStyle name="Total 2" xfId="131"/>
    <cellStyle name="Ugyldig" xfId="132"/>
    <cellStyle name="Ugyldig 2" xfId="133"/>
    <cellStyle name="Warning Text 2" xfId="13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worksheet" Target="worksheets/sheet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worksheet" Target="worksheets/sheet9.xml"/><Relationship Id="rId5" Type="http://schemas.openxmlformats.org/officeDocument/2006/relationships/worksheet" Target="worksheets/sheet3.xml"/><Relationship Id="rId15" Type="http://schemas.openxmlformats.org/officeDocument/2006/relationships/calcChain" Target="calcChain.xml"/><Relationship Id="rId10" Type="http://schemas.openxmlformats.org/officeDocument/2006/relationships/worksheet" Target="worksheets/sheet8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7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a-DK"/>
              <a:t>CO2-udledning fra Assens kommune 2012
</a:t>
            </a:r>
          </a:p>
        </c:rich>
      </c:tx>
      <c:layout>
        <c:manualLayout>
          <c:xMode val="edge"/>
          <c:yMode val="edge"/>
          <c:x val="0.28392490235514778"/>
          <c:y val="1.016949152542372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31628392484342382"/>
          <c:y val="0.26271186440677963"/>
          <c:w val="0.36325678496868485"/>
          <c:h val="0.5898305084745764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dLblPos val="bestFit"/>
            <c:showCatName val="1"/>
            <c:showPercent val="1"/>
            <c:showLeaderLines val="1"/>
          </c:dLbls>
          <c:cat>
            <c:strRef>
              <c:f>Grafdata!$A$2:$A$8</c:f>
              <c:strCache>
                <c:ptCount val="7"/>
                <c:pt idx="0">
                  <c:v>Vejbelysning</c:v>
                </c:pt>
                <c:pt idx="1">
                  <c:v>Idrætsanlæg</c:v>
                </c:pt>
                <c:pt idx="2">
                  <c:v>Tekniske anlæg</c:v>
                </c:pt>
                <c:pt idx="3">
                  <c:v>Affaldshåndtering</c:v>
                </c:pt>
                <c:pt idx="4">
                  <c:v>Offentlig transport</c:v>
                </c:pt>
                <c:pt idx="5">
                  <c:v>Transport</c:v>
                </c:pt>
                <c:pt idx="6">
                  <c:v>Kommunale bygninger</c:v>
                </c:pt>
              </c:strCache>
            </c:strRef>
          </c:cat>
          <c:val>
            <c:numRef>
              <c:f>Grafdata!$B$2:$B$8</c:f>
              <c:numCache>
                <c:formatCode>0</c:formatCode>
                <c:ptCount val="7"/>
                <c:pt idx="0">
                  <c:v>1038.2168039999999</c:v>
                </c:pt>
                <c:pt idx="1">
                  <c:v>54.961852999999998</c:v>
                </c:pt>
                <c:pt idx="2">
                  <c:v>82.102267000000012</c:v>
                </c:pt>
                <c:pt idx="3">
                  <c:v>0</c:v>
                </c:pt>
                <c:pt idx="4">
                  <c:v>0</c:v>
                </c:pt>
                <c:pt idx="5">
                  <c:v>986.4967286805288</c:v>
                </c:pt>
                <c:pt idx="6">
                  <c:v>3557.2522418000003</c:v>
                </c:pt>
              </c:numCache>
            </c:numRef>
          </c:val>
        </c:ser>
        <c:dLbls/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a-DK"/>
              <a:t>CO2-udledning fra kommunale bygninger i Assens kommune 2012</a:t>
            </a:r>
          </a:p>
        </c:rich>
      </c:tx>
      <c:layout>
        <c:manualLayout>
          <c:xMode val="edge"/>
          <c:yMode val="edge"/>
          <c:x val="0.20393369649889939"/>
          <c:y val="2.027029672138440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31524008350730687"/>
          <c:y val="0.25084745762711863"/>
          <c:w val="0.36951983298538627"/>
          <c:h val="0.6000000000000000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showCatName val="1"/>
            <c:showPercent val="1"/>
            <c:showLeaderLines val="1"/>
          </c:dLbls>
          <c:cat>
            <c:strRef>
              <c:f>Grafdata!$A$11:$A$16</c:f>
              <c:strCache>
                <c:ptCount val="6"/>
                <c:pt idx="0">
                  <c:v>Administrationsbygninger</c:v>
                </c:pt>
                <c:pt idx="1">
                  <c:v>Skoler, fritids- og ungdomsklubber</c:v>
                </c:pt>
                <c:pt idx="2">
                  <c:v>Daginstitutioner</c:v>
                </c:pt>
                <c:pt idx="3">
                  <c:v>Ældrepleje</c:v>
                </c:pt>
                <c:pt idx="4">
                  <c:v>Kulturinstitutioner</c:v>
                </c:pt>
                <c:pt idx="5">
                  <c:v>Andre kommunale bygninger</c:v>
                </c:pt>
              </c:strCache>
            </c:strRef>
          </c:cat>
          <c:val>
            <c:numRef>
              <c:f>Grafdata!$B$11:$B$16</c:f>
              <c:numCache>
                <c:formatCode>0</c:formatCode>
                <c:ptCount val="6"/>
                <c:pt idx="0">
                  <c:v>216.40685850000003</c:v>
                </c:pt>
                <c:pt idx="1">
                  <c:v>1588.6048002000002</c:v>
                </c:pt>
                <c:pt idx="2">
                  <c:v>511.53182620000007</c:v>
                </c:pt>
                <c:pt idx="3">
                  <c:v>293.44412799999998</c:v>
                </c:pt>
                <c:pt idx="4">
                  <c:v>93.369920499999992</c:v>
                </c:pt>
                <c:pt idx="5">
                  <c:v>853.89470840000001</c:v>
                </c:pt>
              </c:numCache>
            </c:numRef>
          </c:val>
        </c:ser>
        <c:dLbls/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9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22267" cy="5626395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ssensfjernvarme.dk/showpage.php?pageid=2922" TargetMode="External"/><Relationship Id="rId2" Type="http://schemas.openxmlformats.org/officeDocument/2006/relationships/hyperlink" Target="http://www.ens.dk/da-DK/Info/TalOgKort/Statistik_og_noegletal/Noegletal/Samlet_energiproduktion_forbrug/Sider/Forside.aspx" TargetMode="External"/><Relationship Id="rId1" Type="http://schemas.openxmlformats.org/officeDocument/2006/relationships/hyperlink" Target="http://www.energinet.dk/da/menu/Klima+og+milj%C3%B8/Milj%C3%B8deklarationer+for+el/Milj%C3%B8deklarationer+for+el.ht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S45"/>
  <sheetViews>
    <sheetView view="pageBreakPreview" topLeftCell="D1" zoomScale="85" zoomScaleNormal="85" workbookViewId="0">
      <selection activeCell="K29" sqref="K29"/>
    </sheetView>
  </sheetViews>
  <sheetFormatPr defaultRowHeight="14.25"/>
  <cols>
    <col min="1" max="11" width="9.140625" style="25"/>
    <col min="12" max="12" width="3.7109375" style="25" customWidth="1"/>
    <col min="13" max="13" width="50.7109375" style="25" customWidth="1"/>
    <col min="14" max="14" width="6.28515625" style="25" customWidth="1"/>
    <col min="15" max="15" width="5.85546875" style="25" customWidth="1"/>
    <col min="16" max="16" width="7.85546875" style="25" customWidth="1"/>
    <col min="17" max="17" width="3.7109375" style="25" customWidth="1"/>
    <col min="18" max="18" width="50.7109375" style="25" customWidth="1"/>
    <col min="19" max="16384" width="9.140625" style="25"/>
  </cols>
  <sheetData>
    <row r="1" spans="1:19" ht="15" customHeight="1">
      <c r="A1" s="440" t="s">
        <v>395</v>
      </c>
      <c r="B1" s="441"/>
      <c r="C1" s="441"/>
      <c r="D1" s="441"/>
      <c r="E1" s="441"/>
      <c r="F1" s="441"/>
      <c r="G1" s="441"/>
      <c r="H1" s="441"/>
      <c r="I1" s="441"/>
      <c r="J1" s="439" t="s">
        <v>391</v>
      </c>
      <c r="K1" s="439"/>
      <c r="L1" s="439"/>
      <c r="M1" s="439"/>
      <c r="N1" s="439"/>
      <c r="O1" s="439"/>
      <c r="P1" s="439"/>
      <c r="Q1" s="439"/>
      <c r="R1" s="439"/>
      <c r="S1" s="439"/>
    </row>
    <row r="2" spans="1:19" ht="14.25" customHeight="1">
      <c r="A2" s="441"/>
      <c r="B2" s="441"/>
      <c r="C2" s="441"/>
      <c r="D2" s="441"/>
      <c r="E2" s="441"/>
      <c r="F2" s="441"/>
      <c r="G2" s="441"/>
      <c r="H2" s="441"/>
      <c r="I2" s="441"/>
      <c r="J2" s="439"/>
      <c r="K2" s="439"/>
      <c r="L2" s="439"/>
      <c r="M2" s="439"/>
      <c r="N2" s="439"/>
      <c r="O2" s="439"/>
      <c r="P2" s="439"/>
      <c r="Q2" s="439"/>
      <c r="R2" s="439"/>
      <c r="S2" s="439"/>
    </row>
    <row r="3" spans="1:19" ht="14.25" customHeight="1">
      <c r="A3" s="441"/>
      <c r="B3" s="441"/>
      <c r="C3" s="441"/>
      <c r="D3" s="441"/>
      <c r="E3" s="441"/>
      <c r="F3" s="441"/>
      <c r="G3" s="441"/>
      <c r="H3" s="441"/>
      <c r="I3" s="441"/>
      <c r="J3" s="439"/>
      <c r="K3" s="439"/>
      <c r="L3" s="439"/>
      <c r="M3" s="439"/>
      <c r="N3" s="439"/>
      <c r="O3" s="439"/>
      <c r="P3" s="439"/>
      <c r="Q3" s="439"/>
      <c r="R3" s="439"/>
      <c r="S3" s="439"/>
    </row>
    <row r="4" spans="1:19" ht="14.25" customHeight="1">
      <c r="A4" s="441"/>
      <c r="B4" s="441"/>
      <c r="C4" s="441"/>
      <c r="D4" s="441"/>
      <c r="E4" s="441"/>
      <c r="F4" s="441"/>
      <c r="G4" s="441"/>
      <c r="H4" s="441"/>
      <c r="I4" s="441"/>
      <c r="J4" s="439"/>
      <c r="K4" s="439"/>
      <c r="L4" s="439"/>
      <c r="M4" s="439"/>
      <c r="N4" s="439"/>
      <c r="O4" s="439"/>
      <c r="P4" s="439"/>
      <c r="Q4" s="439"/>
      <c r="R4" s="439"/>
      <c r="S4" s="439"/>
    </row>
    <row r="5" spans="1:19" ht="14.25" customHeight="1">
      <c r="A5" s="441"/>
      <c r="B5" s="441"/>
      <c r="C5" s="441"/>
      <c r="D5" s="441"/>
      <c r="E5" s="441"/>
      <c r="F5" s="441"/>
      <c r="G5" s="441"/>
      <c r="H5" s="441"/>
      <c r="I5" s="441"/>
      <c r="J5" s="439"/>
      <c r="K5" s="439"/>
      <c r="L5" s="439"/>
      <c r="M5" s="439"/>
      <c r="N5" s="439"/>
      <c r="O5" s="439"/>
      <c r="P5" s="439"/>
      <c r="Q5" s="439"/>
      <c r="R5" s="439"/>
      <c r="S5" s="439"/>
    </row>
    <row r="6" spans="1:19" ht="14.25" customHeight="1">
      <c r="A6" s="441"/>
      <c r="B6" s="441"/>
      <c r="C6" s="441"/>
      <c r="D6" s="441"/>
      <c r="E6" s="441"/>
      <c r="F6" s="441"/>
      <c r="G6" s="441"/>
      <c r="H6" s="441"/>
      <c r="I6" s="441"/>
      <c r="J6" s="439"/>
      <c r="K6" s="439"/>
      <c r="L6" s="439"/>
      <c r="M6" s="439"/>
      <c r="N6" s="439"/>
      <c r="O6" s="439"/>
      <c r="P6" s="439"/>
      <c r="Q6" s="439"/>
      <c r="R6" s="439"/>
      <c r="S6" s="439"/>
    </row>
    <row r="7" spans="1:19" ht="14.25" customHeight="1">
      <c r="A7" s="441"/>
      <c r="B7" s="441"/>
      <c r="C7" s="441"/>
      <c r="D7" s="441"/>
      <c r="E7" s="441"/>
      <c r="F7" s="441"/>
      <c r="G7" s="441"/>
      <c r="H7" s="441"/>
      <c r="I7" s="441"/>
      <c r="J7" s="439"/>
      <c r="K7" s="439"/>
      <c r="L7" s="439"/>
      <c r="M7" s="439"/>
      <c r="N7" s="439"/>
      <c r="O7" s="439"/>
      <c r="P7" s="439"/>
      <c r="Q7" s="439"/>
      <c r="R7" s="439"/>
      <c r="S7" s="439"/>
    </row>
    <row r="8" spans="1:19" ht="14.25" customHeight="1">
      <c r="A8" s="441"/>
      <c r="B8" s="441"/>
      <c r="C8" s="441"/>
      <c r="D8" s="441"/>
      <c r="E8" s="441"/>
      <c r="F8" s="441"/>
      <c r="G8" s="441"/>
      <c r="H8" s="441"/>
      <c r="I8" s="441"/>
      <c r="J8" s="439"/>
      <c r="K8" s="439"/>
      <c r="L8" s="439"/>
      <c r="M8" s="439"/>
      <c r="N8" s="439"/>
      <c r="O8" s="439"/>
      <c r="P8" s="439"/>
      <c r="Q8" s="439"/>
      <c r="R8" s="439"/>
      <c r="S8" s="439"/>
    </row>
    <row r="9" spans="1:19" ht="14.25" customHeight="1">
      <c r="A9" s="441"/>
      <c r="B9" s="441"/>
      <c r="C9" s="441"/>
      <c r="D9" s="441"/>
      <c r="E9" s="441"/>
      <c r="F9" s="441"/>
      <c r="G9" s="441"/>
      <c r="H9" s="441"/>
      <c r="I9" s="441"/>
      <c r="J9" s="439"/>
      <c r="K9" s="439"/>
      <c r="L9" s="439"/>
      <c r="M9" s="439"/>
      <c r="N9" s="439"/>
      <c r="O9" s="439"/>
      <c r="P9" s="439"/>
      <c r="Q9" s="439"/>
      <c r="R9" s="439"/>
      <c r="S9" s="439"/>
    </row>
    <row r="10" spans="1:19" ht="14.25" customHeight="1">
      <c r="A10" s="441"/>
      <c r="B10" s="441"/>
      <c r="C10" s="441"/>
      <c r="D10" s="441"/>
      <c r="E10" s="441"/>
      <c r="F10" s="441"/>
      <c r="G10" s="441"/>
      <c r="H10" s="441"/>
      <c r="I10" s="441"/>
      <c r="J10" s="24"/>
      <c r="K10" s="24"/>
      <c r="L10" s="24"/>
      <c r="M10" s="24"/>
      <c r="N10" s="24"/>
      <c r="O10" s="24"/>
      <c r="P10" s="24"/>
      <c r="Q10" s="24"/>
      <c r="R10" s="24"/>
    </row>
    <row r="11" spans="1:19" ht="14.25" customHeight="1" thickBot="1">
      <c r="A11" s="441"/>
      <c r="B11" s="441"/>
      <c r="C11" s="441"/>
      <c r="D11" s="441"/>
      <c r="E11" s="441"/>
      <c r="F11" s="441"/>
      <c r="G11" s="441"/>
      <c r="H11" s="441"/>
      <c r="I11" s="441"/>
      <c r="K11" s="26" t="s">
        <v>347</v>
      </c>
      <c r="L11" s="27"/>
      <c r="P11" s="26" t="s">
        <v>355</v>
      </c>
      <c r="Q11" s="27"/>
    </row>
    <row r="12" spans="1:19" ht="14.25" customHeight="1" thickTop="1">
      <c r="A12" s="441"/>
      <c r="B12" s="441"/>
      <c r="C12" s="441"/>
      <c r="D12" s="441"/>
      <c r="E12" s="441"/>
      <c r="F12" s="441"/>
      <c r="G12" s="441"/>
      <c r="H12" s="441"/>
      <c r="I12" s="441"/>
      <c r="K12" s="173">
        <f>'Årlig CO2-opgørelse'!D6</f>
        <v>3557.2522418000003</v>
      </c>
      <c r="L12" s="13" t="s">
        <v>340</v>
      </c>
      <c r="M12" s="13"/>
      <c r="P12" s="173">
        <f>'Årlig CO2-opgørelse'!F6</f>
        <v>85.834815090606369</v>
      </c>
      <c r="Q12" s="128" t="s">
        <v>333</v>
      </c>
      <c r="R12" s="128"/>
    </row>
    <row r="13" spans="1:19" ht="14.25" customHeight="1">
      <c r="A13" s="441"/>
      <c r="B13" s="441"/>
      <c r="C13" s="441"/>
      <c r="D13" s="441"/>
      <c r="E13" s="441"/>
      <c r="F13" s="441"/>
      <c r="G13" s="441"/>
      <c r="H13" s="441"/>
      <c r="I13" s="441"/>
      <c r="K13" s="174">
        <f>'Årlig CO2-opgørelse'!D7</f>
        <v>216.40685850000003</v>
      </c>
      <c r="L13" s="15"/>
      <c r="M13" s="7" t="s">
        <v>275</v>
      </c>
      <c r="P13" s="174">
        <f>'Årlig CO2-opgørelse'!F13</f>
        <v>23.803699748583085</v>
      </c>
      <c r="Q13" s="128" t="s">
        <v>334</v>
      </c>
      <c r="R13" s="128"/>
    </row>
    <row r="14" spans="1:19" ht="14.25" customHeight="1">
      <c r="A14" s="441"/>
      <c r="B14" s="441"/>
      <c r="C14" s="441"/>
      <c r="D14" s="441"/>
      <c r="E14" s="441"/>
      <c r="F14" s="441"/>
      <c r="G14" s="441"/>
      <c r="H14" s="441"/>
      <c r="I14" s="441"/>
      <c r="K14" s="174">
        <f>'Årlig CO2-opgørelse'!D8</f>
        <v>1588.6048002000002</v>
      </c>
      <c r="L14" s="15"/>
      <c r="M14" s="7" t="s">
        <v>368</v>
      </c>
      <c r="P14" s="174">
        <f>'Årlig CO2-opgørelse'!F17</f>
        <v>0</v>
      </c>
      <c r="Q14" s="128" t="s">
        <v>335</v>
      </c>
      <c r="R14" s="128"/>
    </row>
    <row r="15" spans="1:19" ht="14.25" customHeight="1">
      <c r="A15" s="441"/>
      <c r="B15" s="441"/>
      <c r="C15" s="441"/>
      <c r="D15" s="441"/>
      <c r="E15" s="441"/>
      <c r="F15" s="441"/>
      <c r="G15" s="441"/>
      <c r="H15" s="441"/>
      <c r="I15" s="441"/>
      <c r="K15" s="174">
        <f>'Årlig CO2-opgørelse'!D9</f>
        <v>511.53182620000007</v>
      </c>
      <c r="L15" s="15"/>
      <c r="M15" s="7" t="s">
        <v>277</v>
      </c>
      <c r="P15" s="174">
        <f>'Årlig CO2-opgørelse'!F22</f>
        <v>25.05168071809473</v>
      </c>
      <c r="Q15" s="128" t="s">
        <v>296</v>
      </c>
      <c r="R15" s="128"/>
    </row>
    <row r="16" spans="1:19" ht="14.25" customHeight="1">
      <c r="A16" s="441"/>
      <c r="B16" s="441"/>
      <c r="C16" s="441"/>
      <c r="D16" s="441"/>
      <c r="E16" s="441"/>
      <c r="F16" s="441"/>
      <c r="G16" s="441"/>
      <c r="H16" s="441"/>
      <c r="I16" s="441"/>
      <c r="K16" s="174">
        <f>'Årlig CO2-opgørelse'!D10</f>
        <v>293.44412799999998</v>
      </c>
      <c r="L16" s="15"/>
      <c r="M16" s="7" t="s">
        <v>284</v>
      </c>
      <c r="P16" s="174">
        <f>'Årlig CO2-opgørelse'!F23</f>
        <v>1.326203532562797</v>
      </c>
      <c r="Q16" s="128" t="s">
        <v>336</v>
      </c>
      <c r="R16" s="128"/>
    </row>
    <row r="17" spans="1:18" ht="14.25" customHeight="1">
      <c r="A17" s="441"/>
      <c r="B17" s="441"/>
      <c r="C17" s="441"/>
      <c r="D17" s="441"/>
      <c r="E17" s="441"/>
      <c r="F17" s="441"/>
      <c r="G17" s="441"/>
      <c r="H17" s="441"/>
      <c r="I17" s="441"/>
      <c r="K17" s="174">
        <f>'Årlig CO2-opgørelse'!D11</f>
        <v>93.369920499999992</v>
      </c>
      <c r="L17" s="15"/>
      <c r="M17" s="7" t="s">
        <v>285</v>
      </c>
      <c r="P17" s="174">
        <f>'Årlig CO2-opgørelse'!F27</f>
        <v>0</v>
      </c>
      <c r="Q17" s="128" t="s">
        <v>337</v>
      </c>
      <c r="R17" s="128"/>
    </row>
    <row r="18" spans="1:18" ht="14.25" customHeight="1">
      <c r="A18" s="441"/>
      <c r="B18" s="441"/>
      <c r="C18" s="441"/>
      <c r="D18" s="441"/>
      <c r="E18" s="441"/>
      <c r="F18" s="441"/>
      <c r="G18" s="441"/>
      <c r="H18" s="441"/>
      <c r="I18" s="441"/>
      <c r="K18" s="174">
        <f>'Årlig CO2-opgørelse'!D12</f>
        <v>853.89470840000001</v>
      </c>
      <c r="L18" s="15"/>
      <c r="M18" s="7" t="s">
        <v>286</v>
      </c>
      <c r="P18" s="174">
        <f>'Årlig CO2-opgørelse'!F31</f>
        <v>1.9810888931785828</v>
      </c>
      <c r="Q18" s="143" t="s">
        <v>338</v>
      </c>
      <c r="R18" s="143"/>
    </row>
    <row r="19" spans="1:18" ht="14.25" customHeight="1" thickBot="1">
      <c r="A19" s="441"/>
      <c r="B19" s="441"/>
      <c r="C19" s="441"/>
      <c r="D19" s="441"/>
      <c r="E19" s="441"/>
      <c r="F19" s="441"/>
      <c r="G19" s="441"/>
      <c r="H19" s="441"/>
      <c r="I19" s="441"/>
      <c r="K19" s="174">
        <f>'Årlig CO2-opgørelse'!D13</f>
        <v>986.4967286805288</v>
      </c>
      <c r="L19" s="13" t="s">
        <v>287</v>
      </c>
      <c r="M19" s="14"/>
      <c r="P19" s="176">
        <f>SUM(P12:P18)</f>
        <v>137.99748798302559</v>
      </c>
      <c r="Q19" s="129" t="s">
        <v>339</v>
      </c>
      <c r="R19" s="129"/>
    </row>
    <row r="20" spans="1:18" ht="14.25" customHeight="1" thickTop="1">
      <c r="A20" s="441"/>
      <c r="B20" s="441"/>
      <c r="C20" s="441"/>
      <c r="D20" s="441"/>
      <c r="E20" s="441"/>
      <c r="F20" s="441"/>
      <c r="G20" s="441"/>
      <c r="H20" s="441"/>
      <c r="I20" s="441"/>
      <c r="K20" s="174">
        <f>'Årlig CO2-opgørelse'!D14</f>
        <v>177.62174390243902</v>
      </c>
      <c r="L20" s="15"/>
      <c r="M20" s="7" t="s">
        <v>288</v>
      </c>
    </row>
    <row r="21" spans="1:18" ht="14.25" customHeight="1" thickBot="1">
      <c r="A21" s="441"/>
      <c r="B21" s="441"/>
      <c r="C21" s="441"/>
      <c r="D21" s="441"/>
      <c r="E21" s="441"/>
      <c r="F21" s="441"/>
      <c r="G21" s="441"/>
      <c r="H21" s="441"/>
      <c r="I21" s="441"/>
      <c r="K21" s="174">
        <f>'Årlig CO2-opgørelse'!D15</f>
        <v>521.98260099999993</v>
      </c>
      <c r="L21" s="15"/>
      <c r="M21" s="7" t="s">
        <v>289</v>
      </c>
      <c r="P21" s="26" t="s">
        <v>378</v>
      </c>
    </row>
    <row r="22" spans="1:18" ht="14.25" customHeight="1" thickTop="1">
      <c r="A22" s="441"/>
      <c r="B22" s="441"/>
      <c r="C22" s="441"/>
      <c r="D22" s="441"/>
      <c r="E22" s="441"/>
      <c r="F22" s="441"/>
      <c r="G22" s="441"/>
      <c r="H22" s="441"/>
      <c r="I22" s="441"/>
      <c r="K22" s="174">
        <f>'Årlig CO2-opgørelse'!D16</f>
        <v>286.89238377808988</v>
      </c>
      <c r="L22" s="15"/>
      <c r="M22" s="12" t="s">
        <v>290</v>
      </c>
      <c r="P22" s="177">
        <f>'Årlig CO2-opgørelse'!E6</f>
        <v>108.82355880461381</v>
      </c>
      <c r="Q22" s="13" t="s">
        <v>340</v>
      </c>
      <c r="R22" s="14"/>
    </row>
    <row r="23" spans="1:18" ht="14.25" customHeight="1">
      <c r="A23" s="441"/>
      <c r="B23" s="441"/>
      <c r="C23" s="441"/>
      <c r="D23" s="441"/>
      <c r="E23" s="441"/>
      <c r="F23" s="441"/>
      <c r="G23" s="441"/>
      <c r="H23" s="441"/>
      <c r="I23" s="441"/>
      <c r="K23" s="174">
        <f>'Årlig CO2-opgørelse'!D17</f>
        <v>0</v>
      </c>
      <c r="L23" s="13" t="s">
        <v>291</v>
      </c>
      <c r="M23" s="13"/>
      <c r="P23" s="174">
        <f>'Årlig CO2-opgørelse'!E7</f>
        <v>14.107357138200785</v>
      </c>
      <c r="Q23" s="131"/>
      <c r="R23" s="132" t="s">
        <v>275</v>
      </c>
    </row>
    <row r="24" spans="1:18" ht="14.25" customHeight="1">
      <c r="A24" s="441"/>
      <c r="B24" s="441"/>
      <c r="C24" s="441"/>
      <c r="D24" s="441"/>
      <c r="E24" s="441"/>
      <c r="F24" s="441"/>
      <c r="G24" s="441"/>
      <c r="H24" s="441"/>
      <c r="I24" s="441"/>
      <c r="K24" s="174">
        <f>'Årlig CO2-opgørelse'!D18</f>
        <v>0</v>
      </c>
      <c r="L24" s="15"/>
      <c r="M24" s="7" t="s">
        <v>292</v>
      </c>
      <c r="P24" s="174">
        <f>'Årlig CO2-opgørelse'!E8</f>
        <v>15.981939639839036</v>
      </c>
      <c r="Q24" s="133"/>
      <c r="R24" s="132" t="s">
        <v>368</v>
      </c>
    </row>
    <row r="25" spans="1:18" ht="14.25" customHeight="1">
      <c r="A25" s="441"/>
      <c r="B25" s="441"/>
      <c r="C25" s="441"/>
      <c r="D25" s="441"/>
      <c r="E25" s="441"/>
      <c r="F25" s="441"/>
      <c r="G25" s="441"/>
      <c r="H25" s="441"/>
      <c r="I25" s="441"/>
      <c r="K25" s="174">
        <f>'Årlig CO2-opgørelse'!D19</f>
        <v>0</v>
      </c>
      <c r="L25" s="15"/>
      <c r="M25" s="7" t="s">
        <v>293</v>
      </c>
      <c r="P25" s="174">
        <f>'Årlig CO2-opgørelse'!E9</f>
        <v>29.195355641801271</v>
      </c>
      <c r="Q25" s="133"/>
      <c r="R25" s="132" t="s">
        <v>277</v>
      </c>
    </row>
    <row r="26" spans="1:18" ht="14.25" customHeight="1">
      <c r="A26" s="441"/>
      <c r="B26" s="441"/>
      <c r="C26" s="441"/>
      <c r="D26" s="441"/>
      <c r="E26" s="441"/>
      <c r="F26" s="441"/>
      <c r="G26" s="441"/>
      <c r="H26" s="441"/>
      <c r="I26" s="441"/>
      <c r="K26" s="174">
        <f>'Årlig CO2-opgørelse'!D20</f>
        <v>0</v>
      </c>
      <c r="L26" s="15"/>
      <c r="M26" s="7" t="s">
        <v>294</v>
      </c>
      <c r="P26" s="174">
        <f>'Årlig CO2-opgørelse'!E10</f>
        <v>18.111599061844213</v>
      </c>
      <c r="Q26" s="133"/>
      <c r="R26" s="132" t="s">
        <v>284</v>
      </c>
    </row>
    <row r="27" spans="1:18" ht="14.25" customHeight="1">
      <c r="A27" s="441"/>
      <c r="B27" s="441"/>
      <c r="C27" s="441"/>
      <c r="D27" s="441"/>
      <c r="E27" s="441"/>
      <c r="F27" s="441"/>
      <c r="G27" s="441"/>
      <c r="H27" s="441"/>
      <c r="I27" s="441"/>
      <c r="K27" s="174">
        <f>'Årlig CO2-opgørelse'!D21</f>
        <v>0</v>
      </c>
      <c r="L27" s="15"/>
      <c r="M27" s="7" t="s">
        <v>295</v>
      </c>
      <c r="P27" s="174">
        <f>'Årlig CO2-opgørelse'!E11</f>
        <v>14.172726244687309</v>
      </c>
      <c r="Q27" s="133"/>
      <c r="R27" s="132" t="s">
        <v>285</v>
      </c>
    </row>
    <row r="28" spans="1:18" ht="14.25" customHeight="1">
      <c r="A28" s="441"/>
      <c r="B28" s="441"/>
      <c r="C28" s="441"/>
      <c r="D28" s="441"/>
      <c r="E28" s="441"/>
      <c r="F28" s="441"/>
      <c r="G28" s="441"/>
      <c r="H28" s="441"/>
      <c r="I28" s="441"/>
      <c r="K28" s="174">
        <f>'Årlig CO2-opgørelse'!D22</f>
        <v>1038.2168039999999</v>
      </c>
      <c r="L28" s="13" t="s">
        <v>344</v>
      </c>
      <c r="M28" s="13"/>
      <c r="P28" s="174">
        <f>'Årlig CO2-opgørelse'!E12</f>
        <v>17.254581078241191</v>
      </c>
      <c r="Q28" s="134"/>
      <c r="R28" s="132" t="s">
        <v>341</v>
      </c>
    </row>
    <row r="29" spans="1:18" ht="14.25" customHeight="1">
      <c r="A29" s="441"/>
      <c r="B29" s="441"/>
      <c r="C29" s="441"/>
      <c r="D29" s="441"/>
      <c r="E29" s="441"/>
      <c r="F29" s="441"/>
      <c r="G29" s="441"/>
      <c r="H29" s="441"/>
      <c r="I29" s="441"/>
      <c r="K29" s="174">
        <f>'Årlig CO2-opgørelse'!D23</f>
        <v>54.961852999999998</v>
      </c>
      <c r="L29" s="13" t="s">
        <v>297</v>
      </c>
      <c r="M29" s="13"/>
      <c r="P29" s="174">
        <f>'Årlig CO2-opgørelse'!E23</f>
        <v>34.896414603174598</v>
      </c>
      <c r="Q29" s="130" t="s">
        <v>342</v>
      </c>
      <c r="R29" s="14"/>
    </row>
    <row r="30" spans="1:18" ht="14.25" customHeight="1">
      <c r="A30" s="441"/>
      <c r="B30" s="441"/>
      <c r="C30" s="441"/>
      <c r="D30" s="441"/>
      <c r="E30" s="441"/>
      <c r="F30" s="441"/>
      <c r="G30" s="441"/>
      <c r="H30" s="441"/>
      <c r="I30" s="441"/>
      <c r="K30" s="174">
        <f>'Årlig CO2-opgørelse'!D24</f>
        <v>54.961852999999998</v>
      </c>
      <c r="L30" s="15"/>
      <c r="M30" s="7" t="s">
        <v>367</v>
      </c>
      <c r="P30" s="174">
        <f>'Årlig CO2-opgørelse'!E24</f>
        <v>34.896414603174598</v>
      </c>
      <c r="Q30" s="131"/>
      <c r="R30" s="132" t="s">
        <v>367</v>
      </c>
    </row>
    <row r="31" spans="1:18" ht="14.25" customHeight="1">
      <c r="A31" s="441"/>
      <c r="B31" s="441"/>
      <c r="C31" s="441"/>
      <c r="D31" s="441"/>
      <c r="E31" s="441"/>
      <c r="F31" s="441"/>
      <c r="G31" s="441"/>
      <c r="H31" s="441"/>
      <c r="I31" s="441"/>
      <c r="K31" s="174">
        <f>'Årlig CO2-opgørelse'!D25</f>
        <v>0</v>
      </c>
      <c r="L31" s="15"/>
      <c r="M31" s="7" t="s">
        <v>298</v>
      </c>
      <c r="P31" s="174">
        <f>'Årlig CO2-opgørelse'!E25</f>
        <v>0</v>
      </c>
      <c r="Q31" s="133"/>
      <c r="R31" s="135" t="s">
        <v>298</v>
      </c>
    </row>
    <row r="32" spans="1:18" ht="14.25" customHeight="1">
      <c r="A32" s="441"/>
      <c r="B32" s="441"/>
      <c r="C32" s="441"/>
      <c r="D32" s="441"/>
      <c r="E32" s="441"/>
      <c r="F32" s="441"/>
      <c r="G32" s="441"/>
      <c r="H32" s="441"/>
      <c r="I32" s="441"/>
      <c r="K32" s="174">
        <f>'Årlig CO2-opgørelse'!D26</f>
        <v>0</v>
      </c>
      <c r="L32" s="15"/>
      <c r="M32" s="7" t="s">
        <v>295</v>
      </c>
      <c r="P32" s="174">
        <f>'Årlig CO2-opgørelse'!E26</f>
        <v>0</v>
      </c>
      <c r="Q32" s="133"/>
      <c r="R32" s="135" t="s">
        <v>295</v>
      </c>
    </row>
    <row r="33" spans="1:18" ht="14.25" customHeight="1">
      <c r="A33" s="441"/>
      <c r="B33" s="441"/>
      <c r="C33" s="441"/>
      <c r="D33" s="441"/>
      <c r="E33" s="441"/>
      <c r="F33" s="441"/>
      <c r="G33" s="441"/>
      <c r="H33" s="441"/>
      <c r="I33" s="441"/>
      <c r="K33" s="174">
        <f>'Årlig CO2-opgørelse'!D27</f>
        <v>0</v>
      </c>
      <c r="L33" s="13" t="s">
        <v>343</v>
      </c>
      <c r="M33" s="13"/>
      <c r="P33" s="174">
        <f>'Årlig CO2-opgørelse'!E31</f>
        <v>18.310050624442464</v>
      </c>
      <c r="Q33" s="13" t="s">
        <v>301</v>
      </c>
      <c r="R33" s="136"/>
    </row>
    <row r="34" spans="1:18">
      <c r="A34" s="441"/>
      <c r="B34" s="441"/>
      <c r="C34" s="441"/>
      <c r="D34" s="441"/>
      <c r="E34" s="441"/>
      <c r="F34" s="441"/>
      <c r="G34" s="441"/>
      <c r="H34" s="441"/>
      <c r="I34" s="441"/>
      <c r="K34" s="174">
        <f>'Årlig CO2-opgørelse'!D28</f>
        <v>0</v>
      </c>
      <c r="L34" s="15"/>
      <c r="M34" s="7" t="s">
        <v>299</v>
      </c>
      <c r="P34" s="174">
        <f>'Årlig CO2-opgørelse'!E32</f>
        <v>18.310050624442464</v>
      </c>
      <c r="Q34" s="134"/>
      <c r="R34" s="132" t="s">
        <v>278</v>
      </c>
    </row>
    <row r="35" spans="1:18">
      <c r="A35" s="441"/>
      <c r="B35" s="441"/>
      <c r="C35" s="441"/>
      <c r="D35" s="441"/>
      <c r="E35" s="441"/>
      <c r="F35" s="441"/>
      <c r="G35" s="441"/>
      <c r="H35" s="441"/>
      <c r="I35" s="441"/>
      <c r="K35" s="174">
        <f>'Årlig CO2-opgørelse'!D29</f>
        <v>0</v>
      </c>
      <c r="L35" s="15"/>
      <c r="M35" s="7" t="s">
        <v>300</v>
      </c>
      <c r="P35" s="174">
        <f>SUM('Årlig CO2-opgørelse'!E33:E37)</f>
        <v>0</v>
      </c>
      <c r="Q35" s="134"/>
      <c r="R35" s="132" t="s">
        <v>295</v>
      </c>
    </row>
    <row r="36" spans="1:18" ht="15.75" thickBot="1">
      <c r="A36" s="441"/>
      <c r="B36" s="441"/>
      <c r="C36" s="441"/>
      <c r="D36" s="441"/>
      <c r="E36" s="441"/>
      <c r="F36" s="441"/>
      <c r="G36" s="441"/>
      <c r="H36" s="441"/>
      <c r="I36" s="441"/>
      <c r="K36" s="174">
        <f>'Årlig CO2-opgørelse'!D30</f>
        <v>0</v>
      </c>
      <c r="L36" s="15"/>
      <c r="M36" s="7" t="s">
        <v>295</v>
      </c>
      <c r="P36" s="175">
        <f>SUM(P22:P35)</f>
        <v>324.06004806446174</v>
      </c>
      <c r="Q36" s="16" t="s">
        <v>339</v>
      </c>
      <c r="R36" s="14"/>
    </row>
    <row r="37" spans="1:18" ht="15.75" thickTop="1">
      <c r="A37" s="441"/>
      <c r="B37" s="441"/>
      <c r="C37" s="441"/>
      <c r="D37" s="441"/>
      <c r="E37" s="441"/>
      <c r="F37" s="441"/>
      <c r="G37" s="441"/>
      <c r="H37" s="441"/>
      <c r="I37" s="441"/>
      <c r="K37" s="174">
        <f>'Årlig CO2-opgørelse'!D31</f>
        <v>82.102267000000012</v>
      </c>
      <c r="L37" s="13" t="s">
        <v>301</v>
      </c>
      <c r="M37" s="13"/>
    </row>
    <row r="38" spans="1:18">
      <c r="A38" s="441"/>
      <c r="B38" s="441"/>
      <c r="C38" s="441"/>
      <c r="D38" s="441"/>
      <c r="E38" s="441"/>
      <c r="F38" s="441"/>
      <c r="G38" s="441"/>
      <c r="H38" s="441"/>
      <c r="I38" s="441"/>
      <c r="K38" s="174">
        <f>'Årlig CO2-opgørelse'!D32</f>
        <v>82.102267000000012</v>
      </c>
      <c r="L38" s="127"/>
      <c r="M38" s="7" t="s">
        <v>278</v>
      </c>
    </row>
    <row r="39" spans="1:18">
      <c r="A39" s="441"/>
      <c r="B39" s="441"/>
      <c r="C39" s="441"/>
      <c r="D39" s="441"/>
      <c r="E39" s="441"/>
      <c r="F39" s="441"/>
      <c r="G39" s="441"/>
      <c r="H39" s="441"/>
      <c r="I39" s="441"/>
      <c r="K39" s="174">
        <f>'Årlig CO2-opgørelse'!D33</f>
        <v>0</v>
      </c>
      <c r="L39" s="15"/>
      <c r="M39" s="7" t="s">
        <v>302</v>
      </c>
    </row>
    <row r="40" spans="1:18">
      <c r="A40" s="441"/>
      <c r="B40" s="441"/>
      <c r="C40" s="441"/>
      <c r="D40" s="441"/>
      <c r="E40" s="441"/>
      <c r="F40" s="441"/>
      <c r="G40" s="441"/>
      <c r="H40" s="441"/>
      <c r="I40" s="441"/>
      <c r="K40" s="174">
        <f>'Årlig CO2-opgørelse'!D34</f>
        <v>0</v>
      </c>
      <c r="L40" s="15"/>
      <c r="M40" s="7" t="s">
        <v>303</v>
      </c>
    </row>
    <row r="41" spans="1:18">
      <c r="A41" s="441"/>
      <c r="B41" s="441"/>
      <c r="C41" s="441"/>
      <c r="D41" s="441"/>
      <c r="E41" s="441"/>
      <c r="F41" s="441"/>
      <c r="G41" s="441"/>
      <c r="H41" s="441"/>
      <c r="I41" s="441"/>
      <c r="K41" s="174">
        <f>'Årlig CO2-opgørelse'!D35</f>
        <v>0</v>
      </c>
      <c r="L41" s="15"/>
      <c r="M41" s="7" t="s">
        <v>304</v>
      </c>
    </row>
    <row r="42" spans="1:18">
      <c r="A42" s="441"/>
      <c r="B42" s="441"/>
      <c r="C42" s="441"/>
      <c r="D42" s="441"/>
      <c r="E42" s="441"/>
      <c r="F42" s="441"/>
      <c r="G42" s="441"/>
      <c r="H42" s="441"/>
      <c r="I42" s="441"/>
      <c r="K42" s="174">
        <f>'Årlig CO2-opgørelse'!D36</f>
        <v>0</v>
      </c>
      <c r="L42" s="15"/>
      <c r="M42" s="7" t="s">
        <v>332</v>
      </c>
    </row>
    <row r="43" spans="1:18">
      <c r="K43" s="174">
        <f>'Årlig CO2-opgørelse'!D37</f>
        <v>0</v>
      </c>
      <c r="L43" s="15"/>
      <c r="M43" s="7" t="s">
        <v>295</v>
      </c>
    </row>
    <row r="44" spans="1:18" ht="15.75" thickBot="1">
      <c r="K44" s="175">
        <f>'Årlig CO2-opgørelse'!D38</f>
        <v>5719.029894480529</v>
      </c>
      <c r="L44" s="142" t="s">
        <v>305</v>
      </c>
      <c r="M44" s="13"/>
    </row>
    <row r="45" spans="1:18" ht="15" thickTop="1">
      <c r="K45" s="124"/>
      <c r="L45" s="29"/>
    </row>
  </sheetData>
  <mergeCells count="2">
    <mergeCell ref="J1:S9"/>
    <mergeCell ref="A1:I42"/>
  </mergeCells>
  <phoneticPr fontId="7" type="noConversion"/>
  <pageMargins left="0.75" right="0.75" top="1" bottom="1" header="0.5" footer="0.5"/>
  <pageSetup paperSize="9" orientation="portrait" r:id="rId1"/>
  <headerFooter alignWithMargins="0"/>
  <colBreaks count="1" manualBreakCount="1">
    <brk id="9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8"/>
  </sheetPr>
  <dimension ref="A1:B25"/>
  <sheetViews>
    <sheetView zoomScale="85" workbookViewId="0">
      <selection activeCell="A8" sqref="A8:IV8"/>
    </sheetView>
  </sheetViews>
  <sheetFormatPr defaultRowHeight="12.75"/>
  <cols>
    <col min="1" max="1" width="40.7109375" bestFit="1" customWidth="1"/>
  </cols>
  <sheetData>
    <row r="1" spans="1:2" ht="15.75">
      <c r="A1" s="21" t="s">
        <v>353</v>
      </c>
    </row>
    <row r="2" spans="1:2" ht="14.25">
      <c r="A2" t="s">
        <v>296</v>
      </c>
      <c r="B2" s="19">
        <f>'Årlig CO2-opgørelse'!D22</f>
        <v>1038.2168039999999</v>
      </c>
    </row>
    <row r="3" spans="1:2" ht="14.25">
      <c r="A3" t="s">
        <v>336</v>
      </c>
      <c r="B3" s="19">
        <f>'Årlig CO2-opgørelse'!D23</f>
        <v>54.961852999999998</v>
      </c>
    </row>
    <row r="4" spans="1:2" ht="14.25">
      <c r="A4" t="s">
        <v>338</v>
      </c>
      <c r="B4" s="20">
        <f>'Årlig CO2-opgørelse'!D31</f>
        <v>82.102267000000012</v>
      </c>
    </row>
    <row r="5" spans="1:2" ht="14.25">
      <c r="A5" t="s">
        <v>337</v>
      </c>
      <c r="B5" s="20">
        <f>'Årlig CO2-opgørelse'!D27</f>
        <v>0</v>
      </c>
    </row>
    <row r="6" spans="1:2" ht="14.25">
      <c r="A6" t="s">
        <v>335</v>
      </c>
      <c r="B6" s="19">
        <f>'Årlig CO2-opgørelse'!D17</f>
        <v>0</v>
      </c>
    </row>
    <row r="7" spans="1:2" ht="14.25">
      <c r="A7" t="s">
        <v>398</v>
      </c>
      <c r="B7" s="19">
        <f>'Årlig CO2-opgørelse'!D13</f>
        <v>986.4967286805288</v>
      </c>
    </row>
    <row r="8" spans="1:2" ht="14.25">
      <c r="A8" t="s">
        <v>397</v>
      </c>
      <c r="B8" s="19">
        <f>'Årlig CO2-opgørelse'!D6</f>
        <v>3557.2522418000003</v>
      </c>
    </row>
    <row r="10" spans="1:2" ht="15.75">
      <c r="A10" s="21" t="s">
        <v>354</v>
      </c>
    </row>
    <row r="11" spans="1:2">
      <c r="A11" t="str">
        <f>'Årlig CO2-opgørelse'!C7</f>
        <v>Administrationsbygninger</v>
      </c>
      <c r="B11" s="22">
        <f>'Årlig CO2-opgørelse'!D7</f>
        <v>216.40685850000003</v>
      </c>
    </row>
    <row r="12" spans="1:2">
      <c r="A12" t="str">
        <f>'Årlig CO2-opgørelse'!C8</f>
        <v>Skoler, fritids- og ungdomsklubber</v>
      </c>
      <c r="B12" s="22">
        <f>'Årlig CO2-opgørelse'!D8</f>
        <v>1588.6048002000002</v>
      </c>
    </row>
    <row r="13" spans="1:2">
      <c r="A13" t="str">
        <f>'Årlig CO2-opgørelse'!C9</f>
        <v>Daginstitutioner</v>
      </c>
      <c r="B13" s="22">
        <f>'Årlig CO2-opgørelse'!D9</f>
        <v>511.53182620000007</v>
      </c>
    </row>
    <row r="14" spans="1:2">
      <c r="A14" t="str">
        <f>'Årlig CO2-opgørelse'!C10</f>
        <v>Ældrepleje</v>
      </c>
      <c r="B14" s="22">
        <f>'Årlig CO2-opgørelse'!D10</f>
        <v>293.44412799999998</v>
      </c>
    </row>
    <row r="15" spans="1:2">
      <c r="A15" t="str">
        <f>'Årlig CO2-opgørelse'!C11</f>
        <v>Kulturinstitutioner</v>
      </c>
      <c r="B15" s="22">
        <f>'Årlig CO2-opgørelse'!D11</f>
        <v>93.369920499999992</v>
      </c>
    </row>
    <row r="16" spans="1:2">
      <c r="A16" t="str">
        <f>'Årlig CO2-opgørelse'!C12</f>
        <v>Andre kommunale bygninger</v>
      </c>
      <c r="B16" s="22">
        <f>'Årlig CO2-opgørelse'!D12</f>
        <v>853.89470840000001</v>
      </c>
    </row>
    <row r="18" spans="1:2" ht="15.75">
      <c r="A18" s="21"/>
    </row>
    <row r="19" spans="1:2">
      <c r="B19" s="23"/>
    </row>
    <row r="20" spans="1:2">
      <c r="B20" s="23"/>
    </row>
    <row r="21" spans="1:2">
      <c r="B21" s="23"/>
    </row>
    <row r="22" spans="1:2">
      <c r="B22" s="23"/>
    </row>
    <row r="23" spans="1:2">
      <c r="B23" s="23"/>
    </row>
    <row r="24" spans="1:2">
      <c r="B24" s="23"/>
    </row>
    <row r="25" spans="1:2">
      <c r="B25" s="23"/>
    </row>
  </sheetData>
  <phoneticPr fontId="7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8"/>
  </sheetPr>
  <dimension ref="A1:J55"/>
  <sheetViews>
    <sheetView zoomScaleNormal="100" zoomScaleSheetLayoutView="100" workbookViewId="0">
      <selection activeCell="G24" sqref="G24"/>
    </sheetView>
  </sheetViews>
  <sheetFormatPr defaultColWidth="16.42578125" defaultRowHeight="12.75"/>
  <cols>
    <col min="1" max="1" width="21.5703125" style="55" customWidth="1"/>
    <col min="2" max="2" width="8.42578125" style="60" customWidth="1"/>
    <col min="3" max="3" width="7.85546875" style="55" bestFit="1" customWidth="1"/>
    <col min="4" max="4" width="17.140625" style="55" customWidth="1"/>
    <col min="5" max="5" width="16.5703125" style="55" customWidth="1"/>
    <col min="6" max="6" width="15.5703125" style="55" customWidth="1"/>
    <col min="7" max="7" width="18.85546875" style="55" bestFit="1" customWidth="1"/>
    <col min="8" max="8" width="21" style="55" customWidth="1"/>
    <col min="9" max="9" width="17.7109375" style="55" customWidth="1"/>
    <col min="10" max="16384" width="16.42578125" style="55"/>
  </cols>
  <sheetData>
    <row r="1" spans="1:9">
      <c r="A1" s="53" t="s">
        <v>376</v>
      </c>
      <c r="B1" s="59"/>
      <c r="C1" s="178">
        <v>41443</v>
      </c>
    </row>
    <row r="2" spans="1:9">
      <c r="B2" s="59"/>
      <c r="C2" s="54"/>
    </row>
    <row r="3" spans="1:9">
      <c r="E3" s="40"/>
    </row>
    <row r="4" spans="1:9">
      <c r="A4" s="53" t="s">
        <v>306</v>
      </c>
      <c r="E4" s="40"/>
    </row>
    <row r="5" spans="1:9">
      <c r="A5" s="51" t="s">
        <v>369</v>
      </c>
      <c r="B5" s="58" t="s">
        <v>370</v>
      </c>
      <c r="C5" s="51" t="s">
        <v>272</v>
      </c>
      <c r="D5" s="51" t="s">
        <v>385</v>
      </c>
      <c r="E5" s="40"/>
    </row>
    <row r="6" spans="1:9">
      <c r="A6" s="45" t="s">
        <v>265</v>
      </c>
      <c r="B6" s="41">
        <v>39.700000000000003</v>
      </c>
      <c r="C6" s="40" t="s">
        <v>307</v>
      </c>
      <c r="D6" s="40" t="s">
        <v>375</v>
      </c>
      <c r="E6" s="40"/>
    </row>
    <row r="7" spans="1:9">
      <c r="A7" s="46" t="s">
        <v>266</v>
      </c>
      <c r="B7" s="47">
        <v>35.9</v>
      </c>
      <c r="C7" s="48" t="s">
        <v>373</v>
      </c>
      <c r="D7" s="48" t="s">
        <v>375</v>
      </c>
      <c r="E7" s="40"/>
    </row>
    <row r="8" spans="1:9">
      <c r="A8" s="40"/>
      <c r="B8" s="41"/>
      <c r="C8" s="40"/>
      <c r="E8" s="40"/>
    </row>
    <row r="9" spans="1:9">
      <c r="A9" s="40"/>
      <c r="B9" s="41"/>
      <c r="C9" s="40"/>
      <c r="E9" s="40"/>
    </row>
    <row r="10" spans="1:9">
      <c r="A10" s="50" t="s">
        <v>347</v>
      </c>
      <c r="B10" s="41"/>
      <c r="C10" s="41"/>
      <c r="D10" s="42"/>
    </row>
    <row r="11" spans="1:9">
      <c r="A11" s="51" t="s">
        <v>384</v>
      </c>
      <c r="B11" s="58" t="s">
        <v>370</v>
      </c>
      <c r="C11" s="51" t="s">
        <v>272</v>
      </c>
      <c r="D11" s="51" t="s">
        <v>385</v>
      </c>
      <c r="E11" s="51"/>
      <c r="F11" s="51"/>
      <c r="G11" s="51"/>
      <c r="H11" s="51"/>
      <c r="I11" s="51"/>
    </row>
    <row r="12" spans="1:9">
      <c r="A12" s="43" t="s">
        <v>267</v>
      </c>
      <c r="B12" s="61">
        <v>0.438</v>
      </c>
      <c r="C12" s="44" t="s">
        <v>371</v>
      </c>
      <c r="D12" s="144" t="s">
        <v>352</v>
      </c>
      <c r="E12" s="44"/>
      <c r="F12" s="44"/>
      <c r="G12" s="44"/>
      <c r="H12" s="44"/>
      <c r="I12" s="44"/>
    </row>
    <row r="13" spans="1:9">
      <c r="A13" s="45" t="s">
        <v>265</v>
      </c>
      <c r="B13" s="62">
        <v>2.2450000000000001</v>
      </c>
      <c r="C13" s="52" t="s">
        <v>372</v>
      </c>
      <c r="D13" s="56" t="s">
        <v>350</v>
      </c>
      <c r="E13" s="40"/>
      <c r="F13" s="40"/>
      <c r="G13" s="40"/>
      <c r="H13" s="40"/>
      <c r="I13" s="40"/>
    </row>
    <row r="14" spans="1:9">
      <c r="A14" s="45" t="s">
        <v>266</v>
      </c>
      <c r="B14" s="62">
        <v>2.65</v>
      </c>
      <c r="C14" s="52" t="s">
        <v>374</v>
      </c>
      <c r="D14" s="56" t="s">
        <v>350</v>
      </c>
      <c r="E14" s="40"/>
      <c r="F14" s="40"/>
      <c r="G14" s="40"/>
      <c r="H14" s="40"/>
      <c r="I14" s="40"/>
    </row>
    <row r="15" spans="1:9">
      <c r="A15" s="45" t="s">
        <v>273</v>
      </c>
      <c r="B15" s="62">
        <v>2.4</v>
      </c>
      <c r="C15" s="40" t="s">
        <v>374</v>
      </c>
      <c r="D15" s="56" t="s">
        <v>350</v>
      </c>
      <c r="E15" s="40"/>
      <c r="F15" s="40"/>
      <c r="G15" s="40"/>
      <c r="H15" s="40"/>
      <c r="I15" s="40"/>
    </row>
    <row r="16" spans="1:9" s="40" customFormat="1">
      <c r="A16" s="40" t="s">
        <v>274</v>
      </c>
      <c r="B16" s="62">
        <v>2.65</v>
      </c>
      <c r="C16" s="40" t="s">
        <v>374</v>
      </c>
      <c r="D16" s="56" t="s">
        <v>350</v>
      </c>
    </row>
    <row r="17" spans="1:10" s="56" customFormat="1">
      <c r="A17" s="57" t="s">
        <v>386</v>
      </c>
      <c r="B17" s="145"/>
      <c r="C17" s="57"/>
      <c r="D17" s="57"/>
      <c r="E17" s="57"/>
      <c r="F17" s="57"/>
      <c r="G17" s="140" t="s">
        <v>387</v>
      </c>
      <c r="H17" s="140"/>
      <c r="I17" s="140"/>
    </row>
    <row r="18" spans="1:10">
      <c r="A18" s="40" t="s">
        <v>380</v>
      </c>
      <c r="B18" s="180">
        <v>0</v>
      </c>
      <c r="C18" s="40" t="s">
        <v>371</v>
      </c>
      <c r="D18" s="179" t="s">
        <v>417</v>
      </c>
      <c r="E18" s="40"/>
      <c r="F18" s="40"/>
      <c r="G18" s="52" t="s">
        <v>392</v>
      </c>
      <c r="H18" s="41"/>
      <c r="I18" s="41"/>
    </row>
    <row r="19" spans="1:10">
      <c r="A19" s="40" t="s">
        <v>382</v>
      </c>
      <c r="B19" s="180">
        <v>0.1021</v>
      </c>
      <c r="C19" s="40" t="s">
        <v>371</v>
      </c>
      <c r="D19" s="139" t="s">
        <v>409</v>
      </c>
      <c r="E19" s="40"/>
      <c r="F19" s="40"/>
      <c r="G19" s="52" t="s">
        <v>408</v>
      </c>
      <c r="H19" s="41"/>
      <c r="I19" s="41"/>
      <c r="J19" s="40"/>
    </row>
    <row r="20" spans="1:10">
      <c r="A20" s="40" t="s">
        <v>383</v>
      </c>
      <c r="B20" s="181">
        <v>0.14299999999999999</v>
      </c>
      <c r="C20" s="40" t="s">
        <v>371</v>
      </c>
      <c r="D20" s="183" t="s">
        <v>419</v>
      </c>
      <c r="E20" s="40"/>
      <c r="F20" s="40"/>
      <c r="G20" s="52" t="s">
        <v>407</v>
      </c>
      <c r="H20" s="41"/>
      <c r="I20" s="65"/>
      <c r="J20" s="138"/>
    </row>
    <row r="21" spans="1:10">
      <c r="A21" s="40" t="s">
        <v>410</v>
      </c>
      <c r="B21" s="181">
        <v>1.0200000000000001E-2</v>
      </c>
      <c r="C21" s="40" t="s">
        <v>371</v>
      </c>
      <c r="D21" s="139" t="s">
        <v>411</v>
      </c>
      <c r="E21" s="40"/>
      <c r="F21" s="40"/>
      <c r="G21" s="52" t="s">
        <v>412</v>
      </c>
      <c r="H21" s="41"/>
      <c r="I21" s="41"/>
      <c r="J21" s="137"/>
    </row>
    <row r="22" spans="1:10">
      <c r="A22" s="40" t="s">
        <v>381</v>
      </c>
      <c r="B22" s="181">
        <v>7.3899999999999993E-2</v>
      </c>
      <c r="C22" s="40" t="s">
        <v>371</v>
      </c>
      <c r="D22" s="139" t="s">
        <v>420</v>
      </c>
      <c r="E22" s="40"/>
      <c r="F22" s="40"/>
      <c r="G22" s="52" t="s">
        <v>413</v>
      </c>
      <c r="H22" s="41"/>
      <c r="I22" s="184"/>
      <c r="J22" s="137"/>
    </row>
    <row r="23" spans="1:10">
      <c r="A23" s="48" t="s">
        <v>414</v>
      </c>
      <c r="B23" s="182">
        <v>8.7800000000000003E-2</v>
      </c>
      <c r="C23" s="40" t="s">
        <v>371</v>
      </c>
      <c r="D23" s="185" t="s">
        <v>415</v>
      </c>
      <c r="E23" s="48"/>
      <c r="F23" s="48"/>
      <c r="G23" s="68" t="s">
        <v>416</v>
      </c>
      <c r="H23" s="47"/>
      <c r="I23" s="141"/>
      <c r="J23" s="137"/>
    </row>
    <row r="24" spans="1:10">
      <c r="A24" s="40"/>
      <c r="B24" s="62"/>
      <c r="C24" s="40"/>
      <c r="D24" s="56"/>
      <c r="G24" s="55" t="s">
        <v>393</v>
      </c>
    </row>
    <row r="25" spans="1:10" ht="12.75" customHeight="1">
      <c r="G25" s="443" t="s">
        <v>421</v>
      </c>
      <c r="H25" s="443"/>
      <c r="I25" s="443"/>
    </row>
    <row r="26" spans="1:10" ht="12.75" customHeight="1">
      <c r="G26" s="443"/>
      <c r="H26" s="443"/>
      <c r="I26" s="443"/>
    </row>
    <row r="27" spans="1:10" ht="12.75" customHeight="1">
      <c r="A27" s="56" t="s">
        <v>394</v>
      </c>
      <c r="B27" s="41"/>
      <c r="C27" s="40"/>
      <c r="D27" s="40"/>
      <c r="G27" s="444"/>
      <c r="H27" s="444"/>
      <c r="I27" s="444"/>
    </row>
    <row r="28" spans="1:10">
      <c r="A28" s="51" t="s">
        <v>369</v>
      </c>
      <c r="B28" s="58" t="s">
        <v>370</v>
      </c>
      <c r="C28" s="51" t="s">
        <v>272</v>
      </c>
      <c r="D28" s="66"/>
      <c r="E28" s="66"/>
      <c r="F28" s="66"/>
      <c r="G28" s="66"/>
      <c r="H28" s="66"/>
      <c r="I28" s="66"/>
    </row>
    <row r="29" spans="1:10">
      <c r="A29" s="44" t="s">
        <v>273</v>
      </c>
      <c r="B29" s="70">
        <f>170/1000</f>
        <v>0.17</v>
      </c>
      <c r="C29" s="67" t="s">
        <v>377</v>
      </c>
      <c r="D29" s="69" t="s">
        <v>350</v>
      </c>
    </row>
    <row r="30" spans="1:10">
      <c r="A30" s="48" t="s">
        <v>274</v>
      </c>
      <c r="B30" s="63">
        <f>145/1000</f>
        <v>0.14499999999999999</v>
      </c>
      <c r="C30" s="68" t="s">
        <v>377</v>
      </c>
      <c r="D30" s="56" t="s">
        <v>350</v>
      </c>
    </row>
    <row r="31" spans="1:10">
      <c r="A31" s="40"/>
      <c r="B31" s="41"/>
      <c r="C31" s="40"/>
      <c r="D31" s="44"/>
      <c r="E31" s="44"/>
      <c r="F31" s="44"/>
      <c r="G31" s="44"/>
      <c r="H31" s="44"/>
      <c r="I31" s="44"/>
    </row>
    <row r="32" spans="1:10">
      <c r="A32" s="40"/>
      <c r="B32" s="41"/>
      <c r="C32" s="40"/>
      <c r="D32" s="40"/>
    </row>
    <row r="39" spans="1:4">
      <c r="A39" s="40"/>
      <c r="B39" s="41"/>
      <c r="C39" s="40"/>
      <c r="D39" s="137"/>
    </row>
    <row r="40" spans="1:4">
      <c r="A40" s="40"/>
      <c r="B40" s="41"/>
      <c r="C40" s="40"/>
      <c r="D40" s="40"/>
    </row>
    <row r="41" spans="1:4">
      <c r="A41" s="40"/>
      <c r="B41" s="41"/>
    </row>
    <row r="42" spans="1:4">
      <c r="A42" s="40"/>
      <c r="B42" s="41"/>
    </row>
    <row r="43" spans="1:4">
      <c r="A43" s="36"/>
      <c r="B43" s="65"/>
    </row>
    <row r="44" spans="1:4">
      <c r="A44" s="40"/>
      <c r="B44" s="41"/>
    </row>
    <row r="45" spans="1:4">
      <c r="A45" s="126"/>
      <c r="B45" s="41"/>
    </row>
    <row r="46" spans="1:4">
      <c r="A46" s="442"/>
      <c r="B46" s="41"/>
    </row>
    <row r="47" spans="1:4">
      <c r="A47" s="442"/>
      <c r="B47" s="41"/>
    </row>
    <row r="48" spans="1:4">
      <c r="A48" s="442"/>
      <c r="B48" s="41"/>
    </row>
    <row r="49" spans="1:2">
      <c r="A49" s="126"/>
      <c r="B49" s="41"/>
    </row>
    <row r="50" spans="1:2">
      <c r="A50" s="40"/>
      <c r="B50" s="41"/>
    </row>
    <row r="51" spans="1:2">
      <c r="A51" s="126"/>
      <c r="B51" s="41"/>
    </row>
    <row r="52" spans="1:2">
      <c r="A52" s="126"/>
      <c r="B52" s="41"/>
    </row>
    <row r="53" spans="1:2">
      <c r="A53" s="126"/>
      <c r="B53" s="41"/>
    </row>
    <row r="54" spans="1:2">
      <c r="A54" s="40"/>
      <c r="B54" s="41"/>
    </row>
    <row r="55" spans="1:2">
      <c r="A55" s="40"/>
      <c r="B55" s="41"/>
    </row>
  </sheetData>
  <mergeCells count="2">
    <mergeCell ref="A46:A48"/>
    <mergeCell ref="G25:I27"/>
  </mergeCells>
  <phoneticPr fontId="7" type="noConversion"/>
  <hyperlinks>
    <hyperlink ref="D12" r:id="rId1"/>
    <hyperlink ref="D19" r:id="rId2" display="Nationalt gennemsnit: nøgletal fra Danmark 2008"/>
    <hyperlink ref="D18" r:id="rId3" display="Årsregnskab for Assens fjernvarme"/>
  </hyperlinks>
  <pageMargins left="0.75" right="0.75" top="1" bottom="1" header="0.5" footer="0.5"/>
  <pageSetup paperSize="9" scale="84" orientation="landscape" r:id="rId4"/>
  <headerFooter alignWithMargins="0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9"/>
  </sheetPr>
  <dimension ref="A1:K42"/>
  <sheetViews>
    <sheetView view="pageBreakPreview" zoomScaleNormal="100" zoomScaleSheetLayoutView="100" workbookViewId="0">
      <selection activeCell="H34" sqref="H34"/>
    </sheetView>
  </sheetViews>
  <sheetFormatPr defaultRowHeight="12.75" outlineLevelRow="1"/>
  <cols>
    <col min="1" max="1" width="41.85546875" style="18" customWidth="1"/>
    <col min="2" max="2" width="12.85546875" style="2" bestFit="1" customWidth="1"/>
    <col min="3" max="3" width="13.140625" style="2" bestFit="1" customWidth="1"/>
    <col min="4" max="4" width="9.140625" style="2" bestFit="1"/>
    <col min="5" max="5" width="13.5703125" style="2" bestFit="1" customWidth="1"/>
    <col min="6" max="6" width="6.5703125" style="2" bestFit="1" customWidth="1"/>
    <col min="7" max="7" width="11.28515625" style="2" bestFit="1" customWidth="1"/>
    <col min="8" max="8" width="22.42578125" style="2" bestFit="1" customWidth="1"/>
    <col min="9" max="9" width="13.42578125" style="18" customWidth="1"/>
    <col min="10" max="10" width="11.140625" style="18" bestFit="1" customWidth="1"/>
    <col min="11" max="11" width="9.7109375" style="18" bestFit="1" customWidth="1"/>
    <col min="12" max="16384" width="9.140625" style="18"/>
  </cols>
  <sheetData>
    <row r="1" spans="1:11" s="72" customFormat="1">
      <c r="A1" s="71" t="s">
        <v>348</v>
      </c>
      <c r="B1" s="71" t="s">
        <v>361</v>
      </c>
      <c r="C1" s="71" t="s">
        <v>318</v>
      </c>
      <c r="D1" s="71" t="s">
        <v>282</v>
      </c>
      <c r="E1" s="71" t="s">
        <v>309</v>
      </c>
      <c r="F1" s="71" t="s">
        <v>313</v>
      </c>
      <c r="G1" s="71" t="s">
        <v>317</v>
      </c>
      <c r="H1" s="71" t="s">
        <v>457</v>
      </c>
      <c r="I1" s="71" t="s">
        <v>362</v>
      </c>
      <c r="J1" s="71" t="s">
        <v>363</v>
      </c>
      <c r="K1" s="71" t="s">
        <v>365</v>
      </c>
    </row>
    <row r="2" spans="1:11" s="2" customFormat="1">
      <c r="A2" s="37"/>
      <c r="B2" s="34" t="s">
        <v>315</v>
      </c>
      <c r="C2" s="34" t="s">
        <v>319</v>
      </c>
      <c r="D2" s="34" t="s">
        <v>314</v>
      </c>
      <c r="E2" s="34" t="s">
        <v>310</v>
      </c>
      <c r="F2" s="34" t="s">
        <v>308</v>
      </c>
      <c r="G2" s="34" t="s">
        <v>311</v>
      </c>
      <c r="H2" s="34" t="s">
        <v>316</v>
      </c>
      <c r="I2" s="34" t="s">
        <v>364</v>
      </c>
      <c r="J2" s="34" t="s">
        <v>364</v>
      </c>
      <c r="K2" s="34" t="s">
        <v>366</v>
      </c>
    </row>
    <row r="3" spans="1:11" s="3" customFormat="1">
      <c r="A3" s="1" t="s">
        <v>422</v>
      </c>
      <c r="B3" s="71"/>
      <c r="C3" s="73">
        <f>(C4*D4+C5*D5+C6*D6+C7*D7+C8*D8)/SUM(D4:D8)</f>
        <v>0</v>
      </c>
      <c r="D3" s="74">
        <f>SUM(D4:D6)</f>
        <v>824433</v>
      </c>
      <c r="E3" s="71"/>
      <c r="F3" s="71"/>
      <c r="G3" s="74"/>
      <c r="H3" s="74">
        <f>SUM(H4:H8)</f>
        <v>67027.073170731703</v>
      </c>
      <c r="I3" s="75">
        <f>C3*H3*CO2_LiterBenzin</f>
        <v>0</v>
      </c>
      <c r="J3" s="75">
        <f>(1-C3)*H3*CO2_LiterDiesel</f>
        <v>177621.74390243902</v>
      </c>
      <c r="K3" s="75">
        <f>SUM(I3:J3)/1000</f>
        <v>177.62174390243902</v>
      </c>
    </row>
    <row r="4" spans="1:11" outlineLevel="1">
      <c r="A4" s="32" t="s">
        <v>423</v>
      </c>
      <c r="B4" s="37" t="s">
        <v>274</v>
      </c>
      <c r="C4" s="76">
        <v>0</v>
      </c>
      <c r="D4" s="233">
        <v>824433</v>
      </c>
      <c r="E4" s="78">
        <v>12.3</v>
      </c>
      <c r="F4" s="37" t="s">
        <v>283</v>
      </c>
      <c r="G4" s="79" t="s">
        <v>283</v>
      </c>
      <c r="H4" s="80">
        <f>D4/E4</f>
        <v>67027.073170731703</v>
      </c>
      <c r="I4" s="81"/>
      <c r="J4" s="82"/>
      <c r="K4" s="83"/>
    </row>
    <row r="5" spans="1:11" hidden="1" outlineLevel="1">
      <c r="A5" s="32" t="s">
        <v>279</v>
      </c>
      <c r="B5" s="37" t="s">
        <v>274</v>
      </c>
      <c r="C5" s="76">
        <v>0</v>
      </c>
      <c r="D5" s="77"/>
      <c r="E5" s="78">
        <v>12.3</v>
      </c>
      <c r="F5" s="37" t="s">
        <v>283</v>
      </c>
      <c r="G5" s="79" t="s">
        <v>283</v>
      </c>
      <c r="H5" s="80">
        <f>D5/E5</f>
        <v>0</v>
      </c>
      <c r="I5" s="84"/>
      <c r="J5" s="85"/>
      <c r="K5" s="86"/>
    </row>
    <row r="6" spans="1:11" hidden="1" outlineLevel="1">
      <c r="A6" s="32" t="s">
        <v>280</v>
      </c>
      <c r="B6" s="37" t="s">
        <v>274</v>
      </c>
      <c r="C6" s="76">
        <v>0</v>
      </c>
      <c r="D6" s="77"/>
      <c r="E6" s="78">
        <v>12.3</v>
      </c>
      <c r="F6" s="37" t="s">
        <v>283</v>
      </c>
      <c r="G6" s="79" t="s">
        <v>283</v>
      </c>
      <c r="H6" s="80">
        <f>D6/E6</f>
        <v>0</v>
      </c>
      <c r="I6" s="84"/>
      <c r="J6" s="85"/>
      <c r="K6" s="86"/>
    </row>
    <row r="7" spans="1:11" outlineLevel="1">
      <c r="A7" s="10" t="s">
        <v>331</v>
      </c>
      <c r="B7" s="37"/>
      <c r="C7" s="76"/>
      <c r="D7" s="77">
        <v>0</v>
      </c>
      <c r="E7" s="78">
        <v>12.3</v>
      </c>
      <c r="F7" s="37" t="s">
        <v>283</v>
      </c>
      <c r="G7" s="79" t="s">
        <v>283</v>
      </c>
      <c r="H7" s="80">
        <f>D7/E7</f>
        <v>0</v>
      </c>
      <c r="I7" s="84"/>
      <c r="J7" s="85"/>
      <c r="K7" s="86"/>
    </row>
    <row r="8" spans="1:11" outlineLevel="1">
      <c r="A8" s="10" t="s">
        <v>331</v>
      </c>
      <c r="B8" s="37"/>
      <c r="C8" s="76"/>
      <c r="D8" s="77">
        <v>0</v>
      </c>
      <c r="E8" s="78">
        <v>12.3</v>
      </c>
      <c r="F8" s="37" t="s">
        <v>283</v>
      </c>
      <c r="G8" s="79" t="s">
        <v>283</v>
      </c>
      <c r="H8" s="80">
        <f>D8/E8</f>
        <v>0</v>
      </c>
      <c r="I8" s="87"/>
      <c r="J8" s="88"/>
      <c r="K8" s="89"/>
    </row>
    <row r="9" spans="1:11" s="3" customFormat="1">
      <c r="A9" s="1" t="s">
        <v>424</v>
      </c>
      <c r="B9" s="71"/>
      <c r="C9" s="73">
        <f>(C10*H10+C11*H11+C12*H12+C13*H13+C14*H14)/SUM(H10:H14)</f>
        <v>2.7843976915879795E-2</v>
      </c>
      <c r="D9" s="74"/>
      <c r="E9" s="71"/>
      <c r="F9" s="71"/>
      <c r="G9" s="74"/>
      <c r="H9" s="74">
        <f>SUM(H10:H14)</f>
        <v>197493.34</v>
      </c>
      <c r="I9" s="90">
        <f>C9*H9*CO2_LiterBenzin</f>
        <v>13197.6</v>
      </c>
      <c r="J9" s="90">
        <f>(1-C9)*H9*CO2_LiterDiesel</f>
        <v>508785.00099999999</v>
      </c>
      <c r="K9" s="90">
        <f>SUM(I9:J9)/1000</f>
        <v>521.98260099999993</v>
      </c>
    </row>
    <row r="10" spans="1:11" outlineLevel="1">
      <c r="A10" s="188"/>
      <c r="B10" s="37"/>
      <c r="C10" s="76"/>
      <c r="D10" s="91" t="s">
        <v>283</v>
      </c>
      <c r="E10" s="37" t="s">
        <v>283</v>
      </c>
      <c r="F10" s="37" t="s">
        <v>283</v>
      </c>
      <c r="G10" s="79" t="s">
        <v>283</v>
      </c>
      <c r="H10" s="92"/>
      <c r="I10" s="81"/>
      <c r="J10" s="82"/>
      <c r="K10" s="83"/>
    </row>
    <row r="11" spans="1:11" outlineLevel="1">
      <c r="A11" s="32" t="s">
        <v>425</v>
      </c>
      <c r="B11" s="37" t="s">
        <v>273</v>
      </c>
      <c r="C11" s="76">
        <v>1</v>
      </c>
      <c r="D11" s="91" t="s">
        <v>283</v>
      </c>
      <c r="E11" s="37" t="s">
        <v>283</v>
      </c>
      <c r="F11" s="37" t="s">
        <v>283</v>
      </c>
      <c r="G11" s="79" t="s">
        <v>283</v>
      </c>
      <c r="H11" s="92">
        <v>5499</v>
      </c>
      <c r="I11" s="84"/>
      <c r="J11" s="85"/>
      <c r="K11" s="86"/>
    </row>
    <row r="12" spans="1:11" outlineLevel="1">
      <c r="A12" s="32" t="s">
        <v>426</v>
      </c>
      <c r="B12" s="37" t="s">
        <v>274</v>
      </c>
      <c r="C12" s="76">
        <v>0</v>
      </c>
      <c r="D12" s="91" t="s">
        <v>283</v>
      </c>
      <c r="E12" s="37" t="s">
        <v>283</v>
      </c>
      <c r="F12" s="37" t="s">
        <v>283</v>
      </c>
      <c r="G12" s="79" t="s">
        <v>283</v>
      </c>
      <c r="H12" s="92">
        <v>190035</v>
      </c>
      <c r="I12" s="84"/>
      <c r="J12" s="85"/>
      <c r="K12" s="86"/>
    </row>
    <row r="13" spans="1:11" outlineLevel="1">
      <c r="A13" s="32" t="s">
        <v>440</v>
      </c>
      <c r="B13" s="37" t="s">
        <v>274</v>
      </c>
      <c r="C13" s="76">
        <v>0</v>
      </c>
      <c r="D13" s="91" t="s">
        <v>283</v>
      </c>
      <c r="E13" s="37" t="s">
        <v>283</v>
      </c>
      <c r="F13" s="37" t="s">
        <v>283</v>
      </c>
      <c r="G13" s="79" t="s">
        <v>283</v>
      </c>
      <c r="H13" s="92">
        <v>872.9</v>
      </c>
      <c r="I13" s="84"/>
      <c r="J13" s="85"/>
      <c r="K13" s="86"/>
    </row>
    <row r="14" spans="1:11" outlineLevel="1">
      <c r="A14" s="32" t="s">
        <v>439</v>
      </c>
      <c r="B14" s="37" t="s">
        <v>274</v>
      </c>
      <c r="C14" s="76">
        <v>0</v>
      </c>
      <c r="D14" s="91" t="s">
        <v>283</v>
      </c>
      <c r="E14" s="37" t="s">
        <v>283</v>
      </c>
      <c r="F14" s="37" t="s">
        <v>283</v>
      </c>
      <c r="G14" s="79" t="s">
        <v>283</v>
      </c>
      <c r="H14" s="92">
        <v>1086.44</v>
      </c>
      <c r="I14" s="87"/>
      <c r="J14" s="88"/>
      <c r="K14" s="89"/>
    </row>
    <row r="15" spans="1:11" s="3" customFormat="1">
      <c r="A15" s="1" t="s">
        <v>321</v>
      </c>
      <c r="B15" s="71"/>
      <c r="C15" s="73">
        <f>(C16*D16+C17*D17+C18*D18+C19*D19+C20*D20)/SUM(D16:D20)</f>
        <v>0.77</v>
      </c>
      <c r="D15" s="74">
        <f>SUM(D16:D20)</f>
        <v>6218185</v>
      </c>
      <c r="E15" s="71"/>
      <c r="F15" s="71"/>
      <c r="G15" s="74">
        <f>SUM(G16:G18)</f>
        <v>1746681.1797752809</v>
      </c>
      <c r="H15" s="74"/>
      <c r="I15" s="90">
        <f>C15*G15*CO2_kmBenzin</f>
        <v>228640.56643258431</v>
      </c>
      <c r="J15" s="90">
        <f>(1-C15)*G15*CO2_kmDiesel</f>
        <v>58251.817345505609</v>
      </c>
      <c r="K15" s="90">
        <f>SUM(I15:J15)/1000</f>
        <v>286.89238377808988</v>
      </c>
    </row>
    <row r="16" spans="1:11" outlineLevel="1">
      <c r="A16" s="32" t="s">
        <v>334</v>
      </c>
      <c r="B16" s="37" t="s">
        <v>351</v>
      </c>
      <c r="C16" s="76">
        <v>0.77</v>
      </c>
      <c r="D16" s="187">
        <v>6218185</v>
      </c>
      <c r="E16" s="37" t="s">
        <v>283</v>
      </c>
      <c r="F16" s="78">
        <v>3.56</v>
      </c>
      <c r="G16" s="79">
        <f>D16/F16</f>
        <v>1746681.1797752809</v>
      </c>
      <c r="H16" s="80" t="s">
        <v>283</v>
      </c>
      <c r="I16" s="81"/>
      <c r="J16" s="82"/>
      <c r="K16" s="83"/>
    </row>
    <row r="17" spans="1:11" outlineLevel="1">
      <c r="A17" s="32" t="s">
        <v>334</v>
      </c>
      <c r="B17" s="37" t="s">
        <v>351</v>
      </c>
      <c r="C17" s="76">
        <v>0.77</v>
      </c>
      <c r="D17" s="77"/>
      <c r="E17" s="37" t="s">
        <v>283</v>
      </c>
      <c r="F17" s="78">
        <v>1.9</v>
      </c>
      <c r="G17" s="79">
        <f>D17/F17</f>
        <v>0</v>
      </c>
      <c r="H17" s="80" t="s">
        <v>283</v>
      </c>
      <c r="I17" s="84"/>
      <c r="J17" s="85"/>
      <c r="K17" s="86"/>
    </row>
    <row r="18" spans="1:11" outlineLevel="1">
      <c r="A18" s="32" t="s">
        <v>334</v>
      </c>
      <c r="B18" s="37" t="s">
        <v>351</v>
      </c>
      <c r="C18" s="76">
        <v>0.77</v>
      </c>
      <c r="D18" s="77"/>
      <c r="E18" s="37" t="s">
        <v>283</v>
      </c>
      <c r="F18" s="78">
        <v>1.1000000000000001</v>
      </c>
      <c r="G18" s="79">
        <f>D18/F18</f>
        <v>0</v>
      </c>
      <c r="H18" s="80" t="s">
        <v>283</v>
      </c>
      <c r="I18" s="84"/>
      <c r="J18" s="85"/>
      <c r="K18" s="86"/>
    </row>
    <row r="19" spans="1:11" outlineLevel="1">
      <c r="A19" s="10" t="s">
        <v>331</v>
      </c>
      <c r="B19" s="37"/>
      <c r="C19" s="76"/>
      <c r="D19" s="77">
        <v>0</v>
      </c>
      <c r="E19" s="37"/>
      <c r="F19" s="78">
        <v>1.1000000000000001</v>
      </c>
      <c r="G19" s="79">
        <f>D19/F19</f>
        <v>0</v>
      </c>
      <c r="H19" s="80" t="s">
        <v>283</v>
      </c>
      <c r="I19" s="84"/>
      <c r="J19" s="85"/>
      <c r="K19" s="86"/>
    </row>
    <row r="20" spans="1:11" outlineLevel="1">
      <c r="A20" s="10" t="s">
        <v>331</v>
      </c>
      <c r="B20" s="37"/>
      <c r="C20" s="76"/>
      <c r="D20" s="77">
        <v>0</v>
      </c>
      <c r="E20" s="37"/>
      <c r="F20" s="78">
        <v>1.1000000000000001</v>
      </c>
      <c r="G20" s="79">
        <f>D20/F20</f>
        <v>0</v>
      </c>
      <c r="H20" s="80" t="s">
        <v>283</v>
      </c>
      <c r="I20" s="87"/>
      <c r="J20" s="88"/>
      <c r="K20" s="89"/>
    </row>
    <row r="21" spans="1:11">
      <c r="A21" s="1" t="s">
        <v>327</v>
      </c>
      <c r="B21" s="71"/>
      <c r="C21" s="73"/>
      <c r="D21" s="74"/>
      <c r="E21" s="71"/>
      <c r="F21" s="71"/>
      <c r="G21" s="74"/>
      <c r="H21" s="74"/>
      <c r="I21" s="93"/>
      <c r="J21" s="94"/>
      <c r="K21" s="94"/>
    </row>
    <row r="22" spans="1:11" outlineLevel="1">
      <c r="A22" s="32" t="s">
        <v>328</v>
      </c>
      <c r="B22" s="37"/>
      <c r="C22" s="32"/>
      <c r="D22" s="32"/>
      <c r="E22" s="37"/>
      <c r="F22" s="37"/>
      <c r="G22" s="79"/>
      <c r="H22" s="80"/>
      <c r="I22" s="81"/>
      <c r="J22" s="95"/>
      <c r="K22" s="96"/>
    </row>
    <row r="23" spans="1:11" outlineLevel="1">
      <c r="A23" s="10" t="s">
        <v>331</v>
      </c>
      <c r="B23" s="37"/>
      <c r="C23" s="32"/>
      <c r="D23" s="32"/>
      <c r="E23" s="37"/>
      <c r="F23" s="37"/>
      <c r="G23" s="79"/>
      <c r="H23" s="80"/>
      <c r="I23" s="84"/>
      <c r="J23" s="97"/>
      <c r="K23" s="98"/>
    </row>
    <row r="24" spans="1:11" outlineLevel="1">
      <c r="A24" s="10" t="s">
        <v>331</v>
      </c>
      <c r="B24" s="37"/>
      <c r="C24" s="32"/>
      <c r="D24" s="32"/>
      <c r="E24" s="37"/>
      <c r="F24" s="37"/>
      <c r="G24" s="79"/>
      <c r="H24" s="80"/>
      <c r="I24" s="87"/>
      <c r="J24" s="99"/>
      <c r="K24" s="100"/>
    </row>
    <row r="25" spans="1:11">
      <c r="A25" s="55"/>
      <c r="B25" s="60"/>
      <c r="C25" s="60"/>
      <c r="D25" s="60"/>
      <c r="E25" s="60"/>
      <c r="F25" s="60"/>
      <c r="G25" s="60"/>
      <c r="H25" s="60"/>
      <c r="I25" s="55"/>
      <c r="J25" s="55"/>
      <c r="K25" s="55"/>
    </row>
    <row r="26" spans="1:11">
      <c r="A26" s="55"/>
      <c r="B26" s="60"/>
      <c r="C26" s="107"/>
      <c r="D26" s="60"/>
      <c r="E26" s="60"/>
      <c r="F26" s="60"/>
      <c r="G26" s="60"/>
      <c r="H26" s="60"/>
      <c r="I26" s="55"/>
      <c r="J26" s="55"/>
      <c r="K26" s="55"/>
    </row>
    <row r="27" spans="1:11">
      <c r="A27" s="56"/>
      <c r="B27" s="65"/>
      <c r="C27" s="108"/>
      <c r="D27" s="65"/>
      <c r="E27" s="65"/>
      <c r="F27" s="65"/>
      <c r="G27" s="65"/>
      <c r="H27" s="65"/>
      <c r="I27" s="55"/>
      <c r="J27" s="55"/>
      <c r="K27" s="55"/>
    </row>
    <row r="28" spans="1:11">
      <c r="A28" s="55"/>
      <c r="B28" s="64"/>
      <c r="C28" s="64"/>
      <c r="D28" s="64"/>
      <c r="E28" s="64"/>
      <c r="F28" s="64"/>
      <c r="G28" s="64"/>
      <c r="H28" s="64"/>
      <c r="I28" s="55"/>
      <c r="J28" s="55"/>
      <c r="K28" s="55"/>
    </row>
    <row r="29" spans="1:11">
      <c r="A29" s="6"/>
      <c r="B29" s="101"/>
      <c r="C29" s="101"/>
      <c r="D29" s="102"/>
      <c r="E29" s="101"/>
      <c r="F29" s="101"/>
      <c r="G29" s="102"/>
      <c r="H29" s="102"/>
      <c r="I29" s="3"/>
    </row>
    <row r="30" spans="1:11">
      <c r="A30" s="38"/>
      <c r="B30" s="103"/>
      <c r="C30" s="104"/>
      <c r="D30" s="105"/>
      <c r="E30" s="103"/>
      <c r="F30" s="103"/>
      <c r="G30" s="105"/>
      <c r="H30" s="105"/>
    </row>
    <row r="31" spans="1:11">
      <c r="A31" s="38"/>
      <c r="B31" s="103"/>
      <c r="C31" s="104"/>
      <c r="D31" s="105"/>
      <c r="E31" s="103"/>
      <c r="F31" s="103"/>
      <c r="G31" s="105"/>
      <c r="H31" s="105"/>
    </row>
    <row r="32" spans="1:11">
      <c r="A32" s="6"/>
      <c r="B32" s="6"/>
      <c r="C32" s="6"/>
      <c r="D32" s="102"/>
      <c r="E32" s="6"/>
      <c r="F32" s="6"/>
      <c r="G32" s="6"/>
      <c r="H32" s="105"/>
      <c r="I32" s="3"/>
    </row>
    <row r="33" spans="1:9">
      <c r="A33" s="38"/>
      <c r="B33" s="6"/>
      <c r="C33" s="6"/>
      <c r="D33" s="105"/>
      <c r="E33" s="6"/>
      <c r="F33" s="6"/>
      <c r="G33" s="6"/>
      <c r="H33" s="105"/>
      <c r="I33" s="3"/>
    </row>
    <row r="34" spans="1:9">
      <c r="A34" s="38"/>
      <c r="B34" s="103"/>
      <c r="C34" s="104"/>
      <c r="D34" s="105"/>
      <c r="E34" s="103"/>
      <c r="F34" s="103"/>
      <c r="G34" s="105"/>
      <c r="H34" s="105"/>
    </row>
    <row r="35" spans="1:9">
      <c r="A35" s="6"/>
      <c r="B35" s="6"/>
      <c r="C35" s="6"/>
      <c r="D35" s="102"/>
      <c r="E35" s="6"/>
      <c r="F35" s="6"/>
      <c r="G35" s="6"/>
      <c r="H35" s="105"/>
      <c r="I35" s="3"/>
    </row>
    <row r="36" spans="1:9">
      <c r="A36" s="38"/>
      <c r="B36" s="38"/>
      <c r="C36" s="38"/>
      <c r="D36" s="105"/>
      <c r="E36" s="38"/>
      <c r="F36" s="38"/>
      <c r="G36" s="38"/>
      <c r="H36" s="105"/>
    </row>
    <row r="37" spans="1:9">
      <c r="A37" s="38"/>
      <c r="B37" s="103"/>
      <c r="C37" s="104"/>
      <c r="D37" s="105"/>
      <c r="E37" s="103"/>
      <c r="F37" s="103"/>
      <c r="G37" s="105"/>
      <c r="H37" s="105"/>
    </row>
    <row r="38" spans="1:9">
      <c r="A38" s="6"/>
      <c r="B38" s="101"/>
      <c r="C38" s="101"/>
      <c r="D38" s="102"/>
      <c r="E38" s="101"/>
      <c r="F38" s="101"/>
      <c r="G38" s="102"/>
      <c r="H38" s="105"/>
    </row>
    <row r="39" spans="1:9">
      <c r="A39" s="38"/>
      <c r="B39" s="103"/>
      <c r="C39" s="106"/>
      <c r="D39" s="105"/>
      <c r="E39" s="103"/>
      <c r="F39" s="103"/>
      <c r="G39" s="105"/>
      <c r="H39" s="105"/>
    </row>
    <row r="40" spans="1:9">
      <c r="A40" s="38"/>
      <c r="B40" s="103"/>
      <c r="C40" s="106"/>
      <c r="D40" s="105"/>
      <c r="E40" s="103"/>
      <c r="F40" s="103"/>
      <c r="G40" s="105"/>
      <c r="H40" s="105"/>
      <c r="I40" s="36"/>
    </row>
    <row r="41" spans="1:9">
      <c r="A41" s="103"/>
      <c r="B41" s="18"/>
      <c r="C41" s="18"/>
      <c r="D41" s="18"/>
      <c r="E41" s="18"/>
      <c r="F41" s="18"/>
      <c r="G41" s="18"/>
      <c r="H41" s="18"/>
      <c r="I41" s="36"/>
    </row>
    <row r="42" spans="1:9">
      <c r="A42" s="6"/>
      <c r="B42" s="103"/>
      <c r="C42" s="103"/>
      <c r="D42" s="103"/>
      <c r="E42" s="103"/>
      <c r="F42" s="39"/>
      <c r="G42" s="39"/>
      <c r="H42" s="39"/>
      <c r="I42" s="36"/>
    </row>
  </sheetData>
  <phoneticPr fontId="7" type="noConversion"/>
  <pageMargins left="0.75" right="0.75" top="1" bottom="1" header="0.5" footer="0.5"/>
  <pageSetup paperSize="9" scale="74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9"/>
  </sheetPr>
  <dimension ref="A1:K18"/>
  <sheetViews>
    <sheetView view="pageBreakPreview" zoomScaleNormal="100" zoomScaleSheetLayoutView="100" workbookViewId="0">
      <selection activeCell="M38" sqref="M38"/>
    </sheetView>
  </sheetViews>
  <sheetFormatPr defaultRowHeight="14.25" outlineLevelRow="1"/>
  <cols>
    <col min="1" max="1" width="23.85546875" style="18" bestFit="1" customWidth="1"/>
    <col min="2" max="3" width="13.140625" style="2" bestFit="1" customWidth="1"/>
    <col min="4" max="4" width="6.28515625" style="2" bestFit="1" customWidth="1"/>
    <col min="5" max="5" width="13.5703125" style="2" bestFit="1" customWidth="1"/>
    <col min="6" max="6" width="6.5703125" style="2" bestFit="1" customWidth="1"/>
    <col min="7" max="7" width="11.28515625" style="2" bestFit="1" customWidth="1"/>
    <col min="8" max="8" width="16.85546875" style="2" bestFit="1" customWidth="1"/>
    <col min="9" max="9" width="11.85546875" style="18" bestFit="1" customWidth="1"/>
    <col min="10" max="10" width="11.140625" style="18" bestFit="1" customWidth="1"/>
    <col min="11" max="11" width="9.7109375" style="18" bestFit="1" customWidth="1"/>
    <col min="12" max="16384" width="9.140625" style="5"/>
  </cols>
  <sheetData>
    <row r="1" spans="1:11">
      <c r="A1" s="1" t="s">
        <v>330</v>
      </c>
      <c r="B1" s="71" t="s">
        <v>281</v>
      </c>
      <c r="C1" s="71" t="s">
        <v>318</v>
      </c>
      <c r="D1" s="71" t="s">
        <v>282</v>
      </c>
      <c r="E1" s="71" t="s">
        <v>309</v>
      </c>
      <c r="F1" s="71" t="s">
        <v>313</v>
      </c>
      <c r="G1" s="71" t="s">
        <v>317</v>
      </c>
      <c r="H1" s="71" t="s">
        <v>312</v>
      </c>
      <c r="I1" s="71" t="s">
        <v>362</v>
      </c>
      <c r="J1" s="71" t="s">
        <v>363</v>
      </c>
      <c r="K1" s="71" t="s">
        <v>365</v>
      </c>
    </row>
    <row r="2" spans="1:11">
      <c r="A2" s="32"/>
      <c r="B2" s="34" t="s">
        <v>315</v>
      </c>
      <c r="C2" s="34" t="s">
        <v>319</v>
      </c>
      <c r="D2" s="34" t="s">
        <v>314</v>
      </c>
      <c r="E2" s="34" t="s">
        <v>310</v>
      </c>
      <c r="F2" s="34" t="s">
        <v>308</v>
      </c>
      <c r="G2" s="34" t="s">
        <v>311</v>
      </c>
      <c r="H2" s="34" t="s">
        <v>316</v>
      </c>
      <c r="I2" s="34" t="s">
        <v>364</v>
      </c>
      <c r="J2" s="34" t="s">
        <v>364</v>
      </c>
      <c r="K2" s="34" t="s">
        <v>366</v>
      </c>
    </row>
    <row r="3" spans="1:11">
      <c r="A3" s="1" t="s">
        <v>292</v>
      </c>
      <c r="B3" s="71"/>
      <c r="C3" s="71" t="e">
        <f>(C4*D4+C5*D5)/SUM(D4:D5)</f>
        <v>#DIV/0!</v>
      </c>
      <c r="D3" s="35">
        <f>SUM(D4:D5)</f>
        <v>0</v>
      </c>
      <c r="E3" s="71"/>
      <c r="F3" s="71"/>
      <c r="G3" s="35"/>
      <c r="H3" s="35">
        <f>SUM(H4:H5)</f>
        <v>0</v>
      </c>
      <c r="I3" s="112" t="e">
        <f>C3*H3*CO2_LiterBenzin</f>
        <v>#DIV/0!</v>
      </c>
      <c r="J3" s="112" t="e">
        <f>(1-C3)*H3*CO2_LiterDiesel</f>
        <v>#DIV/0!</v>
      </c>
      <c r="K3" s="112" t="e">
        <f>SUM(I3:J3)/1000</f>
        <v>#DIV/0!</v>
      </c>
    </row>
    <row r="4" spans="1:11" outlineLevel="1">
      <c r="A4" s="10" t="s">
        <v>331</v>
      </c>
      <c r="B4" s="37" t="s">
        <v>274</v>
      </c>
      <c r="C4" s="76">
        <v>0</v>
      </c>
      <c r="D4" s="109">
        <v>0</v>
      </c>
      <c r="E4" s="37">
        <v>9</v>
      </c>
      <c r="F4" s="37" t="s">
        <v>283</v>
      </c>
      <c r="G4" s="110" t="s">
        <v>283</v>
      </c>
      <c r="H4" s="110">
        <f>D4/E4</f>
        <v>0</v>
      </c>
      <c r="I4" s="113"/>
      <c r="J4" s="114"/>
      <c r="K4" s="115"/>
    </row>
    <row r="5" spans="1:11" outlineLevel="1">
      <c r="A5" s="10" t="s">
        <v>331</v>
      </c>
      <c r="B5" s="37"/>
      <c r="C5" s="76"/>
      <c r="D5" s="109">
        <v>0</v>
      </c>
      <c r="E5" s="37">
        <v>9</v>
      </c>
      <c r="F5" s="37" t="s">
        <v>283</v>
      </c>
      <c r="G5" s="110" t="s">
        <v>283</v>
      </c>
      <c r="H5" s="110">
        <f t="shared" ref="H5:H14" si="0">D5/E5</f>
        <v>0</v>
      </c>
      <c r="I5" s="116"/>
      <c r="J5" s="117"/>
      <c r="K5" s="118"/>
    </row>
    <row r="6" spans="1:11">
      <c r="A6" s="1" t="s">
        <v>293</v>
      </c>
      <c r="B6" s="1"/>
      <c r="C6" s="1"/>
      <c r="D6" s="35">
        <f>SUM(D7:D8)</f>
        <v>0</v>
      </c>
      <c r="E6" s="37"/>
      <c r="F6" s="1"/>
      <c r="G6" s="1"/>
      <c r="H6" s="35">
        <f>SUM(H7:H8)</f>
        <v>0</v>
      </c>
      <c r="I6" s="112">
        <f>C6*H6*CO2_LiterBenzin</f>
        <v>0</v>
      </c>
      <c r="J6" s="112">
        <f>(1-C6)*H6*CO2_LiterDiesel</f>
        <v>0</v>
      </c>
      <c r="K6" s="112">
        <f>SUM(I6:J6)/1000</f>
        <v>0</v>
      </c>
    </row>
    <row r="7" spans="1:11" outlineLevel="1">
      <c r="A7" s="10" t="s">
        <v>331</v>
      </c>
      <c r="B7" s="1"/>
      <c r="C7" s="1"/>
      <c r="D7" s="109">
        <v>0</v>
      </c>
      <c r="E7" s="37">
        <v>9</v>
      </c>
      <c r="F7" s="37" t="s">
        <v>283</v>
      </c>
      <c r="G7" s="110" t="s">
        <v>283</v>
      </c>
      <c r="H7" s="110">
        <f t="shared" si="0"/>
        <v>0</v>
      </c>
      <c r="I7" s="113"/>
      <c r="J7" s="114"/>
      <c r="K7" s="115"/>
    </row>
    <row r="8" spans="1:11" outlineLevel="1">
      <c r="A8" s="10" t="s">
        <v>331</v>
      </c>
      <c r="B8" s="37"/>
      <c r="C8" s="76"/>
      <c r="D8" s="109">
        <v>0</v>
      </c>
      <c r="E8" s="37">
        <v>9</v>
      </c>
      <c r="F8" s="37" t="s">
        <v>283</v>
      </c>
      <c r="G8" s="110" t="s">
        <v>283</v>
      </c>
      <c r="H8" s="110">
        <f t="shared" si="0"/>
        <v>0</v>
      </c>
      <c r="I8" s="116"/>
      <c r="J8" s="117"/>
      <c r="K8" s="118"/>
    </row>
    <row r="9" spans="1:11">
      <c r="A9" s="1" t="s">
        <v>294</v>
      </c>
      <c r="B9" s="1"/>
      <c r="C9" s="1"/>
      <c r="D9" s="35">
        <f>SUM(D10:D11)</f>
        <v>0</v>
      </c>
      <c r="E9" s="37"/>
      <c r="F9" s="1"/>
      <c r="G9" s="1"/>
      <c r="H9" s="35">
        <f>SUM(H10:H11)</f>
        <v>0</v>
      </c>
      <c r="I9" s="112">
        <f>C9*H9*CO2_LiterBenzin</f>
        <v>0</v>
      </c>
      <c r="J9" s="112">
        <f>(1-C9)*H9*CO2_LiterDiesel</f>
        <v>0</v>
      </c>
      <c r="K9" s="112">
        <f>SUM(I9:J9)/1000</f>
        <v>0</v>
      </c>
    </row>
    <row r="10" spans="1:11" outlineLevel="1">
      <c r="A10" s="10" t="s">
        <v>331</v>
      </c>
      <c r="B10" s="32"/>
      <c r="C10" s="32"/>
      <c r="D10" s="109">
        <v>0</v>
      </c>
      <c r="E10" s="37">
        <v>9</v>
      </c>
      <c r="F10" s="37" t="s">
        <v>283</v>
      </c>
      <c r="G10" s="110" t="s">
        <v>283</v>
      </c>
      <c r="H10" s="110">
        <f t="shared" si="0"/>
        <v>0</v>
      </c>
      <c r="I10" s="113"/>
      <c r="J10" s="114"/>
      <c r="K10" s="115"/>
    </row>
    <row r="11" spans="1:11" outlineLevel="1">
      <c r="A11" s="10" t="s">
        <v>331</v>
      </c>
      <c r="B11" s="37"/>
      <c r="C11" s="76"/>
      <c r="D11" s="109">
        <v>0</v>
      </c>
      <c r="E11" s="37">
        <v>9</v>
      </c>
      <c r="F11" s="37" t="s">
        <v>283</v>
      </c>
      <c r="G11" s="110" t="s">
        <v>283</v>
      </c>
      <c r="H11" s="110">
        <f t="shared" si="0"/>
        <v>0</v>
      </c>
      <c r="I11" s="116"/>
      <c r="J11" s="117"/>
      <c r="K11" s="118"/>
    </row>
    <row r="12" spans="1:11">
      <c r="A12" s="1" t="s">
        <v>295</v>
      </c>
      <c r="B12" s="71"/>
      <c r="C12" s="71"/>
      <c r="D12" s="35">
        <f>SUM(D13:D14)</f>
        <v>0</v>
      </c>
      <c r="E12" s="37"/>
      <c r="F12" s="1"/>
      <c r="G12" s="1"/>
      <c r="H12" s="35">
        <f>SUM(H13:H14)</f>
        <v>0</v>
      </c>
      <c r="I12" s="112">
        <f>C12*H12*CO2_LiterBenzin</f>
        <v>0</v>
      </c>
      <c r="J12" s="112">
        <f>(1-C12)*H12*CO2_LiterDiesel</f>
        <v>0</v>
      </c>
      <c r="K12" s="112">
        <f>SUM(I12:J12)/1000</f>
        <v>0</v>
      </c>
    </row>
    <row r="13" spans="1:11" outlineLevel="1">
      <c r="A13" s="10" t="s">
        <v>331</v>
      </c>
      <c r="B13" s="37"/>
      <c r="C13" s="111"/>
      <c r="D13" s="109">
        <v>0</v>
      </c>
      <c r="E13" s="37">
        <v>9</v>
      </c>
      <c r="F13" s="37" t="s">
        <v>283</v>
      </c>
      <c r="G13" s="110" t="s">
        <v>283</v>
      </c>
      <c r="H13" s="110">
        <f t="shared" si="0"/>
        <v>0</v>
      </c>
      <c r="I13" s="113"/>
      <c r="J13" s="114"/>
      <c r="K13" s="115"/>
    </row>
    <row r="14" spans="1:11" outlineLevel="1">
      <c r="A14" s="10" t="s">
        <v>331</v>
      </c>
      <c r="B14" s="37"/>
      <c r="C14" s="111"/>
      <c r="D14" s="109">
        <v>0</v>
      </c>
      <c r="E14" s="37">
        <v>9</v>
      </c>
      <c r="F14" s="37" t="s">
        <v>283</v>
      </c>
      <c r="G14" s="110" t="s">
        <v>283</v>
      </c>
      <c r="H14" s="110">
        <f t="shared" si="0"/>
        <v>0</v>
      </c>
      <c r="I14" s="116"/>
      <c r="J14" s="117"/>
      <c r="K14" s="118"/>
    </row>
    <row r="15" spans="1:11">
      <c r="A15" s="41"/>
      <c r="B15" s="55"/>
      <c r="C15" s="55"/>
      <c r="D15" s="55"/>
      <c r="E15" s="55"/>
      <c r="F15" s="55"/>
      <c r="G15" s="55"/>
      <c r="H15" s="55"/>
      <c r="I15" s="40"/>
      <c r="J15" s="55"/>
      <c r="K15" s="55"/>
    </row>
    <row r="16" spans="1:11">
      <c r="A16" s="49"/>
      <c r="B16" s="41"/>
      <c r="C16" s="41"/>
      <c r="D16" s="41"/>
      <c r="E16" s="41"/>
      <c r="F16" s="41"/>
      <c r="G16" s="41"/>
      <c r="H16" s="41"/>
      <c r="I16" s="40"/>
      <c r="J16" s="55"/>
      <c r="K16" s="55"/>
    </row>
    <row r="17" spans="1:11">
      <c r="A17" s="55"/>
      <c r="B17" s="60"/>
      <c r="C17" s="60"/>
      <c r="D17" s="60"/>
      <c r="E17" s="60"/>
      <c r="F17" s="60"/>
      <c r="G17" s="60"/>
      <c r="H17" s="60"/>
      <c r="I17" s="55"/>
      <c r="J17" s="55"/>
      <c r="K17" s="55"/>
    </row>
    <row r="18" spans="1:11">
      <c r="A18" s="55"/>
      <c r="B18" s="60"/>
      <c r="C18" s="60"/>
      <c r="D18" s="60"/>
      <c r="E18" s="60"/>
      <c r="F18" s="60"/>
      <c r="G18" s="60"/>
      <c r="H18" s="60"/>
      <c r="I18" s="55"/>
      <c r="J18" s="55"/>
      <c r="K18" s="55"/>
    </row>
  </sheetData>
  <phoneticPr fontId="7" type="noConversion"/>
  <pageMargins left="0.75" right="0.75" top="1" bottom="1" header="0.5" footer="0.5"/>
  <pageSetup paperSize="9" scale="9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9"/>
  </sheetPr>
  <dimension ref="A1:G10"/>
  <sheetViews>
    <sheetView view="pageBreakPreview" zoomScaleNormal="100" zoomScaleSheetLayoutView="100" workbookViewId="0">
      <selection activeCell="G19" sqref="G19"/>
    </sheetView>
  </sheetViews>
  <sheetFormatPr defaultRowHeight="12.75" outlineLevelRow="1"/>
  <cols>
    <col min="1" max="1" width="17.7109375" style="36" bestFit="1" customWidth="1"/>
    <col min="2" max="2" width="12" style="36" bestFit="1" customWidth="1"/>
    <col min="3" max="3" width="11" style="36" bestFit="1" customWidth="1"/>
    <col min="4" max="4" width="15.85546875" style="36" bestFit="1" customWidth="1"/>
    <col min="5" max="5" width="7" style="36" bestFit="1" customWidth="1"/>
    <col min="6" max="6" width="12.42578125" style="36" bestFit="1" customWidth="1"/>
    <col min="7" max="7" width="19.5703125" style="36" bestFit="1" customWidth="1"/>
    <col min="8" max="16384" width="9.140625" style="36"/>
  </cols>
  <sheetData>
    <row r="1" spans="1:7" s="8" customFormat="1">
      <c r="A1" s="1" t="s">
        <v>356</v>
      </c>
      <c r="B1" s="71" t="s">
        <v>357</v>
      </c>
      <c r="C1" s="71" t="s">
        <v>358</v>
      </c>
      <c r="D1" s="71" t="s">
        <v>347</v>
      </c>
      <c r="E1" s="119"/>
      <c r="F1" s="119"/>
      <c r="G1" s="119"/>
    </row>
    <row r="2" spans="1:7" s="17" customFormat="1">
      <c r="A2" s="10"/>
      <c r="B2" s="34" t="s">
        <v>324</v>
      </c>
      <c r="C2" s="34"/>
      <c r="D2" s="34" t="s">
        <v>320</v>
      </c>
      <c r="E2" s="33"/>
      <c r="F2" s="33"/>
      <c r="G2" s="33"/>
    </row>
    <row r="3" spans="1:7" s="8" customFormat="1">
      <c r="A3" s="1" t="s">
        <v>296</v>
      </c>
      <c r="B3" s="74">
        <v>2370358</v>
      </c>
      <c r="C3" s="71"/>
      <c r="D3" s="35">
        <f>B3*CO2_el/1000</f>
        <v>1038.2168039999999</v>
      </c>
      <c r="E3" s="119"/>
      <c r="F3" s="119"/>
      <c r="G3" s="119"/>
    </row>
    <row r="4" spans="1:7" outlineLevel="1">
      <c r="A4" s="32" t="s">
        <v>296</v>
      </c>
      <c r="B4" s="77"/>
      <c r="C4" s="37" t="s">
        <v>359</v>
      </c>
      <c r="D4" s="120"/>
      <c r="E4" s="39"/>
      <c r="F4" s="39"/>
      <c r="G4" s="39"/>
    </row>
    <row r="5" spans="1:7" outlineLevel="1">
      <c r="A5" s="10" t="s">
        <v>360</v>
      </c>
      <c r="B5" s="121"/>
      <c r="C5" s="32"/>
      <c r="D5" s="122"/>
    </row>
    <row r="6" spans="1:7" outlineLevel="1">
      <c r="A6" s="10" t="s">
        <v>360</v>
      </c>
      <c r="B6" s="121"/>
      <c r="C6" s="32"/>
      <c r="D6" s="123"/>
    </row>
    <row r="7" spans="1:7">
      <c r="A7" s="40"/>
      <c r="B7" s="40"/>
      <c r="C7" s="40"/>
      <c r="D7" s="40"/>
    </row>
    <row r="8" spans="1:7">
      <c r="A8" s="40"/>
      <c r="B8" s="40"/>
      <c r="C8" s="40"/>
      <c r="D8" s="40"/>
    </row>
    <row r="9" spans="1:7">
      <c r="A9" s="40"/>
      <c r="B9" s="40"/>
      <c r="C9" s="40"/>
      <c r="D9" s="40"/>
    </row>
    <row r="10" spans="1:7">
      <c r="A10" s="40"/>
      <c r="B10" s="40"/>
      <c r="C10" s="40"/>
      <c r="D10" s="40"/>
    </row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9"/>
    <pageSetUpPr fitToPage="1"/>
  </sheetPr>
  <dimension ref="A1:AL151"/>
  <sheetViews>
    <sheetView zoomScaleNormal="100" zoomScaleSheetLayoutView="70" workbookViewId="0">
      <pane ySplit="7" topLeftCell="A122" activePane="bottomLeft" state="frozen"/>
      <selection activeCell="P1" sqref="P1"/>
      <selection pane="bottomLeft" activeCell="I112" sqref="I112"/>
    </sheetView>
  </sheetViews>
  <sheetFormatPr defaultRowHeight="11.25" outlineLevelCol="1"/>
  <cols>
    <col min="1" max="1" width="43.85546875" style="243" bestFit="1" customWidth="1"/>
    <col min="2" max="2" width="14.28515625" style="243" customWidth="1" outlineLevel="1"/>
    <col min="3" max="3" width="8.85546875" style="244" customWidth="1" outlineLevel="1"/>
    <col min="4" max="4" width="10.28515625" style="245" customWidth="1" outlineLevel="1"/>
    <col min="5" max="5" width="9.28515625" style="243" customWidth="1" outlineLevel="1"/>
    <col min="6" max="6" width="8.7109375" style="244" customWidth="1"/>
    <col min="7" max="7" width="8" style="246" customWidth="1"/>
    <col min="8" max="8" width="9.5703125" style="247" customWidth="1"/>
    <col min="9" max="9" width="9.5703125" style="248" customWidth="1"/>
    <col min="10" max="10" width="8.140625" style="249" hidden="1" customWidth="1" outlineLevel="1"/>
    <col min="11" max="11" width="39.140625" style="248" hidden="1" customWidth="1" outlineLevel="1"/>
    <col min="12" max="12" width="11" style="250" customWidth="1" collapsed="1"/>
    <col min="13" max="13" width="11" style="250" customWidth="1"/>
    <col min="14" max="14" width="8.140625" style="249" customWidth="1" outlineLevel="1"/>
    <col min="15" max="15" width="33.85546875" style="251" customWidth="1" outlineLevel="1"/>
    <col min="16" max="16" width="20.85546875" style="252" customWidth="1" outlineLevel="1"/>
    <col min="17" max="17" width="9.5703125" style="246" customWidth="1" outlineLevel="1"/>
    <col min="18" max="18" width="9.28515625" style="253" customWidth="1"/>
    <col min="19" max="19" width="9.28515625" style="250" customWidth="1"/>
    <col min="20" max="20" width="8.140625" style="249" hidden="1" customWidth="1" outlineLevel="1"/>
    <col min="21" max="21" width="30.42578125" style="251" hidden="1" customWidth="1" outlineLevel="1"/>
    <col min="22" max="22" width="7" style="252" bestFit="1" customWidth="1" collapsed="1"/>
    <col min="23" max="23" width="10.5703125" style="252" bestFit="1" customWidth="1"/>
    <col min="24" max="24" width="23" style="252" bestFit="1" customWidth="1"/>
    <col min="25" max="25" width="8.140625" style="249" hidden="1" customWidth="1" outlineLevel="1"/>
    <col min="26" max="26" width="11.42578125" style="252" customWidth="1" collapsed="1"/>
    <col min="27" max="27" width="9.5703125" style="248" customWidth="1"/>
    <col min="28" max="28" width="8.5703125" style="248" customWidth="1"/>
    <col min="29" max="29" width="9.28515625" style="254" hidden="1" customWidth="1" outlineLevel="1"/>
    <col min="30" max="30" width="15" style="254" hidden="1" customWidth="1" outlineLevel="1"/>
    <col min="31" max="31" width="6.140625" style="245" customWidth="1" collapsed="1"/>
    <col min="32" max="32" width="6.140625" style="245" bestFit="1" customWidth="1"/>
    <col min="33" max="33" width="8.85546875" style="245" customWidth="1"/>
    <col min="34" max="34" width="6.140625" style="245" customWidth="1"/>
    <col min="35" max="35" width="6.7109375" style="245" customWidth="1"/>
    <col min="36" max="36" width="6.140625" style="245" customWidth="1"/>
    <col min="37" max="40" width="9.140625" style="255" customWidth="1"/>
    <col min="41" max="16384" width="9.140625" style="255"/>
  </cols>
  <sheetData>
    <row r="1" spans="1:38">
      <c r="A1" s="242" t="s">
        <v>629</v>
      </c>
    </row>
    <row r="2" spans="1:38">
      <c r="A2" s="255"/>
    </row>
    <row r="3" spans="1:38">
      <c r="A3" s="255"/>
    </row>
    <row r="6" spans="1:38" ht="33.75">
      <c r="A6" s="256" t="s">
        <v>575</v>
      </c>
      <c r="B6" s="257" t="s">
        <v>0</v>
      </c>
      <c r="C6" s="258" t="s">
        <v>1</v>
      </c>
      <c r="D6" s="257" t="s">
        <v>2</v>
      </c>
      <c r="E6" s="257" t="s">
        <v>3</v>
      </c>
      <c r="F6" s="259" t="s">
        <v>539</v>
      </c>
      <c r="G6" s="260" t="s">
        <v>135</v>
      </c>
      <c r="H6" s="261" t="s">
        <v>427</v>
      </c>
      <c r="I6" s="260" t="s">
        <v>456</v>
      </c>
      <c r="J6" s="262" t="s">
        <v>574</v>
      </c>
      <c r="K6" s="263" t="s">
        <v>458</v>
      </c>
      <c r="L6" s="264" t="s">
        <v>561</v>
      </c>
      <c r="M6" s="264" t="s">
        <v>562</v>
      </c>
      <c r="N6" s="262" t="s">
        <v>574</v>
      </c>
      <c r="O6" s="265" t="s">
        <v>467</v>
      </c>
      <c r="P6" s="266" t="s">
        <v>379</v>
      </c>
      <c r="Q6" s="267" t="s">
        <v>573</v>
      </c>
      <c r="R6" s="268" t="s">
        <v>569</v>
      </c>
      <c r="S6" s="264" t="s">
        <v>570</v>
      </c>
      <c r="T6" s="262" t="s">
        <v>574</v>
      </c>
      <c r="U6" s="269" t="s">
        <v>486</v>
      </c>
      <c r="V6" s="270" t="s">
        <v>571</v>
      </c>
      <c r="W6" s="270" t="s">
        <v>572</v>
      </c>
      <c r="X6" s="409" t="s">
        <v>627</v>
      </c>
      <c r="Y6" s="262" t="s">
        <v>574</v>
      </c>
      <c r="Z6" s="270" t="s">
        <v>563</v>
      </c>
      <c r="AA6" s="270" t="s">
        <v>564</v>
      </c>
      <c r="AB6" s="270" t="s">
        <v>588</v>
      </c>
      <c r="AC6" s="271" t="s">
        <v>155</v>
      </c>
      <c r="AD6" s="272" t="s">
        <v>263</v>
      </c>
      <c r="AE6" s="273" t="s">
        <v>580</v>
      </c>
      <c r="AF6" s="273" t="s">
        <v>587</v>
      </c>
      <c r="AG6" s="273" t="s">
        <v>576</v>
      </c>
      <c r="AH6" s="273" t="s">
        <v>577</v>
      </c>
      <c r="AI6" s="273" t="s">
        <v>578</v>
      </c>
      <c r="AJ6" s="273" t="s">
        <v>579</v>
      </c>
    </row>
    <row r="7" spans="1:38" s="287" customFormat="1">
      <c r="A7" s="274"/>
      <c r="B7" s="274"/>
      <c r="C7" s="275"/>
      <c r="D7" s="274"/>
      <c r="E7" s="274"/>
      <c r="F7" s="275"/>
      <c r="G7" s="276" t="s">
        <v>329</v>
      </c>
      <c r="H7" s="277" t="s">
        <v>324</v>
      </c>
      <c r="I7" s="278" t="s">
        <v>324</v>
      </c>
      <c r="J7" s="279"/>
      <c r="K7" s="278"/>
      <c r="L7" s="280" t="s">
        <v>325</v>
      </c>
      <c r="M7" s="280" t="s">
        <v>325</v>
      </c>
      <c r="N7" s="279"/>
      <c r="O7" s="281"/>
      <c r="P7" s="282" t="s">
        <v>283</v>
      </c>
      <c r="Q7" s="283" t="s">
        <v>371</v>
      </c>
      <c r="R7" s="277" t="s">
        <v>322</v>
      </c>
      <c r="S7" s="280" t="s">
        <v>322</v>
      </c>
      <c r="T7" s="279"/>
      <c r="U7" s="284"/>
      <c r="V7" s="278" t="s">
        <v>323</v>
      </c>
      <c r="W7" s="278" t="s">
        <v>323</v>
      </c>
      <c r="X7" s="410"/>
      <c r="Y7" s="279"/>
      <c r="Z7" s="278" t="s">
        <v>324</v>
      </c>
      <c r="AA7" s="278" t="s">
        <v>326</v>
      </c>
      <c r="AB7" s="278" t="s">
        <v>326</v>
      </c>
      <c r="AC7" s="285" t="s">
        <v>283</v>
      </c>
      <c r="AD7" s="286"/>
      <c r="AE7" s="274" t="s">
        <v>320</v>
      </c>
      <c r="AF7" s="274" t="s">
        <v>320</v>
      </c>
      <c r="AG7" s="274" t="s">
        <v>320</v>
      </c>
      <c r="AH7" s="274" t="s">
        <v>320</v>
      </c>
      <c r="AI7" s="274" t="s">
        <v>320</v>
      </c>
      <c r="AJ7" s="274" t="s">
        <v>320</v>
      </c>
    </row>
    <row r="8" spans="1:38">
      <c r="A8" s="288" t="s">
        <v>390</v>
      </c>
      <c r="B8" s="289"/>
      <c r="C8" s="290"/>
      <c r="D8" s="291"/>
      <c r="E8" s="289"/>
      <c r="F8" s="292"/>
      <c r="G8" s="293">
        <f>G9+G15+G35+G65+G75+G90</f>
        <v>204539</v>
      </c>
      <c r="H8" s="293">
        <f>H9+H15+H35+H65+H75+H90</f>
        <v>5326136.8</v>
      </c>
      <c r="I8" s="293">
        <f>I9+I15+I35+I65+I75+I90</f>
        <v>4913875</v>
      </c>
      <c r="J8" s="293">
        <f>J9+J15+J35+J65+J75+J90</f>
        <v>0</v>
      </c>
      <c r="K8" s="293"/>
      <c r="L8" s="293">
        <f>L9+L15+L35+L65+L75+L90</f>
        <v>11930.893</v>
      </c>
      <c r="M8" s="293">
        <f>M9+M15+M35+M65+M75+M90</f>
        <v>11243.83</v>
      </c>
      <c r="N8" s="293"/>
      <c r="O8" s="293"/>
      <c r="P8" s="293"/>
      <c r="Q8" s="293"/>
      <c r="R8" s="293">
        <f t="shared" ref="R8:W8" si="0">R9+R15+R35+R65+R75+R90</f>
        <v>434010</v>
      </c>
      <c r="S8" s="293">
        <f t="shared" si="0"/>
        <v>396193</v>
      </c>
      <c r="T8" s="293">
        <f t="shared" si="0"/>
        <v>0</v>
      </c>
      <c r="U8" s="293">
        <f t="shared" si="0"/>
        <v>0</v>
      </c>
      <c r="V8" s="293">
        <f t="shared" si="0"/>
        <v>53696</v>
      </c>
      <c r="W8" s="293">
        <f t="shared" si="0"/>
        <v>46849</v>
      </c>
      <c r="X8" s="411"/>
      <c r="Y8" s="293">
        <f t="shared" ref="Y8:AJ8" si="1">Y9+Y15+Y35+Y65+Y75+Y90</f>
        <v>0</v>
      </c>
      <c r="Z8" s="293">
        <f t="shared" si="1"/>
        <v>16080147</v>
      </c>
      <c r="AA8" s="293">
        <f t="shared" si="1"/>
        <v>168.24813693998607</v>
      </c>
      <c r="AB8" s="293">
        <f t="shared" si="1"/>
        <v>468.77593064797986</v>
      </c>
      <c r="AC8" s="293">
        <f t="shared" si="1"/>
        <v>0</v>
      </c>
      <c r="AD8" s="293">
        <f t="shared" si="1"/>
        <v>0</v>
      </c>
      <c r="AE8" s="293">
        <f t="shared" si="1"/>
        <v>2152.2772500000001</v>
      </c>
      <c r="AF8" s="293">
        <f t="shared" si="1"/>
        <v>391.37185679999999</v>
      </c>
      <c r="AG8" s="293">
        <f t="shared" si="1"/>
        <v>889.45328500000016</v>
      </c>
      <c r="AH8" s="293">
        <f t="shared" si="1"/>
        <v>124.14985000000001</v>
      </c>
      <c r="AI8" s="293">
        <f t="shared" si="1"/>
        <v>1404.9749918000002</v>
      </c>
      <c r="AJ8" s="293">
        <f t="shared" si="1"/>
        <v>3557.2522418000003</v>
      </c>
    </row>
    <row r="9" spans="1:38" s="305" customFormat="1">
      <c r="A9" s="294" t="s">
        <v>275</v>
      </c>
      <c r="B9" s="294"/>
      <c r="C9" s="295"/>
      <c r="D9" s="296"/>
      <c r="E9" s="294"/>
      <c r="F9" s="295"/>
      <c r="G9" s="297">
        <f>SUM(G10:G14)</f>
        <v>15340</v>
      </c>
      <c r="H9" s="297">
        <f>SUM(H10:H14)</f>
        <v>442960</v>
      </c>
      <c r="I9" s="297">
        <f>SUM(I10:I14)</f>
        <v>480188</v>
      </c>
      <c r="J9" s="298"/>
      <c r="K9" s="299"/>
      <c r="L9" s="297">
        <f>SUM(L10:L14)</f>
        <v>768.04700000000003</v>
      </c>
      <c r="M9" s="297">
        <f>SUM(M10:M14)</f>
        <v>561.79600000000005</v>
      </c>
      <c r="N9" s="298"/>
      <c r="O9" s="300"/>
      <c r="P9" s="301"/>
      <c r="Q9" s="302"/>
      <c r="R9" s="297">
        <f>SUM(R10:R14)</f>
        <v>0</v>
      </c>
      <c r="S9" s="297">
        <f>SUM(S10:S14)</f>
        <v>0</v>
      </c>
      <c r="T9" s="298"/>
      <c r="U9" s="297"/>
      <c r="V9" s="297">
        <f>SUM(V10:V14)</f>
        <v>0</v>
      </c>
      <c r="W9" s="297">
        <f>SUM(W10:W14)</f>
        <v>0</v>
      </c>
      <c r="X9" s="301"/>
      <c r="Y9" s="298"/>
      <c r="Z9" s="303">
        <f>M9*1000+S9*energiindhold_naturgas/3.6+W9*energiindhold_olie/3.6</f>
        <v>561796</v>
      </c>
      <c r="AA9" s="303">
        <f>H9/G9</f>
        <v>28.8761408083442</v>
      </c>
      <c r="AB9" s="303">
        <f>Z9/G9</f>
        <v>36.622946544980444</v>
      </c>
      <c r="AC9" s="304"/>
      <c r="AD9" s="304"/>
      <c r="AE9" s="295">
        <f>(Bygninger!I9*CO2_el)/1000</f>
        <v>210.32234400000002</v>
      </c>
      <c r="AF9" s="295">
        <f>SUM(AF10:AF14)</f>
        <v>6.0845145</v>
      </c>
      <c r="AG9" s="295">
        <f>(Bygninger!S9*CO2_naturgas)/1000</f>
        <v>0</v>
      </c>
      <c r="AH9" s="295">
        <f>(Bygninger!W9*CO2_olie)/1000</f>
        <v>0</v>
      </c>
      <c r="AI9" s="295">
        <f>SUM(AF9:AH9)</f>
        <v>6.0845145</v>
      </c>
      <c r="AJ9" s="295">
        <f>AE9+AI9</f>
        <v>216.40685850000003</v>
      </c>
    </row>
    <row r="10" spans="1:38" s="305" customFormat="1">
      <c r="A10" s="306" t="s">
        <v>540</v>
      </c>
      <c r="B10" s="306" t="s">
        <v>438</v>
      </c>
      <c r="C10" s="307">
        <v>9</v>
      </c>
      <c r="D10" s="308">
        <v>5610</v>
      </c>
      <c r="E10" s="306" t="s">
        <v>12</v>
      </c>
      <c r="F10" s="309"/>
      <c r="G10" s="310"/>
      <c r="H10" s="310"/>
      <c r="I10" s="310"/>
      <c r="J10" s="311"/>
      <c r="K10" s="312" t="s">
        <v>552</v>
      </c>
      <c r="L10" s="313"/>
      <c r="M10" s="313"/>
      <c r="N10" s="311"/>
      <c r="O10" s="314" t="s">
        <v>613</v>
      </c>
      <c r="P10" s="315" t="s">
        <v>380</v>
      </c>
      <c r="Q10" s="316">
        <f>Forudsætninger!B18</f>
        <v>0</v>
      </c>
      <c r="R10" s="317"/>
      <c r="S10" s="318"/>
      <c r="T10" s="311"/>
      <c r="U10" s="319"/>
      <c r="V10" s="269"/>
      <c r="W10" s="320"/>
      <c r="X10" s="317"/>
      <c r="Y10" s="311"/>
      <c r="Z10" s="320"/>
      <c r="AA10" s="321"/>
      <c r="AB10" s="321"/>
      <c r="AC10" s="322"/>
      <c r="AD10" s="322"/>
      <c r="AE10" s="323"/>
      <c r="AF10" s="323">
        <f>(Bygninger!M10*Q10*1000)/1000</f>
        <v>0</v>
      </c>
      <c r="AG10" s="323"/>
      <c r="AH10" s="323"/>
      <c r="AI10" s="323"/>
      <c r="AJ10" s="323"/>
      <c r="AK10" s="324"/>
      <c r="AL10" s="324"/>
    </row>
    <row r="11" spans="1:38" s="305" customFormat="1">
      <c r="A11" s="325" t="s">
        <v>487</v>
      </c>
      <c r="B11" s="325" t="s">
        <v>444</v>
      </c>
      <c r="C11" s="326">
        <v>5</v>
      </c>
      <c r="D11" s="327">
        <v>5610</v>
      </c>
      <c r="E11" s="325" t="s">
        <v>12</v>
      </c>
      <c r="F11" s="328">
        <v>5511</v>
      </c>
      <c r="G11" s="312">
        <v>8713</v>
      </c>
      <c r="H11" s="312">
        <v>390040</v>
      </c>
      <c r="I11" s="321">
        <v>423537</v>
      </c>
      <c r="J11" s="311">
        <f t="shared" ref="J11:J64" si="2">(I11-H11)/H11</f>
        <v>8.5880935288688343E-2</v>
      </c>
      <c r="K11" s="329" t="s">
        <v>459</v>
      </c>
      <c r="L11" s="313">
        <v>342.85</v>
      </c>
      <c r="M11" s="330">
        <v>336.35</v>
      </c>
      <c r="N11" s="311">
        <f>(M11-L11)/L11</f>
        <v>-1.8958728306839725E-2</v>
      </c>
      <c r="O11" s="314" t="s">
        <v>598</v>
      </c>
      <c r="P11" s="315" t="s">
        <v>380</v>
      </c>
      <c r="Q11" s="316">
        <f>Forudsætninger!B18</f>
        <v>0</v>
      </c>
      <c r="R11" s="321"/>
      <c r="S11" s="313"/>
      <c r="T11" s="311"/>
      <c r="U11" s="312"/>
      <c r="V11" s="321"/>
      <c r="W11" s="321"/>
      <c r="X11" s="335"/>
      <c r="Y11" s="311"/>
      <c r="Z11" s="331"/>
      <c r="AA11" s="321"/>
      <c r="AB11" s="321"/>
      <c r="AC11" s="322">
        <v>2002</v>
      </c>
      <c r="AD11" s="322" t="s">
        <v>156</v>
      </c>
      <c r="AE11" s="323"/>
      <c r="AF11" s="323">
        <f>(Bygninger!M11*Q11*1000)/1000</f>
        <v>0</v>
      </c>
      <c r="AG11" s="323"/>
      <c r="AH11" s="323"/>
      <c r="AI11" s="323"/>
      <c r="AJ11" s="323"/>
    </row>
    <row r="12" spans="1:38" s="305" customFormat="1">
      <c r="A12" s="325" t="s">
        <v>488</v>
      </c>
      <c r="B12" s="325" t="s">
        <v>432</v>
      </c>
      <c r="C12" s="326" t="s">
        <v>433</v>
      </c>
      <c r="D12" s="327">
        <v>5610</v>
      </c>
      <c r="E12" s="325" t="s">
        <v>12</v>
      </c>
      <c r="F12" s="326">
        <v>5511</v>
      </c>
      <c r="G12" s="332">
        <v>162</v>
      </c>
      <c r="H12" s="312">
        <v>5013</v>
      </c>
      <c r="I12" s="321">
        <v>1387</v>
      </c>
      <c r="J12" s="311">
        <f t="shared" si="2"/>
        <v>-0.72331936963893873</v>
      </c>
      <c r="K12" s="329" t="s">
        <v>459</v>
      </c>
      <c r="L12" s="313">
        <v>25.876999999999999</v>
      </c>
      <c r="M12" s="330">
        <v>27.331</v>
      </c>
      <c r="N12" s="311">
        <f>(M12-L12)/L12</f>
        <v>5.6188893612087981E-2</v>
      </c>
      <c r="O12" s="314" t="s">
        <v>468</v>
      </c>
      <c r="P12" s="315" t="s">
        <v>380</v>
      </c>
      <c r="Q12" s="316">
        <f>Forudsætninger!B18</f>
        <v>0</v>
      </c>
      <c r="R12" s="321"/>
      <c r="S12" s="313"/>
      <c r="T12" s="311"/>
      <c r="U12" s="312"/>
      <c r="V12" s="321"/>
      <c r="W12" s="321"/>
      <c r="X12" s="335"/>
      <c r="Y12" s="311"/>
      <c r="Z12" s="331"/>
      <c r="AA12" s="321"/>
      <c r="AB12" s="321"/>
      <c r="AC12" s="322">
        <v>2003</v>
      </c>
      <c r="AD12" s="322" t="s">
        <v>156</v>
      </c>
      <c r="AE12" s="323"/>
      <c r="AF12" s="323">
        <f>(Bygninger!M12*Q12*1000)/1000</f>
        <v>0</v>
      </c>
      <c r="AG12" s="323"/>
      <c r="AH12" s="323"/>
      <c r="AI12" s="323"/>
      <c r="AJ12" s="323"/>
    </row>
    <row r="13" spans="1:38">
      <c r="A13" s="325" t="s">
        <v>490</v>
      </c>
      <c r="B13" s="325" t="s">
        <v>6</v>
      </c>
      <c r="C13" s="326" t="s">
        <v>443</v>
      </c>
      <c r="D13" s="327">
        <v>5690</v>
      </c>
      <c r="E13" s="325" t="s">
        <v>7</v>
      </c>
      <c r="F13" s="326"/>
      <c r="G13" s="332">
        <v>2384</v>
      </c>
      <c r="H13" s="312">
        <v>38409</v>
      </c>
      <c r="I13" s="321">
        <v>42508</v>
      </c>
      <c r="J13" s="311">
        <f>(I13-H13)/H13</f>
        <v>0.10671977921841234</v>
      </c>
      <c r="K13" s="329" t="s">
        <v>459</v>
      </c>
      <c r="L13" s="313">
        <v>246.38</v>
      </c>
      <c r="M13" s="313">
        <v>134.32</v>
      </c>
      <c r="N13" s="311">
        <f>(M13-L13)/L13</f>
        <v>-0.45482587872392244</v>
      </c>
      <c r="O13" s="314" t="s">
        <v>596</v>
      </c>
      <c r="P13" s="315" t="s">
        <v>442</v>
      </c>
      <c r="Q13" s="316">
        <f>Forudsætninger!B21</f>
        <v>1.0200000000000001E-2</v>
      </c>
      <c r="R13" s="321"/>
      <c r="S13" s="313"/>
      <c r="T13" s="311"/>
      <c r="U13" s="312"/>
      <c r="V13" s="321"/>
      <c r="W13" s="321"/>
      <c r="X13" s="335"/>
      <c r="Y13" s="311"/>
      <c r="Z13" s="331"/>
      <c r="AA13" s="321"/>
      <c r="AB13" s="321"/>
      <c r="AC13" s="322">
        <v>1999</v>
      </c>
      <c r="AD13" s="322" t="s">
        <v>156</v>
      </c>
      <c r="AE13" s="323"/>
      <c r="AF13" s="323">
        <f>(Bygninger!M13*Q13*1000)/1000</f>
        <v>1.3700639999999999</v>
      </c>
      <c r="AG13" s="323"/>
      <c r="AH13" s="323"/>
      <c r="AI13" s="323"/>
      <c r="AJ13" s="323"/>
    </row>
    <row r="14" spans="1:38">
      <c r="A14" s="325" t="s">
        <v>594</v>
      </c>
      <c r="B14" s="325" t="s">
        <v>8</v>
      </c>
      <c r="C14" s="326">
        <v>2</v>
      </c>
      <c r="D14" s="327">
        <v>5492</v>
      </c>
      <c r="E14" s="325" t="s">
        <v>9</v>
      </c>
      <c r="F14" s="326">
        <v>16307</v>
      </c>
      <c r="G14" s="332">
        <v>4081</v>
      </c>
      <c r="H14" s="321">
        <v>9498</v>
      </c>
      <c r="I14" s="321">
        <v>12756</v>
      </c>
      <c r="J14" s="311">
        <f t="shared" si="2"/>
        <v>0.34301958307012004</v>
      </c>
      <c r="K14" s="329" t="s">
        <v>459</v>
      </c>
      <c r="L14" s="313">
        <f>82.4+70.54</f>
        <v>152.94</v>
      </c>
      <c r="M14" s="313">
        <v>63.795000000000002</v>
      </c>
      <c r="N14" s="311">
        <f>(M14-L14)/L14</f>
        <v>-0.5828756375049039</v>
      </c>
      <c r="O14" s="314" t="s">
        <v>597</v>
      </c>
      <c r="P14" s="315" t="s">
        <v>381</v>
      </c>
      <c r="Q14" s="316">
        <f>Forudsætninger!B22</f>
        <v>7.3899999999999993E-2</v>
      </c>
      <c r="R14" s="321"/>
      <c r="S14" s="313"/>
      <c r="T14" s="311"/>
      <c r="U14" s="312"/>
      <c r="V14" s="321"/>
      <c r="W14" s="321"/>
      <c r="X14" s="335"/>
      <c r="Y14" s="311"/>
      <c r="Z14" s="331"/>
      <c r="AA14" s="321"/>
      <c r="AB14" s="321"/>
      <c r="AC14" s="322" t="s">
        <v>157</v>
      </c>
      <c r="AD14" s="322">
        <v>1990</v>
      </c>
      <c r="AE14" s="323"/>
      <c r="AF14" s="323">
        <f>(Bygninger!M14*Q14*1000)/1000</f>
        <v>4.7144504999999999</v>
      </c>
      <c r="AG14" s="323"/>
      <c r="AH14" s="323"/>
      <c r="AI14" s="323"/>
      <c r="AJ14" s="323"/>
    </row>
    <row r="15" spans="1:38" s="305" customFormat="1" collapsed="1">
      <c r="A15" s="294" t="s">
        <v>276</v>
      </c>
      <c r="B15" s="294"/>
      <c r="C15" s="295"/>
      <c r="D15" s="296"/>
      <c r="E15" s="294"/>
      <c r="F15" s="295"/>
      <c r="G15" s="297">
        <f>SUM(G16:G34)</f>
        <v>99400</v>
      </c>
      <c r="H15" s="297">
        <f>SUM(H16:H34)</f>
        <v>1718650</v>
      </c>
      <c r="I15" s="297">
        <f>SUM(I16:I34)</f>
        <v>1590886</v>
      </c>
      <c r="J15" s="298"/>
      <c r="K15" s="299"/>
      <c r="L15" s="297">
        <f>SUM(L16:L34)</f>
        <v>5194.54</v>
      </c>
      <c r="M15" s="297">
        <f>SUM(M16:M34)</f>
        <v>5104.88</v>
      </c>
      <c r="N15" s="298"/>
      <c r="O15" s="300"/>
      <c r="P15" s="301"/>
      <c r="Q15" s="302"/>
      <c r="R15" s="297">
        <f>SUM(R16:R34)</f>
        <v>267719</v>
      </c>
      <c r="S15" s="297">
        <f>SUM(S16:S34)</f>
        <v>234885</v>
      </c>
      <c r="T15" s="298"/>
      <c r="U15" s="297"/>
      <c r="V15" s="297">
        <f>SUM(V16:V34)</f>
        <v>39724</v>
      </c>
      <c r="W15" s="297">
        <f>SUM(W16:W34)</f>
        <v>32832</v>
      </c>
      <c r="X15" s="301"/>
      <c r="Y15" s="298"/>
      <c r="Z15" s="303">
        <f>M15*1000+S15*energiindhold_naturgas/3.6+W15*energiindhold_olie/3.6</f>
        <v>8022547.583333334</v>
      </c>
      <c r="AA15" s="303">
        <f>H15/G15</f>
        <v>17.290241448692154</v>
      </c>
      <c r="AB15" s="303">
        <f>Z15/G15</f>
        <v>80.709734238765932</v>
      </c>
      <c r="AC15" s="304"/>
      <c r="AD15" s="304"/>
      <c r="AE15" s="295">
        <f>(Bygninger!I15*CO2_el)/1000</f>
        <v>696.80806799999993</v>
      </c>
      <c r="AF15" s="295">
        <f>SUM(AF16:AF34)</f>
        <v>277.47510720000002</v>
      </c>
      <c r="AG15" s="295">
        <f>(Bygninger!S15*CO2_naturgas)/1000</f>
        <v>527.31682500000011</v>
      </c>
      <c r="AH15" s="295">
        <f>(Bygninger!W15*CO2_olie)/1000</f>
        <v>87.004800000000003</v>
      </c>
      <c r="AI15" s="295">
        <f>SUM(AF15:AH15)</f>
        <v>891.79673220000018</v>
      </c>
      <c r="AJ15" s="295">
        <f>AE15+AI15</f>
        <v>1588.6048002000002</v>
      </c>
    </row>
    <row r="16" spans="1:38">
      <c r="A16" s="325" t="s">
        <v>497</v>
      </c>
      <c r="B16" s="325" t="s">
        <v>438</v>
      </c>
      <c r="C16" s="326">
        <v>9</v>
      </c>
      <c r="D16" s="327">
        <v>5610</v>
      </c>
      <c r="E16" s="325" t="s">
        <v>12</v>
      </c>
      <c r="F16" s="328"/>
      <c r="G16" s="321">
        <v>3346</v>
      </c>
      <c r="H16" s="333">
        <v>89351</v>
      </c>
      <c r="I16" s="321">
        <v>112089</v>
      </c>
      <c r="J16" s="311">
        <f t="shared" si="2"/>
        <v>0.2544795245716332</v>
      </c>
      <c r="K16" s="329" t="s">
        <v>459</v>
      </c>
      <c r="L16" s="313">
        <v>254.24</v>
      </c>
      <c r="M16" s="334">
        <v>253.18</v>
      </c>
      <c r="N16" s="311">
        <f>(M16-L16)/L16</f>
        <v>-4.169288860918826E-3</v>
      </c>
      <c r="O16" s="314" t="s">
        <v>469</v>
      </c>
      <c r="P16" s="315" t="s">
        <v>380</v>
      </c>
      <c r="Q16" s="316">
        <f>Forudsætninger!B18</f>
        <v>0</v>
      </c>
      <c r="R16" s="321"/>
      <c r="S16" s="313"/>
      <c r="T16" s="311"/>
      <c r="U16" s="312"/>
      <c r="V16" s="321"/>
      <c r="W16" s="321"/>
      <c r="X16" s="335"/>
      <c r="Y16" s="311"/>
      <c r="Z16" s="331"/>
      <c r="AA16" s="321"/>
      <c r="AB16" s="321"/>
      <c r="AC16" s="322" t="s">
        <v>431</v>
      </c>
      <c r="AD16" s="322" t="s">
        <v>156</v>
      </c>
      <c r="AE16" s="323"/>
      <c r="AF16" s="323">
        <f>(Bygninger!M16*Q16*1000)/1000</f>
        <v>0</v>
      </c>
      <c r="AG16" s="323"/>
      <c r="AH16" s="323"/>
      <c r="AI16" s="323"/>
      <c r="AJ16" s="323"/>
    </row>
    <row r="17" spans="1:36">
      <c r="A17" s="306" t="s">
        <v>113</v>
      </c>
      <c r="B17" s="306" t="s">
        <v>31</v>
      </c>
      <c r="C17" s="328">
        <v>28</v>
      </c>
      <c r="D17" s="308">
        <v>5610</v>
      </c>
      <c r="E17" s="306" t="s">
        <v>12</v>
      </c>
      <c r="F17" s="328">
        <v>212</v>
      </c>
      <c r="G17" s="321">
        <v>3169</v>
      </c>
      <c r="H17" s="312">
        <v>70602</v>
      </c>
      <c r="I17" s="321">
        <v>52338</v>
      </c>
      <c r="J17" s="311">
        <f t="shared" si="2"/>
        <v>-0.25868955553667033</v>
      </c>
      <c r="K17" s="329" t="s">
        <v>459</v>
      </c>
      <c r="L17" s="313"/>
      <c r="M17" s="313"/>
      <c r="N17" s="311"/>
      <c r="O17" s="314"/>
      <c r="P17" s="335"/>
      <c r="Q17" s="316"/>
      <c r="R17" s="321"/>
      <c r="S17" s="313"/>
      <c r="T17" s="311"/>
      <c r="U17" s="312"/>
      <c r="V17" s="321">
        <v>39724</v>
      </c>
      <c r="W17" s="321">
        <v>32832</v>
      </c>
      <c r="X17" s="335"/>
      <c r="Y17" s="311">
        <f>(W17-V17)/V17</f>
        <v>-0.17349713019836874</v>
      </c>
      <c r="Z17" s="331"/>
      <c r="AA17" s="321"/>
      <c r="AB17" s="321"/>
      <c r="AC17" s="322" t="s">
        <v>168</v>
      </c>
      <c r="AD17" s="322" t="s">
        <v>169</v>
      </c>
      <c r="AE17" s="323"/>
      <c r="AF17" s="323">
        <f>(Bygninger!M17*Q17*1000)/1000</f>
        <v>0</v>
      </c>
      <c r="AG17" s="323"/>
      <c r="AH17" s="323"/>
      <c r="AI17" s="323"/>
      <c r="AJ17" s="323"/>
    </row>
    <row r="18" spans="1:36">
      <c r="A18" s="325" t="s">
        <v>119</v>
      </c>
      <c r="B18" s="325" t="s">
        <v>30</v>
      </c>
      <c r="C18" s="326">
        <v>29</v>
      </c>
      <c r="D18" s="327">
        <v>5610</v>
      </c>
      <c r="E18" s="325" t="s">
        <v>12</v>
      </c>
      <c r="F18" s="326">
        <v>3090</v>
      </c>
      <c r="G18" s="336">
        <v>11010</v>
      </c>
      <c r="H18" s="312">
        <v>226633</v>
      </c>
      <c r="I18" s="321">
        <v>198234</v>
      </c>
      <c r="J18" s="311">
        <f t="shared" si="2"/>
        <v>-0.12530831785309288</v>
      </c>
      <c r="K18" s="329" t="s">
        <v>459</v>
      </c>
      <c r="L18" s="313">
        <v>898.47</v>
      </c>
      <c r="M18" s="337">
        <v>851.14</v>
      </c>
      <c r="N18" s="311">
        <f>(M18-L18)/L18</f>
        <v>-5.267844224069812E-2</v>
      </c>
      <c r="O18" s="314" t="s">
        <v>476</v>
      </c>
      <c r="P18" s="315" t="s">
        <v>380</v>
      </c>
      <c r="Q18" s="316">
        <f>Forudsætninger!B18</f>
        <v>0</v>
      </c>
      <c r="R18" s="321"/>
      <c r="S18" s="313"/>
      <c r="T18" s="311"/>
      <c r="U18" s="335"/>
      <c r="V18" s="321"/>
      <c r="W18" s="321"/>
      <c r="X18" s="335"/>
      <c r="Y18" s="311"/>
      <c r="Z18" s="331"/>
      <c r="AA18" s="321"/>
      <c r="AB18" s="321"/>
      <c r="AC18" s="322" t="s">
        <v>165</v>
      </c>
      <c r="AD18" s="322" t="s">
        <v>156</v>
      </c>
      <c r="AE18" s="323"/>
      <c r="AF18" s="323">
        <f>(Bygninger!M18*Q18*1000)/1000</f>
        <v>0</v>
      </c>
      <c r="AG18" s="323"/>
      <c r="AH18" s="323"/>
      <c r="AI18" s="323"/>
      <c r="AJ18" s="323"/>
    </row>
    <row r="19" spans="1:36">
      <c r="A19" s="306" t="s">
        <v>115</v>
      </c>
      <c r="B19" s="306" t="s">
        <v>29</v>
      </c>
      <c r="C19" s="328">
        <v>10</v>
      </c>
      <c r="D19" s="308">
        <v>5610</v>
      </c>
      <c r="E19" s="306" t="s">
        <v>12</v>
      </c>
      <c r="F19" s="328">
        <v>2526</v>
      </c>
      <c r="G19" s="321">
        <v>2067</v>
      </c>
      <c r="H19" s="312">
        <v>94320</v>
      </c>
      <c r="I19" s="321">
        <v>95200</v>
      </c>
      <c r="J19" s="311">
        <f t="shared" si="2"/>
        <v>9.3299406276505514E-3</v>
      </c>
      <c r="K19" s="329" t="s">
        <v>459</v>
      </c>
      <c r="L19" s="338">
        <v>202.14</v>
      </c>
      <c r="M19" s="337">
        <v>184.57</v>
      </c>
      <c r="N19" s="311">
        <f>(M19-L19)/L19</f>
        <v>-8.691995646581574E-2</v>
      </c>
      <c r="O19" s="314" t="s">
        <v>469</v>
      </c>
      <c r="P19" s="315" t="s">
        <v>380</v>
      </c>
      <c r="Q19" s="316">
        <f>Forudsætninger!B18</f>
        <v>0</v>
      </c>
      <c r="R19" s="321"/>
      <c r="S19" s="313"/>
      <c r="T19" s="311"/>
      <c r="U19" s="335"/>
      <c r="V19" s="321"/>
      <c r="W19" s="321"/>
      <c r="X19" s="335"/>
      <c r="Y19" s="311"/>
      <c r="Z19" s="331"/>
      <c r="AA19" s="321"/>
      <c r="AB19" s="321"/>
      <c r="AC19" s="322" t="s">
        <v>166</v>
      </c>
      <c r="AD19" s="322" t="s">
        <v>167</v>
      </c>
      <c r="AE19" s="323"/>
      <c r="AF19" s="323">
        <f>(Bygninger!M19*Q19*1000)/1000</f>
        <v>0</v>
      </c>
      <c r="AG19" s="323"/>
      <c r="AH19" s="323"/>
      <c r="AI19" s="323"/>
      <c r="AJ19" s="323"/>
    </row>
    <row r="20" spans="1:36">
      <c r="A20" s="306" t="s">
        <v>107</v>
      </c>
      <c r="B20" s="306" t="s">
        <v>16</v>
      </c>
      <c r="C20" s="328">
        <v>4</v>
      </c>
      <c r="D20" s="308">
        <v>5631</v>
      </c>
      <c r="E20" s="306" t="s">
        <v>87</v>
      </c>
      <c r="F20" s="328">
        <v>3118</v>
      </c>
      <c r="G20" s="321">
        <v>6331</v>
      </c>
      <c r="H20" s="312">
        <v>100303</v>
      </c>
      <c r="I20" s="321">
        <v>94368</v>
      </c>
      <c r="J20" s="311">
        <f t="shared" si="2"/>
        <v>-5.9170712740396599E-2</v>
      </c>
      <c r="K20" s="329" t="s">
        <v>459</v>
      </c>
      <c r="L20" s="313">
        <v>4.93</v>
      </c>
      <c r="M20" s="313">
        <v>503.52</v>
      </c>
      <c r="N20" s="311">
        <f>(M20-L20)/L20</f>
        <v>101.13387423935092</v>
      </c>
      <c r="O20" s="314" t="s">
        <v>598</v>
      </c>
      <c r="P20" s="315" t="s">
        <v>380</v>
      </c>
      <c r="Q20" s="316">
        <f>Forudsætninger!B18</f>
        <v>0</v>
      </c>
      <c r="R20" s="321">
        <v>39170</v>
      </c>
      <c r="S20" s="321">
        <v>0</v>
      </c>
      <c r="T20" s="311">
        <f>(S20-R20)/R20</f>
        <v>-1</v>
      </c>
      <c r="U20" s="339" t="s">
        <v>477</v>
      </c>
      <c r="V20" s="321"/>
      <c r="W20" s="321"/>
      <c r="X20" s="335"/>
      <c r="Y20" s="311"/>
      <c r="Z20" s="331"/>
      <c r="AA20" s="321"/>
      <c r="AB20" s="321"/>
      <c r="AC20" s="322" t="s">
        <v>170</v>
      </c>
      <c r="AD20" s="322" t="s">
        <v>173</v>
      </c>
      <c r="AE20" s="323"/>
      <c r="AF20" s="323">
        <f>(Bygninger!M20*Q20*1000)/1000</f>
        <v>0</v>
      </c>
      <c r="AG20" s="323"/>
      <c r="AH20" s="323"/>
      <c r="AI20" s="323"/>
      <c r="AJ20" s="323"/>
    </row>
    <row r="21" spans="1:36">
      <c r="A21" s="306" t="s">
        <v>116</v>
      </c>
      <c r="B21" s="306" t="s">
        <v>21</v>
      </c>
      <c r="C21" s="328">
        <v>57</v>
      </c>
      <c r="D21" s="308">
        <v>5620</v>
      </c>
      <c r="E21" s="306" t="s">
        <v>13</v>
      </c>
      <c r="F21" s="328">
        <v>5914</v>
      </c>
      <c r="G21" s="321">
        <v>2117</v>
      </c>
      <c r="H21" s="312">
        <v>52697</v>
      </c>
      <c r="I21" s="321">
        <v>51030</v>
      </c>
      <c r="J21" s="311">
        <f t="shared" si="2"/>
        <v>-3.1633679336584626E-2</v>
      </c>
      <c r="K21" s="329" t="s">
        <v>459</v>
      </c>
      <c r="L21" s="313"/>
      <c r="M21" s="313"/>
      <c r="N21" s="311"/>
      <c r="O21" s="314"/>
      <c r="P21" s="315"/>
      <c r="Q21" s="316"/>
      <c r="R21" s="321">
        <v>23516</v>
      </c>
      <c r="S21" s="321">
        <v>24746</v>
      </c>
      <c r="T21" s="311">
        <f>(S21-R21)/R21</f>
        <v>5.2304813743833986E-2</v>
      </c>
      <c r="U21" s="315" t="s">
        <v>600</v>
      </c>
      <c r="V21" s="321"/>
      <c r="W21" s="321"/>
      <c r="X21" s="335"/>
      <c r="Y21" s="311"/>
      <c r="Z21" s="331"/>
      <c r="AA21" s="321"/>
      <c r="AB21" s="321"/>
      <c r="AC21" s="322" t="s">
        <v>176</v>
      </c>
      <c r="AD21" s="322" t="s">
        <v>177</v>
      </c>
      <c r="AE21" s="323"/>
      <c r="AF21" s="323">
        <f>(Bygninger!M21*Q21*1000)/1000</f>
        <v>0</v>
      </c>
      <c r="AG21" s="323"/>
      <c r="AH21" s="323"/>
      <c r="AI21" s="323"/>
      <c r="AJ21" s="323"/>
    </row>
    <row r="22" spans="1:36">
      <c r="A22" s="306" t="s">
        <v>108</v>
      </c>
      <c r="B22" s="306" t="s">
        <v>20</v>
      </c>
      <c r="C22" s="328">
        <v>10</v>
      </c>
      <c r="D22" s="308">
        <v>5620</v>
      </c>
      <c r="E22" s="306" t="s">
        <v>13</v>
      </c>
      <c r="F22" s="328">
        <v>7510</v>
      </c>
      <c r="G22" s="321">
        <v>7568</v>
      </c>
      <c r="H22" s="312">
        <v>121476</v>
      </c>
      <c r="I22" s="321">
        <v>110020</v>
      </c>
      <c r="J22" s="311">
        <f t="shared" si="2"/>
        <v>-9.4306694326451321E-2</v>
      </c>
      <c r="K22" s="329" t="s">
        <v>459</v>
      </c>
      <c r="L22" s="313">
        <v>805.3</v>
      </c>
      <c r="M22" s="313">
        <v>673.96</v>
      </c>
      <c r="N22" s="311">
        <f>(M22-L22)/L22</f>
        <v>-0.16309449894449266</v>
      </c>
      <c r="O22" s="314" t="s">
        <v>601</v>
      </c>
      <c r="P22" s="315" t="s">
        <v>382</v>
      </c>
      <c r="Q22" s="316">
        <f>Forudsætninger!B19</f>
        <v>0.1021</v>
      </c>
      <c r="R22" s="321"/>
      <c r="S22" s="313"/>
      <c r="T22" s="311"/>
      <c r="U22" s="335"/>
      <c r="V22" s="321"/>
      <c r="W22" s="321"/>
      <c r="X22" s="335"/>
      <c r="Y22" s="311"/>
      <c r="Z22" s="331"/>
      <c r="AA22" s="321"/>
      <c r="AB22" s="321"/>
      <c r="AC22" s="322" t="s">
        <v>174</v>
      </c>
      <c r="AD22" s="322" t="s">
        <v>175</v>
      </c>
      <c r="AE22" s="323"/>
      <c r="AF22" s="323">
        <f>(Bygninger!M22*Q22*1000)/1000</f>
        <v>68.811316000000005</v>
      </c>
      <c r="AG22" s="323"/>
      <c r="AH22" s="323"/>
      <c r="AI22" s="323"/>
      <c r="AJ22" s="323"/>
    </row>
    <row r="23" spans="1:36">
      <c r="A23" s="306" t="s">
        <v>498</v>
      </c>
      <c r="B23" s="306" t="s">
        <v>22</v>
      </c>
      <c r="C23" s="328" t="s">
        <v>140</v>
      </c>
      <c r="D23" s="308">
        <v>5620</v>
      </c>
      <c r="E23" s="306" t="s">
        <v>13</v>
      </c>
      <c r="F23" s="328">
        <v>6754</v>
      </c>
      <c r="G23" s="321">
        <v>2281</v>
      </c>
      <c r="H23" s="312">
        <v>35724</v>
      </c>
      <c r="I23" s="321">
        <v>23384</v>
      </c>
      <c r="J23" s="311">
        <f t="shared" si="2"/>
        <v>-0.34542604411600047</v>
      </c>
      <c r="K23" s="329" t="s">
        <v>459</v>
      </c>
      <c r="L23" s="313"/>
      <c r="M23" s="313"/>
      <c r="N23" s="311"/>
      <c r="O23" s="314"/>
      <c r="P23" s="335"/>
      <c r="Q23" s="316"/>
      <c r="R23" s="321">
        <v>22047</v>
      </c>
      <c r="S23" s="321">
        <v>23071</v>
      </c>
      <c r="T23" s="311">
        <f>(S23-R23)/R23</f>
        <v>4.6446228511815665E-2</v>
      </c>
      <c r="U23" s="330" t="s">
        <v>634</v>
      </c>
      <c r="V23" s="321"/>
      <c r="W23" s="321"/>
      <c r="X23" s="335"/>
      <c r="Y23" s="311"/>
      <c r="Z23" s="331"/>
      <c r="AA23" s="321"/>
      <c r="AB23" s="321"/>
      <c r="AC23" s="322" t="s">
        <v>171</v>
      </c>
      <c r="AD23" s="322" t="s">
        <v>172</v>
      </c>
      <c r="AE23" s="323"/>
      <c r="AF23" s="323">
        <f>(Bygninger!M23*Q23*1000)/1000</f>
        <v>0</v>
      </c>
      <c r="AG23" s="323"/>
      <c r="AH23" s="323"/>
      <c r="AI23" s="323"/>
      <c r="AJ23" s="323"/>
    </row>
    <row r="24" spans="1:36">
      <c r="A24" s="306" t="s">
        <v>109</v>
      </c>
      <c r="B24" s="306" t="s">
        <v>28</v>
      </c>
      <c r="C24" s="328">
        <v>27</v>
      </c>
      <c r="D24" s="308">
        <v>5683</v>
      </c>
      <c r="E24" s="306" t="s">
        <v>10</v>
      </c>
      <c r="F24" s="328">
        <v>9772</v>
      </c>
      <c r="G24" s="321">
        <v>1921</v>
      </c>
      <c r="H24" s="333">
        <f>2942+47181</f>
        <v>50123</v>
      </c>
      <c r="I24" s="321">
        <v>43446</v>
      </c>
      <c r="J24" s="311">
        <f t="shared" si="2"/>
        <v>-0.13321229774754104</v>
      </c>
      <c r="K24" s="329" t="s">
        <v>459</v>
      </c>
      <c r="L24" s="313"/>
      <c r="M24" s="313"/>
      <c r="N24" s="311"/>
      <c r="O24" s="314"/>
      <c r="P24" s="315"/>
      <c r="Q24" s="316"/>
      <c r="R24" s="321">
        <v>24566</v>
      </c>
      <c r="S24" s="321">
        <v>24795</v>
      </c>
      <c r="T24" s="311">
        <f>(S24-R24)/R24</f>
        <v>9.3218269152487172E-3</v>
      </c>
      <c r="U24" s="315" t="s">
        <v>602</v>
      </c>
      <c r="V24" s="321"/>
      <c r="W24" s="321"/>
      <c r="X24" s="335"/>
      <c r="Y24" s="311"/>
      <c r="Z24" s="331"/>
      <c r="AA24" s="321"/>
      <c r="AB24" s="321"/>
      <c r="AC24" s="322" t="s">
        <v>178</v>
      </c>
      <c r="AD24" s="322" t="s">
        <v>179</v>
      </c>
      <c r="AE24" s="323"/>
      <c r="AF24" s="323">
        <f>(Bygninger!M24*Q24*1000)/1000</f>
        <v>0</v>
      </c>
      <c r="AG24" s="323"/>
      <c r="AH24" s="323"/>
      <c r="AI24" s="323"/>
      <c r="AJ24" s="323"/>
    </row>
    <row r="25" spans="1:36">
      <c r="A25" s="306" t="s">
        <v>134</v>
      </c>
      <c r="B25" s="306" t="s">
        <v>27</v>
      </c>
      <c r="C25" s="328" t="s">
        <v>145</v>
      </c>
      <c r="D25" s="308">
        <v>5683</v>
      </c>
      <c r="E25" s="306" t="s">
        <v>10</v>
      </c>
      <c r="F25" s="328" t="s">
        <v>102</v>
      </c>
      <c r="G25" s="321">
        <v>6705</v>
      </c>
      <c r="H25" s="312">
        <f>130010+4064</f>
        <v>134074</v>
      </c>
      <c r="I25" s="321">
        <v>172145</v>
      </c>
      <c r="J25" s="311">
        <f t="shared" si="2"/>
        <v>0.28395512925697747</v>
      </c>
      <c r="K25" s="329" t="s">
        <v>459</v>
      </c>
      <c r="L25" s="313">
        <v>800</v>
      </c>
      <c r="M25" s="313">
        <f>330.43+248.11+61.91+51.872</f>
        <v>692.32199999999989</v>
      </c>
      <c r="N25" s="311">
        <f>(M25-L25)/L25</f>
        <v>-0.13459750000000015</v>
      </c>
      <c r="O25" s="314" t="s">
        <v>603</v>
      </c>
      <c r="P25" s="315" t="s">
        <v>383</v>
      </c>
      <c r="Q25" s="316">
        <f>Forudsætninger!B20</f>
        <v>0.14299999999999999</v>
      </c>
      <c r="R25" s="321"/>
      <c r="S25" s="313"/>
      <c r="T25" s="311"/>
      <c r="U25" s="335"/>
      <c r="V25" s="321"/>
      <c r="W25" s="321"/>
      <c r="X25" s="335"/>
      <c r="Y25" s="311"/>
      <c r="Z25" s="331"/>
      <c r="AA25" s="321"/>
      <c r="AB25" s="321"/>
      <c r="AC25" s="322" t="s">
        <v>180</v>
      </c>
      <c r="AD25" s="322" t="s">
        <v>181</v>
      </c>
      <c r="AE25" s="323"/>
      <c r="AF25" s="323">
        <f>(Bygninger!M25*Q25*1000)/1000</f>
        <v>99.002045999999979</v>
      </c>
      <c r="AG25" s="323"/>
      <c r="AH25" s="323"/>
      <c r="AI25" s="323"/>
      <c r="AJ25" s="323"/>
    </row>
    <row r="26" spans="1:36">
      <c r="A26" s="306" t="s">
        <v>117</v>
      </c>
      <c r="B26" s="306" t="s">
        <v>26</v>
      </c>
      <c r="C26" s="328">
        <v>1</v>
      </c>
      <c r="D26" s="308">
        <v>5690</v>
      </c>
      <c r="E26" s="306" t="s">
        <v>7</v>
      </c>
      <c r="F26" s="328">
        <v>11958</v>
      </c>
      <c r="G26" s="321">
        <v>4225</v>
      </c>
      <c r="H26" s="312">
        <v>47953</v>
      </c>
      <c r="I26" s="321">
        <v>38792</v>
      </c>
      <c r="J26" s="311">
        <f t="shared" si="2"/>
        <v>-0.19104122786895503</v>
      </c>
      <c r="K26" s="329" t="s">
        <v>459</v>
      </c>
      <c r="L26" s="313"/>
      <c r="M26" s="313"/>
      <c r="N26" s="311"/>
      <c r="O26" s="314"/>
      <c r="P26" s="335"/>
      <c r="Q26" s="316"/>
      <c r="R26" s="321">
        <v>28882</v>
      </c>
      <c r="S26" s="321">
        <v>30552</v>
      </c>
      <c r="T26" s="311">
        <f>(S26-R26)/R26</f>
        <v>5.7821480506890108E-2</v>
      </c>
      <c r="U26" s="315" t="s">
        <v>602</v>
      </c>
      <c r="V26" s="321"/>
      <c r="W26" s="321"/>
      <c r="X26" s="335"/>
      <c r="Y26" s="311"/>
      <c r="Z26" s="331"/>
      <c r="AA26" s="321"/>
      <c r="AB26" s="321"/>
      <c r="AC26" s="322" t="s">
        <v>188</v>
      </c>
      <c r="AD26" s="322" t="s">
        <v>189</v>
      </c>
      <c r="AE26" s="323"/>
      <c r="AF26" s="323">
        <f>(Bygninger!M26*Q26*1000)/1000</f>
        <v>0</v>
      </c>
      <c r="AG26" s="323"/>
      <c r="AH26" s="323"/>
      <c r="AI26" s="323"/>
      <c r="AJ26" s="323"/>
    </row>
    <row r="27" spans="1:36">
      <c r="A27" s="306" t="s">
        <v>434</v>
      </c>
      <c r="B27" s="306" t="s">
        <v>449</v>
      </c>
      <c r="C27" s="340" t="s">
        <v>450</v>
      </c>
      <c r="D27" s="308">
        <v>5690</v>
      </c>
      <c r="E27" s="306" t="s">
        <v>7</v>
      </c>
      <c r="F27" s="328">
        <v>13035</v>
      </c>
      <c r="G27" s="321">
        <v>9319</v>
      </c>
      <c r="H27" s="312">
        <v>75971</v>
      </c>
      <c r="I27" s="321">
        <v>66431</v>
      </c>
      <c r="J27" s="311">
        <f t="shared" si="2"/>
        <v>-0.12557423227284095</v>
      </c>
      <c r="K27" s="329" t="s">
        <v>459</v>
      </c>
      <c r="L27" s="313">
        <v>588.26</v>
      </c>
      <c r="M27" s="431">
        <f>L27</f>
        <v>588.26</v>
      </c>
      <c r="N27" s="311">
        <f>(M27-L27)/L27</f>
        <v>0</v>
      </c>
      <c r="O27" s="314" t="s">
        <v>475</v>
      </c>
      <c r="P27" s="315" t="s">
        <v>414</v>
      </c>
      <c r="Q27" s="316">
        <f>Forudsætninger!B23</f>
        <v>8.7800000000000003E-2</v>
      </c>
      <c r="R27" s="321"/>
      <c r="S27" s="313"/>
      <c r="T27" s="311"/>
      <c r="U27" s="335"/>
      <c r="V27" s="321"/>
      <c r="W27" s="321"/>
      <c r="X27" s="335"/>
      <c r="Y27" s="311"/>
      <c r="Z27" s="331"/>
      <c r="AA27" s="321"/>
      <c r="AB27" s="321"/>
      <c r="AC27" s="322" t="s">
        <v>184</v>
      </c>
      <c r="AD27" s="322" t="s">
        <v>185</v>
      </c>
      <c r="AE27" s="323"/>
      <c r="AF27" s="323">
        <f>(Bygninger!M27*Q27*1000)/1000</f>
        <v>51.649228000000001</v>
      </c>
      <c r="AG27" s="323"/>
      <c r="AH27" s="323"/>
      <c r="AI27" s="323"/>
      <c r="AJ27" s="323"/>
    </row>
    <row r="28" spans="1:36">
      <c r="A28" s="306" t="s">
        <v>435</v>
      </c>
      <c r="B28" s="306" t="s">
        <v>447</v>
      </c>
      <c r="C28" s="340" t="s">
        <v>448</v>
      </c>
      <c r="D28" s="308">
        <v>5690</v>
      </c>
      <c r="E28" s="306" t="s">
        <v>7</v>
      </c>
      <c r="F28" s="328">
        <v>13035</v>
      </c>
      <c r="G28" s="312"/>
      <c r="H28" s="312">
        <v>24073</v>
      </c>
      <c r="I28" s="321">
        <v>23229</v>
      </c>
      <c r="J28" s="311">
        <f t="shared" si="2"/>
        <v>-3.5060025754995221E-2</v>
      </c>
      <c r="K28" s="329" t="s">
        <v>459</v>
      </c>
      <c r="L28" s="313">
        <v>23.91</v>
      </c>
      <c r="M28" s="431">
        <f>L28</f>
        <v>23.91</v>
      </c>
      <c r="N28" s="311">
        <f>(M28-L28)/L28</f>
        <v>0</v>
      </c>
      <c r="O28" s="314" t="s">
        <v>475</v>
      </c>
      <c r="P28" s="315" t="s">
        <v>414</v>
      </c>
      <c r="Q28" s="316">
        <f>Forudsætninger!B23</f>
        <v>8.7800000000000003E-2</v>
      </c>
      <c r="R28" s="321"/>
      <c r="S28" s="313"/>
      <c r="T28" s="311"/>
      <c r="U28" s="335"/>
      <c r="V28" s="321"/>
      <c r="W28" s="321"/>
      <c r="X28" s="335"/>
      <c r="Y28" s="311"/>
      <c r="Z28" s="331"/>
      <c r="AA28" s="321"/>
      <c r="AB28" s="321"/>
      <c r="AC28" s="322"/>
      <c r="AD28" s="322"/>
      <c r="AE28" s="323"/>
      <c r="AF28" s="323">
        <f>(Bygninger!M28*Q28*1000)/1000</f>
        <v>2.0992980000000001</v>
      </c>
      <c r="AG28" s="323"/>
      <c r="AH28" s="323"/>
      <c r="AI28" s="323"/>
      <c r="AJ28" s="323"/>
    </row>
    <row r="29" spans="1:36">
      <c r="A29" s="306" t="s">
        <v>436</v>
      </c>
      <c r="B29" s="306" t="s">
        <v>447</v>
      </c>
      <c r="C29" s="340" t="s">
        <v>448</v>
      </c>
      <c r="D29" s="308">
        <v>5690</v>
      </c>
      <c r="E29" s="306" t="s">
        <v>7</v>
      </c>
      <c r="F29" s="328">
        <v>13035</v>
      </c>
      <c r="G29" s="312"/>
      <c r="H29" s="312">
        <v>635</v>
      </c>
      <c r="I29" s="321">
        <v>704</v>
      </c>
      <c r="J29" s="311">
        <f t="shared" si="2"/>
        <v>0.10866141732283464</v>
      </c>
      <c r="K29" s="329" t="s">
        <v>459</v>
      </c>
      <c r="L29" s="313">
        <v>17.14</v>
      </c>
      <c r="M29" s="431">
        <f>L29</f>
        <v>17.14</v>
      </c>
      <c r="N29" s="311">
        <f>(M29-L29)/L29</f>
        <v>0</v>
      </c>
      <c r="O29" s="314" t="s">
        <v>475</v>
      </c>
      <c r="P29" s="315" t="s">
        <v>414</v>
      </c>
      <c r="Q29" s="316">
        <f>Forudsætninger!B23</f>
        <v>8.7800000000000003E-2</v>
      </c>
      <c r="R29" s="321"/>
      <c r="S29" s="313"/>
      <c r="T29" s="311"/>
      <c r="U29" s="335"/>
      <c r="V29" s="321"/>
      <c r="W29" s="321"/>
      <c r="X29" s="335"/>
      <c r="Y29" s="311"/>
      <c r="Z29" s="331"/>
      <c r="AA29" s="321"/>
      <c r="AB29" s="321"/>
      <c r="AC29" s="322"/>
      <c r="AD29" s="322"/>
      <c r="AE29" s="323"/>
      <c r="AF29" s="323">
        <f>(Bygninger!M29*Q29*1000)/1000</f>
        <v>1.5048920000000001</v>
      </c>
      <c r="AG29" s="323"/>
      <c r="AH29" s="323"/>
      <c r="AI29" s="323"/>
      <c r="AJ29" s="323"/>
    </row>
    <row r="30" spans="1:36">
      <c r="A30" s="306" t="s">
        <v>143</v>
      </c>
      <c r="B30" s="306" t="s">
        <v>15</v>
      </c>
      <c r="C30" s="340">
        <v>7</v>
      </c>
      <c r="D30" s="308">
        <v>5690</v>
      </c>
      <c r="E30" s="306" t="s">
        <v>7</v>
      </c>
      <c r="F30" s="328">
        <v>12556</v>
      </c>
      <c r="G30" s="321">
        <v>9321</v>
      </c>
      <c r="H30" s="312">
        <v>117208</v>
      </c>
      <c r="I30" s="321">
        <v>53282</v>
      </c>
      <c r="J30" s="311">
        <f t="shared" si="2"/>
        <v>-0.54540645689714018</v>
      </c>
      <c r="K30" s="329" t="s">
        <v>459</v>
      </c>
      <c r="L30" s="313">
        <v>877.68</v>
      </c>
      <c r="M30" s="341">
        <v>673.61</v>
      </c>
      <c r="N30" s="311">
        <f>(M30-L30)/L30</f>
        <v>-0.23251071005377807</v>
      </c>
      <c r="O30" s="314" t="s">
        <v>599</v>
      </c>
      <c r="P30" s="315" t="s">
        <v>410</v>
      </c>
      <c r="Q30" s="316">
        <f>Forudsætninger!B21</f>
        <v>1.0200000000000001E-2</v>
      </c>
      <c r="R30" s="321"/>
      <c r="S30" s="313"/>
      <c r="T30" s="311"/>
      <c r="U30" s="335"/>
      <c r="V30" s="321"/>
      <c r="W30" s="321"/>
      <c r="X30" s="335"/>
      <c r="Y30" s="311"/>
      <c r="Z30" s="331"/>
      <c r="AA30" s="321"/>
      <c r="AB30" s="321"/>
      <c r="AC30" s="322" t="s">
        <v>186</v>
      </c>
      <c r="AD30" s="322" t="s">
        <v>187</v>
      </c>
      <c r="AE30" s="323"/>
      <c r="AF30" s="323">
        <f>(Bygninger!M30*Q30*1000)/1000</f>
        <v>6.8708220000000004</v>
      </c>
      <c r="AG30" s="323"/>
      <c r="AH30" s="323"/>
      <c r="AI30" s="323"/>
      <c r="AJ30" s="323"/>
    </row>
    <row r="31" spans="1:36">
      <c r="A31" s="306" t="s">
        <v>142</v>
      </c>
      <c r="B31" s="306" t="s">
        <v>550</v>
      </c>
      <c r="C31" s="340" t="s">
        <v>541</v>
      </c>
      <c r="D31" s="308">
        <v>5690</v>
      </c>
      <c r="E31" s="306" t="s">
        <v>7</v>
      </c>
      <c r="F31" s="328">
        <v>13089</v>
      </c>
      <c r="G31" s="321">
        <v>5300</v>
      </c>
      <c r="H31" s="312">
        <v>59932</v>
      </c>
      <c r="I31" s="321">
        <v>51364</v>
      </c>
      <c r="J31" s="311">
        <f t="shared" si="2"/>
        <v>-0.14296202362677701</v>
      </c>
      <c r="K31" s="329" t="s">
        <v>459</v>
      </c>
      <c r="L31" s="313"/>
      <c r="M31" s="313"/>
      <c r="N31" s="311"/>
      <c r="O31" s="314"/>
      <c r="P31" s="335"/>
      <c r="Q31" s="316"/>
      <c r="R31" s="321">
        <v>26746</v>
      </c>
      <c r="S31" s="321">
        <v>26799</v>
      </c>
      <c r="T31" s="311">
        <f>(S31-R31)/R31</f>
        <v>1.9816047259403275E-3</v>
      </c>
      <c r="U31" s="330" t="s">
        <v>634</v>
      </c>
      <c r="V31" s="321"/>
      <c r="W31" s="321"/>
      <c r="X31" s="335"/>
      <c r="Y31" s="311"/>
      <c r="Z31" s="331"/>
      <c r="AA31" s="321"/>
      <c r="AB31" s="321"/>
      <c r="AC31" s="322" t="s">
        <v>182</v>
      </c>
      <c r="AD31" s="322" t="s">
        <v>183</v>
      </c>
      <c r="AE31" s="323"/>
      <c r="AF31" s="323">
        <f>(Bygninger!M31*Q31*1000)/1000</f>
        <v>0</v>
      </c>
      <c r="AG31" s="323"/>
      <c r="AH31" s="323"/>
      <c r="AI31" s="323"/>
      <c r="AJ31" s="323"/>
    </row>
    <row r="32" spans="1:36">
      <c r="A32" s="306" t="s">
        <v>144</v>
      </c>
      <c r="B32" s="306" t="s">
        <v>33</v>
      </c>
      <c r="C32" s="340" t="s">
        <v>542</v>
      </c>
      <c r="D32" s="308">
        <v>5492</v>
      </c>
      <c r="E32" s="306" t="s">
        <v>9</v>
      </c>
      <c r="F32" s="328" t="s">
        <v>224</v>
      </c>
      <c r="G32" s="321">
        <v>3887</v>
      </c>
      <c r="H32" s="312">
        <v>51125</v>
      </c>
      <c r="I32" s="321">
        <v>39111</v>
      </c>
      <c r="J32" s="311">
        <f t="shared" si="2"/>
        <v>-0.23499266503667482</v>
      </c>
      <c r="K32" s="329" t="s">
        <v>459</v>
      </c>
      <c r="L32" s="313"/>
      <c r="M32" s="313"/>
      <c r="N32" s="311"/>
      <c r="O32" s="314"/>
      <c r="P32" s="335"/>
      <c r="Q32" s="316"/>
      <c r="R32" s="321">
        <v>24894</v>
      </c>
      <c r="S32" s="321">
        <v>26674</v>
      </c>
      <c r="T32" s="311">
        <f>(S32-R32)/R32</f>
        <v>7.1503173455451111E-2</v>
      </c>
      <c r="U32" s="315" t="s">
        <v>602</v>
      </c>
      <c r="V32" s="321"/>
      <c r="W32" s="321"/>
      <c r="X32" s="335"/>
      <c r="Y32" s="311"/>
      <c r="Z32" s="331"/>
      <c r="AA32" s="321"/>
      <c r="AB32" s="321"/>
      <c r="AC32" s="322" t="s">
        <v>225</v>
      </c>
      <c r="AD32" s="322" t="s">
        <v>181</v>
      </c>
      <c r="AE32" s="323"/>
      <c r="AF32" s="323">
        <f>(Bygninger!M32*Q32*1000)/1000</f>
        <v>0</v>
      </c>
      <c r="AG32" s="323"/>
      <c r="AH32" s="323"/>
      <c r="AI32" s="323"/>
      <c r="AJ32" s="323"/>
    </row>
    <row r="33" spans="1:36">
      <c r="A33" s="306" t="s">
        <v>120</v>
      </c>
      <c r="B33" s="306" t="s">
        <v>551</v>
      </c>
      <c r="C33" s="340" t="s">
        <v>543</v>
      </c>
      <c r="D33" s="308">
        <v>5492</v>
      </c>
      <c r="E33" s="306" t="s">
        <v>9</v>
      </c>
      <c r="F33" s="328">
        <v>16148</v>
      </c>
      <c r="G33" s="321">
        <v>12314</v>
      </c>
      <c r="H33" s="312">
        <f>7636+7575+3004+10+75487+76116+2988</f>
        <v>172816</v>
      </c>
      <c r="I33" s="321">
        <v>193729</v>
      </c>
      <c r="J33" s="311">
        <f t="shared" si="2"/>
        <v>0.12101310063882974</v>
      </c>
      <c r="K33" s="329" t="s">
        <v>459</v>
      </c>
      <c r="L33" s="313">
        <v>722.47</v>
      </c>
      <c r="M33" s="337">
        <v>643.26800000000003</v>
      </c>
      <c r="N33" s="311">
        <f>(M33-L33)/L33</f>
        <v>-0.10962669730231013</v>
      </c>
      <c r="O33" s="314" t="s">
        <v>471</v>
      </c>
      <c r="P33" s="315" t="s">
        <v>381</v>
      </c>
      <c r="Q33" s="316">
        <f>Forudsætninger!B22</f>
        <v>7.3899999999999993E-2</v>
      </c>
      <c r="R33" s="321"/>
      <c r="S33" s="313"/>
      <c r="T33" s="311"/>
      <c r="U33" s="335"/>
      <c r="V33" s="321"/>
      <c r="W33" s="321"/>
      <c r="X33" s="335"/>
      <c r="Y33" s="311"/>
      <c r="Z33" s="331"/>
      <c r="AA33" s="321"/>
      <c r="AB33" s="321"/>
      <c r="AC33" s="322" t="s">
        <v>191</v>
      </c>
      <c r="AD33" s="322" t="s">
        <v>192</v>
      </c>
      <c r="AE33" s="323"/>
      <c r="AF33" s="323">
        <f>(Bygninger!M33*Q33*1000)/1000</f>
        <v>47.537505199999998</v>
      </c>
      <c r="AG33" s="323"/>
      <c r="AH33" s="323"/>
      <c r="AI33" s="323"/>
      <c r="AJ33" s="323"/>
    </row>
    <row r="34" spans="1:36">
      <c r="A34" s="306" t="s">
        <v>136</v>
      </c>
      <c r="B34" s="306" t="s">
        <v>6</v>
      </c>
      <c r="C34" s="340" t="s">
        <v>137</v>
      </c>
      <c r="D34" s="308">
        <v>5560</v>
      </c>
      <c r="E34" s="306" t="s">
        <v>5</v>
      </c>
      <c r="F34" s="328">
        <v>18297</v>
      </c>
      <c r="G34" s="321">
        <v>8519</v>
      </c>
      <c r="H34" s="312">
        <f>149+48377+3988+141120</f>
        <v>193634</v>
      </c>
      <c r="I34" s="321">
        <v>171990</v>
      </c>
      <c r="J34" s="311">
        <f t="shared" si="2"/>
        <v>-0.11177789024654761</v>
      </c>
      <c r="K34" s="329" t="s">
        <v>459</v>
      </c>
      <c r="L34" s="313"/>
      <c r="M34" s="313"/>
      <c r="N34" s="311"/>
      <c r="O34" s="314"/>
      <c r="P34" s="335"/>
      <c r="Q34" s="316"/>
      <c r="R34" s="342">
        <v>77898</v>
      </c>
      <c r="S34" s="342">
        <v>78248</v>
      </c>
      <c r="T34" s="311">
        <f>(S34-R34)/R34</f>
        <v>4.4930550206680533E-3</v>
      </c>
      <c r="U34" s="315" t="s">
        <v>602</v>
      </c>
      <c r="V34" s="321"/>
      <c r="W34" s="321"/>
      <c r="X34" s="335"/>
      <c r="Y34" s="311"/>
      <c r="Z34" s="331"/>
      <c r="AA34" s="321"/>
      <c r="AB34" s="321"/>
      <c r="AC34" s="322" t="s">
        <v>193</v>
      </c>
      <c r="AD34" s="322" t="s">
        <v>194</v>
      </c>
      <c r="AE34" s="323"/>
      <c r="AF34" s="323">
        <f>(Bygninger!M34*Q34*1000)/1000</f>
        <v>0</v>
      </c>
      <c r="AG34" s="323"/>
      <c r="AH34" s="323"/>
      <c r="AI34" s="323"/>
      <c r="AJ34" s="323"/>
    </row>
    <row r="35" spans="1:36" s="305" customFormat="1" collapsed="1">
      <c r="A35" s="294" t="s">
        <v>277</v>
      </c>
      <c r="B35" s="294"/>
      <c r="C35" s="343"/>
      <c r="D35" s="296"/>
      <c r="E35" s="294"/>
      <c r="F35" s="295"/>
      <c r="G35" s="297">
        <f>SUM(G36:G64)</f>
        <v>17521</v>
      </c>
      <c r="H35" s="297">
        <f>SUM(H36:H64)</f>
        <v>573184</v>
      </c>
      <c r="I35" s="297">
        <f>SUM(I36:I64)</f>
        <v>497889</v>
      </c>
      <c r="J35" s="298"/>
      <c r="K35" s="344"/>
      <c r="L35" s="297">
        <f>SUM(L36:L64)</f>
        <v>763.28599999999994</v>
      </c>
      <c r="M35" s="297">
        <f>SUM(M36:M64)</f>
        <v>732.31200000000001</v>
      </c>
      <c r="N35" s="298"/>
      <c r="O35" s="300"/>
      <c r="P35" s="301"/>
      <c r="Q35" s="302"/>
      <c r="R35" s="297">
        <f>SUM(R36:R64)</f>
        <v>94108</v>
      </c>
      <c r="S35" s="297">
        <f>SUM(S36:S64)</f>
        <v>100911</v>
      </c>
      <c r="T35" s="298"/>
      <c r="U35" s="297"/>
      <c r="V35" s="297">
        <f>SUM(V36:V64)</f>
        <v>8674</v>
      </c>
      <c r="W35" s="297">
        <f>SUM(W36:W64)</f>
        <v>8516</v>
      </c>
      <c r="X35" s="301"/>
      <c r="Y35" s="298"/>
      <c r="Z35" s="303">
        <f>M35*1000+S35*energiindhold_naturgas/3.6+W35*energiindhold_olie/3.6</f>
        <v>1930059.5277777778</v>
      </c>
      <c r="AA35" s="303">
        <f>H35/G35</f>
        <v>32.714114491182009</v>
      </c>
      <c r="AB35" s="303">
        <f>Z35/G35</f>
        <v>110.15692755994394</v>
      </c>
      <c r="AC35" s="304"/>
      <c r="AD35" s="304"/>
      <c r="AE35" s="295">
        <f>(Bygninger!I35*CO2_el)/1000</f>
        <v>218.07538200000002</v>
      </c>
      <c r="AF35" s="295">
        <f>SUM(AF36:AF64)</f>
        <v>44.343849199999994</v>
      </c>
      <c r="AG35" s="295">
        <f>(Bygninger!S35*CO2_naturgas)/1000</f>
        <v>226.54519500000001</v>
      </c>
      <c r="AH35" s="295">
        <f>(Bygninger!W35*CO2_olie)/1000</f>
        <v>22.567399999999999</v>
      </c>
      <c r="AI35" s="295">
        <f>SUM(AF35:AH35)</f>
        <v>293.45644420000002</v>
      </c>
      <c r="AJ35" s="295">
        <f>AE35+AI35</f>
        <v>511.53182620000007</v>
      </c>
    </row>
    <row r="36" spans="1:36">
      <c r="A36" s="306" t="s">
        <v>581</v>
      </c>
      <c r="B36" s="306" t="s">
        <v>51</v>
      </c>
      <c r="C36" s="340">
        <v>11</v>
      </c>
      <c r="D36" s="308">
        <v>5610</v>
      </c>
      <c r="E36" s="306" t="s">
        <v>12</v>
      </c>
      <c r="F36" s="328" t="s">
        <v>103</v>
      </c>
      <c r="G36" s="321">
        <v>253</v>
      </c>
      <c r="H36" s="312"/>
      <c r="I36" s="312"/>
      <c r="J36" s="311"/>
      <c r="K36" s="329" t="s">
        <v>463</v>
      </c>
      <c r="L36" s="313"/>
      <c r="M36" s="313"/>
      <c r="N36" s="311"/>
      <c r="O36" s="314" t="s">
        <v>479</v>
      </c>
      <c r="P36" s="335"/>
      <c r="Q36" s="316"/>
      <c r="R36" s="321"/>
      <c r="S36" s="313"/>
      <c r="T36" s="311"/>
      <c r="U36" s="312"/>
      <c r="V36" s="321"/>
      <c r="W36" s="321"/>
      <c r="X36" s="335"/>
      <c r="Y36" s="311"/>
      <c r="Z36" s="331"/>
      <c r="AA36" s="321"/>
      <c r="AB36" s="321"/>
      <c r="AC36" s="322" t="s">
        <v>202</v>
      </c>
      <c r="AD36" s="322" t="s">
        <v>156</v>
      </c>
      <c r="AE36" s="323"/>
      <c r="AF36" s="323">
        <f>(Bygninger!M36*Q36*1000)/1000</f>
        <v>0</v>
      </c>
      <c r="AG36" s="323"/>
      <c r="AH36" s="323"/>
      <c r="AI36" s="323"/>
      <c r="AJ36" s="323"/>
    </row>
    <row r="37" spans="1:36">
      <c r="A37" s="325" t="s">
        <v>499</v>
      </c>
      <c r="B37" s="325" t="s">
        <v>82</v>
      </c>
      <c r="C37" s="340">
        <v>47</v>
      </c>
      <c r="D37" s="327">
        <v>5610</v>
      </c>
      <c r="E37" s="325" t="s">
        <v>12</v>
      </c>
      <c r="F37" s="326">
        <v>238</v>
      </c>
      <c r="G37" s="336">
        <v>228</v>
      </c>
      <c r="H37" s="312">
        <v>793</v>
      </c>
      <c r="I37" s="321">
        <v>748</v>
      </c>
      <c r="J37" s="311">
        <f>(I37-H37)/H37</f>
        <v>-5.6746532156368219E-2</v>
      </c>
      <c r="K37" s="329" t="s">
        <v>459</v>
      </c>
      <c r="L37" s="313"/>
      <c r="M37" s="313"/>
      <c r="N37" s="311"/>
      <c r="O37" s="314"/>
      <c r="P37" s="335"/>
      <c r="Q37" s="316"/>
      <c r="R37" s="321"/>
      <c r="S37" s="321"/>
      <c r="T37" s="311"/>
      <c r="U37" s="312"/>
      <c r="V37" s="321">
        <v>3043</v>
      </c>
      <c r="W37" s="321">
        <v>1915</v>
      </c>
      <c r="X37" s="335"/>
      <c r="Y37" s="311">
        <f>(W37-V37)/V37</f>
        <v>-0.3706868222149195</v>
      </c>
      <c r="Z37" s="331"/>
      <c r="AA37" s="321"/>
      <c r="AB37" s="321"/>
      <c r="AC37" s="322">
        <v>1940</v>
      </c>
      <c r="AD37" s="322" t="s">
        <v>156</v>
      </c>
      <c r="AE37" s="323"/>
      <c r="AF37" s="323">
        <f>(Bygninger!M37*Q37*1000)/1000</f>
        <v>0</v>
      </c>
      <c r="AG37" s="323"/>
      <c r="AH37" s="323"/>
      <c r="AI37" s="323"/>
      <c r="AJ37" s="323"/>
    </row>
    <row r="38" spans="1:36">
      <c r="A38" s="325" t="s">
        <v>110</v>
      </c>
      <c r="B38" s="325" t="s">
        <v>49</v>
      </c>
      <c r="C38" s="326">
        <v>76</v>
      </c>
      <c r="D38" s="327">
        <v>5610</v>
      </c>
      <c r="E38" s="325" t="s">
        <v>12</v>
      </c>
      <c r="F38" s="326">
        <v>4844</v>
      </c>
      <c r="G38" s="336">
        <v>867</v>
      </c>
      <c r="H38" s="312">
        <v>20438</v>
      </c>
      <c r="I38" s="321">
        <v>17013</v>
      </c>
      <c r="J38" s="311">
        <f t="shared" si="2"/>
        <v>-0.16757999804286133</v>
      </c>
      <c r="K38" s="329" t="s">
        <v>459</v>
      </c>
      <c r="L38" s="313">
        <v>46.08</v>
      </c>
      <c r="M38" s="313">
        <v>44.579000000000001</v>
      </c>
      <c r="N38" s="311">
        <f>(M38-L38)/L38</f>
        <v>-3.2573784722222172E-2</v>
      </c>
      <c r="O38" s="314" t="s">
        <v>468</v>
      </c>
      <c r="P38" s="315" t="s">
        <v>380</v>
      </c>
      <c r="Q38" s="316">
        <f>Forudsætninger!B18</f>
        <v>0</v>
      </c>
      <c r="R38" s="321"/>
      <c r="S38" s="321"/>
      <c r="T38" s="311"/>
      <c r="U38" s="312"/>
      <c r="V38" s="321"/>
      <c r="W38" s="321"/>
      <c r="X38" s="335"/>
      <c r="Y38" s="311"/>
      <c r="Z38" s="331"/>
      <c r="AA38" s="321"/>
      <c r="AB38" s="321"/>
      <c r="AC38" s="322" t="s">
        <v>196</v>
      </c>
      <c r="AD38" s="322" t="s">
        <v>156</v>
      </c>
      <c r="AE38" s="323"/>
      <c r="AF38" s="323">
        <f>(Bygninger!M38*Q38*1000)/1000</f>
        <v>0</v>
      </c>
      <c r="AG38" s="323"/>
      <c r="AH38" s="323"/>
      <c r="AI38" s="323"/>
      <c r="AJ38" s="323"/>
    </row>
    <row r="39" spans="1:36">
      <c r="A39" s="306" t="s">
        <v>132</v>
      </c>
      <c r="B39" s="306" t="s">
        <v>52</v>
      </c>
      <c r="C39" s="328">
        <v>93</v>
      </c>
      <c r="D39" s="308">
        <v>5610</v>
      </c>
      <c r="E39" s="306" t="s">
        <v>12</v>
      </c>
      <c r="F39" s="328">
        <v>4944</v>
      </c>
      <c r="G39" s="321">
        <v>978</v>
      </c>
      <c r="H39" s="312">
        <v>24170</v>
      </c>
      <c r="I39" s="321">
        <v>25600</v>
      </c>
      <c r="J39" s="311">
        <f t="shared" si="2"/>
        <v>5.9164253206454284E-2</v>
      </c>
      <c r="K39" s="329" t="s">
        <v>459</v>
      </c>
      <c r="L39" s="313">
        <f>58.731+52.473</f>
        <v>111.20400000000001</v>
      </c>
      <c r="M39" s="313">
        <v>99.95</v>
      </c>
      <c r="N39" s="311">
        <f>(M39-L39)/L39</f>
        <v>-0.10120139563325065</v>
      </c>
      <c r="O39" s="314" t="s">
        <v>598</v>
      </c>
      <c r="P39" s="315" t="s">
        <v>380</v>
      </c>
      <c r="Q39" s="316">
        <f>Forudsætninger!B18</f>
        <v>0</v>
      </c>
      <c r="R39" s="321"/>
      <c r="S39" s="321"/>
      <c r="T39" s="311"/>
      <c r="U39" s="312"/>
      <c r="V39" s="321"/>
      <c r="W39" s="321"/>
      <c r="X39" s="335"/>
      <c r="Y39" s="311"/>
      <c r="Z39" s="331"/>
      <c r="AA39" s="321"/>
      <c r="AB39" s="321"/>
      <c r="AC39" s="322" t="s">
        <v>199</v>
      </c>
      <c r="AD39" s="322" t="s">
        <v>200</v>
      </c>
      <c r="AE39" s="323"/>
      <c r="AF39" s="323">
        <f>(Bygninger!M39*Q39*1000)/1000</f>
        <v>0</v>
      </c>
      <c r="AG39" s="323"/>
      <c r="AH39" s="323"/>
      <c r="AI39" s="323"/>
      <c r="AJ39" s="323"/>
    </row>
    <row r="40" spans="1:36">
      <c r="A40" s="306" t="s">
        <v>111</v>
      </c>
      <c r="B40" s="306" t="s">
        <v>53</v>
      </c>
      <c r="C40" s="328">
        <v>12</v>
      </c>
      <c r="D40" s="308">
        <v>5610</v>
      </c>
      <c r="E40" s="306" t="s">
        <v>12</v>
      </c>
      <c r="F40" s="328">
        <v>3968</v>
      </c>
      <c r="G40" s="321">
        <v>514</v>
      </c>
      <c r="H40" s="312">
        <v>9561</v>
      </c>
      <c r="I40" s="321">
        <v>9351</v>
      </c>
      <c r="J40" s="311">
        <f t="shared" si="2"/>
        <v>-2.1964229683087543E-2</v>
      </c>
      <c r="K40" s="329" t="s">
        <v>459</v>
      </c>
      <c r="L40" s="313">
        <v>58.32</v>
      </c>
      <c r="M40" s="313">
        <v>57.941000000000003</v>
      </c>
      <c r="N40" s="311">
        <f>(M40-L40)/L40</f>
        <v>-6.4986282578874789E-3</v>
      </c>
      <c r="O40" s="314" t="s">
        <v>468</v>
      </c>
      <c r="P40" s="315" t="s">
        <v>380</v>
      </c>
      <c r="Q40" s="316">
        <f>Forudsætninger!B18</f>
        <v>0</v>
      </c>
      <c r="R40" s="321"/>
      <c r="S40" s="321"/>
      <c r="T40" s="311"/>
      <c r="U40" s="312"/>
      <c r="V40" s="321"/>
      <c r="W40" s="321"/>
      <c r="X40" s="335"/>
      <c r="Y40" s="311"/>
      <c r="Z40" s="331"/>
      <c r="AA40" s="321"/>
      <c r="AB40" s="321"/>
      <c r="AC40" s="322" t="s">
        <v>201</v>
      </c>
      <c r="AD40" s="322" t="s">
        <v>156</v>
      </c>
      <c r="AE40" s="323"/>
      <c r="AF40" s="323">
        <f>(Bygninger!M40*Q40*1000)/1000</f>
        <v>0</v>
      </c>
      <c r="AG40" s="323"/>
      <c r="AH40" s="323"/>
      <c r="AI40" s="323"/>
      <c r="AJ40" s="323"/>
    </row>
    <row r="41" spans="1:36">
      <c r="A41" s="432" t="s">
        <v>633</v>
      </c>
      <c r="B41" s="306" t="s">
        <v>16</v>
      </c>
      <c r="C41" s="328">
        <v>5</v>
      </c>
      <c r="D41" s="308">
        <v>5631</v>
      </c>
      <c r="E41" s="306" t="s">
        <v>87</v>
      </c>
      <c r="F41" s="328">
        <v>4119</v>
      </c>
      <c r="G41" s="321">
        <v>146</v>
      </c>
      <c r="H41" s="312">
        <v>937</v>
      </c>
      <c r="I41" s="321">
        <v>820</v>
      </c>
      <c r="J41" s="311">
        <f t="shared" si="2"/>
        <v>-0.1248665955176094</v>
      </c>
      <c r="K41" s="329" t="s">
        <v>459</v>
      </c>
      <c r="L41" s="313"/>
      <c r="M41" s="313"/>
      <c r="N41" s="311"/>
      <c r="O41" s="314"/>
      <c r="P41" s="335"/>
      <c r="Q41" s="316"/>
      <c r="R41" s="321">
        <v>674</v>
      </c>
      <c r="S41" s="321">
        <v>1772</v>
      </c>
      <c r="T41" s="311">
        <f>(S41-R41)/R41</f>
        <v>1.629080118694362</v>
      </c>
      <c r="U41" s="330" t="s">
        <v>634</v>
      </c>
      <c r="V41" s="321"/>
      <c r="W41" s="321"/>
      <c r="X41" s="335"/>
      <c r="Y41" s="311"/>
      <c r="Z41" s="331"/>
      <c r="AA41" s="321"/>
      <c r="AB41" s="321"/>
      <c r="AC41" s="322">
        <v>1966</v>
      </c>
      <c r="AD41" s="322" t="s">
        <v>156</v>
      </c>
      <c r="AE41" s="323"/>
      <c r="AF41" s="323">
        <f>(Bygninger!M41*Q41*1000)/1000</f>
        <v>0</v>
      </c>
      <c r="AG41" s="323"/>
      <c r="AH41" s="323"/>
      <c r="AI41" s="323"/>
      <c r="AJ41" s="323"/>
    </row>
    <row r="42" spans="1:36">
      <c r="A42" s="306" t="s">
        <v>582</v>
      </c>
      <c r="B42" s="306" t="s">
        <v>16</v>
      </c>
      <c r="C42" s="328">
        <v>6</v>
      </c>
      <c r="D42" s="308">
        <v>5631</v>
      </c>
      <c r="E42" s="306" t="s">
        <v>87</v>
      </c>
      <c r="F42" s="328">
        <v>4841</v>
      </c>
      <c r="G42" s="321">
        <v>378</v>
      </c>
      <c r="H42" s="312">
        <f>10480+9457</f>
        <v>19937</v>
      </c>
      <c r="I42" s="321">
        <f>9840+7525</f>
        <v>17365</v>
      </c>
      <c r="J42" s="311">
        <f t="shared" si="2"/>
        <v>-0.12900637006570698</v>
      </c>
      <c r="K42" s="329" t="s">
        <v>617</v>
      </c>
      <c r="L42" s="313"/>
      <c r="M42" s="313">
        <v>33.909999999999997</v>
      </c>
      <c r="N42" s="311"/>
      <c r="O42" s="314"/>
      <c r="P42" s="335"/>
      <c r="Q42" s="316"/>
      <c r="R42" s="321">
        <v>1509</v>
      </c>
      <c r="S42" s="321">
        <v>0</v>
      </c>
      <c r="T42" s="311">
        <f>(S42-R42)/R42</f>
        <v>-1</v>
      </c>
      <c r="U42" s="330" t="s">
        <v>634</v>
      </c>
      <c r="V42" s="321"/>
      <c r="W42" s="321"/>
      <c r="X42" s="335"/>
      <c r="Y42" s="311"/>
      <c r="Z42" s="331"/>
      <c r="AA42" s="321"/>
      <c r="AB42" s="321"/>
      <c r="AC42" s="322" t="s">
        <v>204</v>
      </c>
      <c r="AD42" s="322" t="s">
        <v>156</v>
      </c>
      <c r="AE42" s="323"/>
      <c r="AF42" s="323">
        <f>(Bygninger!M42*Q42*1000)/1000</f>
        <v>0</v>
      </c>
      <c r="AG42" s="323"/>
      <c r="AH42" s="323"/>
      <c r="AI42" s="323"/>
      <c r="AJ42" s="323"/>
    </row>
    <row r="43" spans="1:36">
      <c r="A43" s="306" t="s">
        <v>121</v>
      </c>
      <c r="B43" s="306" t="s">
        <v>20</v>
      </c>
      <c r="C43" s="328">
        <v>2</v>
      </c>
      <c r="D43" s="308">
        <v>5620</v>
      </c>
      <c r="E43" s="306" t="s">
        <v>13</v>
      </c>
      <c r="F43" s="328">
        <v>8049</v>
      </c>
      <c r="G43" s="321">
        <v>774</v>
      </c>
      <c r="H43" s="312">
        <f>17646+11106</f>
        <v>28752</v>
      </c>
      <c r="I43" s="321">
        <v>31681</v>
      </c>
      <c r="J43" s="311">
        <f t="shared" si="2"/>
        <v>0.10187117417918753</v>
      </c>
      <c r="K43" s="329" t="s">
        <v>459</v>
      </c>
      <c r="L43" s="313">
        <v>37.5</v>
      </c>
      <c r="M43" s="313">
        <v>35.299999999999997</v>
      </c>
      <c r="N43" s="311">
        <f>(M43-L43)/L43</f>
        <v>-5.8666666666666742E-2</v>
      </c>
      <c r="O43" s="314" t="s">
        <v>601</v>
      </c>
      <c r="P43" s="315" t="s">
        <v>382</v>
      </c>
      <c r="Q43" s="316">
        <f>Forudsætninger!B19</f>
        <v>0.1021</v>
      </c>
      <c r="R43" s="321"/>
      <c r="S43" s="321"/>
      <c r="T43" s="311"/>
      <c r="U43" s="312"/>
      <c r="V43" s="321"/>
      <c r="W43" s="321"/>
      <c r="X43" s="335"/>
      <c r="Y43" s="311"/>
      <c r="Z43" s="331"/>
      <c r="AA43" s="321"/>
      <c r="AB43" s="321"/>
      <c r="AC43" s="322" t="s">
        <v>205</v>
      </c>
      <c r="AD43" s="322" t="s">
        <v>206</v>
      </c>
      <c r="AE43" s="323"/>
      <c r="AF43" s="323">
        <f>(Bygninger!M43*Q43*1000)/1000</f>
        <v>3.6041299999999996</v>
      </c>
      <c r="AG43" s="323"/>
      <c r="AH43" s="323"/>
      <c r="AI43" s="323"/>
      <c r="AJ43" s="323"/>
    </row>
    <row r="44" spans="1:36">
      <c r="A44" s="306" t="s">
        <v>638</v>
      </c>
      <c r="B44" s="306" t="s">
        <v>20</v>
      </c>
      <c r="C44" s="328">
        <v>4</v>
      </c>
      <c r="D44" s="308">
        <v>5620</v>
      </c>
      <c r="E44" s="306" t="s">
        <v>13</v>
      </c>
      <c r="F44" s="328" t="s">
        <v>207</v>
      </c>
      <c r="G44" s="321">
        <v>156</v>
      </c>
      <c r="H44" s="312">
        <v>3420</v>
      </c>
      <c r="I44" s="321">
        <v>8306</v>
      </c>
      <c r="J44" s="311">
        <f t="shared" si="2"/>
        <v>1.4286549707602338</v>
      </c>
      <c r="K44" s="329" t="s">
        <v>459</v>
      </c>
      <c r="L44" s="313"/>
      <c r="M44" s="313"/>
      <c r="N44" s="311"/>
      <c r="O44" s="314"/>
      <c r="P44" s="335" t="s">
        <v>382</v>
      </c>
      <c r="Q44" s="316"/>
      <c r="R44" s="321"/>
      <c r="S44" s="321"/>
      <c r="T44" s="311"/>
      <c r="U44" s="312"/>
      <c r="V44" s="321"/>
      <c r="W44" s="321"/>
      <c r="X44" s="335"/>
      <c r="Y44" s="311"/>
      <c r="Z44" s="331"/>
      <c r="AA44" s="321"/>
      <c r="AB44" s="321"/>
      <c r="AC44" s="322" t="s">
        <v>177</v>
      </c>
      <c r="AD44" s="322" t="s">
        <v>156</v>
      </c>
      <c r="AE44" s="323"/>
      <c r="AF44" s="323">
        <f>(Bygninger!M44*Q44*1000)/1000</f>
        <v>0</v>
      </c>
      <c r="AG44" s="323"/>
      <c r="AH44" s="323"/>
      <c r="AI44" s="323"/>
      <c r="AJ44" s="323"/>
    </row>
    <row r="45" spans="1:36">
      <c r="A45" s="325" t="s">
        <v>41</v>
      </c>
      <c r="B45" s="325" t="s">
        <v>42</v>
      </c>
      <c r="C45" s="326">
        <v>12</v>
      </c>
      <c r="D45" s="327">
        <v>5683</v>
      </c>
      <c r="E45" s="325" t="s">
        <v>10</v>
      </c>
      <c r="F45" s="326">
        <v>10675</v>
      </c>
      <c r="G45" s="332">
        <v>325</v>
      </c>
      <c r="H45" s="312">
        <v>7981</v>
      </c>
      <c r="I45" s="321">
        <v>6561</v>
      </c>
      <c r="J45" s="311">
        <f t="shared" si="2"/>
        <v>-0.17792256609447438</v>
      </c>
      <c r="K45" s="329" t="s">
        <v>464</v>
      </c>
      <c r="L45" s="313"/>
      <c r="M45" s="313"/>
      <c r="N45" s="311"/>
      <c r="O45" s="314"/>
      <c r="P45" s="335"/>
      <c r="Q45" s="316"/>
      <c r="R45" s="321">
        <v>2292</v>
      </c>
      <c r="S45" s="321">
        <v>3034</v>
      </c>
      <c r="T45" s="311">
        <f>(S45-R45)/R45</f>
        <v>0.32373472949389182</v>
      </c>
      <c r="U45" s="330" t="s">
        <v>634</v>
      </c>
      <c r="V45" s="321"/>
      <c r="W45" s="321"/>
      <c r="X45" s="335"/>
      <c r="Y45" s="311"/>
      <c r="Z45" s="331"/>
      <c r="AA45" s="321"/>
      <c r="AB45" s="321"/>
      <c r="AC45" s="322" t="s">
        <v>208</v>
      </c>
      <c r="AD45" s="322" t="s">
        <v>156</v>
      </c>
      <c r="AE45" s="323"/>
      <c r="AF45" s="323">
        <f>(Bygninger!M45*Q45*1000)/1000</f>
        <v>0</v>
      </c>
      <c r="AG45" s="323"/>
      <c r="AH45" s="323"/>
      <c r="AI45" s="323"/>
      <c r="AJ45" s="323"/>
    </row>
    <row r="46" spans="1:36" s="353" customFormat="1">
      <c r="A46" s="345" t="s">
        <v>637</v>
      </c>
      <c r="B46" s="345" t="s">
        <v>39</v>
      </c>
      <c r="C46" s="346">
        <v>6</v>
      </c>
      <c r="D46" s="347">
        <v>5683</v>
      </c>
      <c r="E46" s="345" t="s">
        <v>10</v>
      </c>
      <c r="F46" s="346">
        <v>10526</v>
      </c>
      <c r="G46" s="348">
        <v>236</v>
      </c>
      <c r="H46" s="333">
        <v>9342</v>
      </c>
      <c r="I46" s="321">
        <v>7525</v>
      </c>
      <c r="J46" s="311">
        <f t="shared" si="2"/>
        <v>-0.19449796617426676</v>
      </c>
      <c r="K46" s="349" t="s">
        <v>459</v>
      </c>
      <c r="L46" s="350">
        <v>72.573999999999998</v>
      </c>
      <c r="M46" s="350">
        <f>27.096+40.233</f>
        <v>67.328999999999994</v>
      </c>
      <c r="N46" s="311">
        <f>(M46-L46)/L46</f>
        <v>-7.2271061261608899E-2</v>
      </c>
      <c r="O46" s="351" t="s">
        <v>603</v>
      </c>
      <c r="P46" s="315" t="s">
        <v>383</v>
      </c>
      <c r="Q46" s="352">
        <f>Forudsætninger!B20</f>
        <v>0.14299999999999999</v>
      </c>
      <c r="R46" s="310"/>
      <c r="S46" s="310"/>
      <c r="T46" s="311"/>
      <c r="U46" s="333"/>
      <c r="V46" s="310"/>
      <c r="W46" s="310"/>
      <c r="X46" s="412"/>
      <c r="Y46" s="311"/>
      <c r="Z46" s="331"/>
      <c r="AA46" s="321"/>
      <c r="AB46" s="321"/>
      <c r="AC46" s="322" t="s">
        <v>209</v>
      </c>
      <c r="AD46" s="322" t="s">
        <v>156</v>
      </c>
      <c r="AE46" s="323"/>
      <c r="AF46" s="323">
        <f>(Bygninger!M46*Q46*1000)/1000</f>
        <v>9.6280469999999987</v>
      </c>
      <c r="AG46" s="323"/>
      <c r="AH46" s="323"/>
      <c r="AI46" s="323"/>
      <c r="AJ46" s="323"/>
    </row>
    <row r="47" spans="1:36">
      <c r="A47" s="325" t="s">
        <v>122</v>
      </c>
      <c r="B47" s="325" t="s">
        <v>40</v>
      </c>
      <c r="C47" s="326">
        <v>2</v>
      </c>
      <c r="D47" s="327">
        <v>5683</v>
      </c>
      <c r="E47" s="325" t="s">
        <v>10</v>
      </c>
      <c r="F47" s="326">
        <v>9289</v>
      </c>
      <c r="G47" s="332">
        <v>516</v>
      </c>
      <c r="H47" s="312">
        <v>20951</v>
      </c>
      <c r="I47" s="321">
        <v>21445</v>
      </c>
      <c r="J47" s="311">
        <f t="shared" si="2"/>
        <v>2.3578826786310916E-2</v>
      </c>
      <c r="K47" s="329" t="s">
        <v>459</v>
      </c>
      <c r="L47" s="313">
        <v>86.64</v>
      </c>
      <c r="M47" s="313">
        <v>60.77</v>
      </c>
      <c r="N47" s="311">
        <f>(M47-L47)/L47</f>
        <v>-0.29859187442289931</v>
      </c>
      <c r="O47" s="314" t="s">
        <v>603</v>
      </c>
      <c r="P47" s="315" t="s">
        <v>383</v>
      </c>
      <c r="Q47" s="316">
        <f>Forudsætninger!B20</f>
        <v>0.14299999999999999</v>
      </c>
      <c r="R47" s="321"/>
      <c r="S47" s="321"/>
      <c r="T47" s="311"/>
      <c r="U47" s="312"/>
      <c r="V47" s="321"/>
      <c r="W47" s="321"/>
      <c r="X47" s="335"/>
      <c r="Y47" s="311"/>
      <c r="Z47" s="331"/>
      <c r="AA47" s="321"/>
      <c r="AB47" s="321"/>
      <c r="AC47" s="322" t="s">
        <v>210</v>
      </c>
      <c r="AD47" s="322" t="s">
        <v>156</v>
      </c>
      <c r="AE47" s="323"/>
      <c r="AF47" s="323">
        <f>(Bygninger!M47*Q47*1000)/1000</f>
        <v>8.6901099999999989</v>
      </c>
      <c r="AG47" s="323"/>
      <c r="AH47" s="323"/>
      <c r="AI47" s="323"/>
      <c r="AJ47" s="323"/>
    </row>
    <row r="48" spans="1:36">
      <c r="A48" s="325" t="s">
        <v>45</v>
      </c>
      <c r="B48" s="325" t="s">
        <v>46</v>
      </c>
      <c r="C48" s="326" t="s">
        <v>95</v>
      </c>
      <c r="D48" s="327">
        <v>5690</v>
      </c>
      <c r="E48" s="325" t="s">
        <v>7</v>
      </c>
      <c r="F48" s="326">
        <v>13938</v>
      </c>
      <c r="G48" s="332">
        <v>534</v>
      </c>
      <c r="H48" s="312">
        <v>17100</v>
      </c>
      <c r="I48" s="321">
        <v>12450</v>
      </c>
      <c r="J48" s="311">
        <f t="shared" si="2"/>
        <v>-0.27192982456140352</v>
      </c>
      <c r="K48" s="329" t="s">
        <v>459</v>
      </c>
      <c r="L48" s="313"/>
      <c r="M48" s="313"/>
      <c r="N48" s="311"/>
      <c r="O48" s="314"/>
      <c r="P48" s="335"/>
      <c r="Q48" s="316"/>
      <c r="R48" s="321">
        <v>4769</v>
      </c>
      <c r="S48" s="321">
        <v>4436</v>
      </c>
      <c r="T48" s="311">
        <f>(S48-R48)/R48</f>
        <v>-6.9825959320612294E-2</v>
      </c>
      <c r="U48" s="330" t="s">
        <v>634</v>
      </c>
      <c r="V48" s="321"/>
      <c r="W48" s="321"/>
      <c r="X48" s="335"/>
      <c r="Y48" s="311"/>
      <c r="Z48" s="331"/>
      <c r="AA48" s="321"/>
      <c r="AB48" s="321"/>
      <c r="AC48" s="322" t="s">
        <v>216</v>
      </c>
      <c r="AD48" s="322" t="s">
        <v>181</v>
      </c>
      <c r="AE48" s="323"/>
      <c r="AF48" s="323">
        <f>(Bygninger!M48*Q48*1000)/1000</f>
        <v>0</v>
      </c>
      <c r="AG48" s="323"/>
      <c r="AH48" s="323"/>
      <c r="AI48" s="323"/>
      <c r="AJ48" s="323"/>
    </row>
    <row r="49" spans="1:36">
      <c r="A49" s="306" t="s">
        <v>112</v>
      </c>
      <c r="B49" s="325" t="s">
        <v>43</v>
      </c>
      <c r="C49" s="326" t="s">
        <v>154</v>
      </c>
      <c r="D49" s="327">
        <v>5690</v>
      </c>
      <c r="E49" s="325" t="s">
        <v>7</v>
      </c>
      <c r="F49" s="326" t="s">
        <v>152</v>
      </c>
      <c r="G49" s="332">
        <v>781</v>
      </c>
      <c r="H49" s="312">
        <v>12317</v>
      </c>
      <c r="I49" s="321">
        <v>12450</v>
      </c>
      <c r="J49" s="311">
        <f t="shared" si="2"/>
        <v>1.0798083949013559E-2</v>
      </c>
      <c r="K49" s="329" t="s">
        <v>459</v>
      </c>
      <c r="L49" s="313"/>
      <c r="M49" s="313"/>
      <c r="N49" s="311"/>
      <c r="O49" s="314"/>
      <c r="P49" s="335"/>
      <c r="Q49" s="316"/>
      <c r="R49" s="321">
        <v>4613</v>
      </c>
      <c r="S49" s="321">
        <v>4613</v>
      </c>
      <c r="T49" s="311">
        <f>(S49-R49)/R49</f>
        <v>0</v>
      </c>
      <c r="U49" s="330"/>
      <c r="V49" s="321"/>
      <c r="W49" s="321"/>
      <c r="X49" s="335"/>
      <c r="Y49" s="311"/>
      <c r="Z49" s="331"/>
      <c r="AA49" s="321"/>
      <c r="AB49" s="321"/>
      <c r="AC49" s="322" t="s">
        <v>211</v>
      </c>
      <c r="AD49" s="322" t="s">
        <v>212</v>
      </c>
      <c r="AE49" s="323"/>
      <c r="AF49" s="323">
        <f>(Bygninger!M49*Q49*1000)/1000</f>
        <v>0</v>
      </c>
      <c r="AG49" s="323"/>
      <c r="AH49" s="323"/>
      <c r="AI49" s="323"/>
      <c r="AJ49" s="323"/>
    </row>
    <row r="50" spans="1:36">
      <c r="A50" s="325" t="s">
        <v>500</v>
      </c>
      <c r="B50" s="325" t="s">
        <v>43</v>
      </c>
      <c r="C50" s="326">
        <v>3</v>
      </c>
      <c r="D50" s="327">
        <v>5690</v>
      </c>
      <c r="E50" s="325" t="s">
        <v>7</v>
      </c>
      <c r="F50" s="326" t="s">
        <v>104</v>
      </c>
      <c r="G50" s="332">
        <v>262</v>
      </c>
      <c r="H50" s="312">
        <v>3611</v>
      </c>
      <c r="I50" s="321">
        <v>3704</v>
      </c>
      <c r="J50" s="311">
        <f t="shared" si="2"/>
        <v>2.5754638604264746E-2</v>
      </c>
      <c r="K50" s="329" t="s">
        <v>459</v>
      </c>
      <c r="L50" s="313"/>
      <c r="M50" s="313"/>
      <c r="N50" s="311"/>
      <c r="O50" s="314"/>
      <c r="P50" s="335"/>
      <c r="Q50" s="316"/>
      <c r="R50" s="321">
        <v>4730</v>
      </c>
      <c r="S50" s="321">
        <v>5837</v>
      </c>
      <c r="T50" s="311">
        <f>(S50-R50)/R50</f>
        <v>0.23403805496828753</v>
      </c>
      <c r="U50" s="330" t="s">
        <v>634</v>
      </c>
      <c r="V50" s="321"/>
      <c r="W50" s="321"/>
      <c r="X50" s="335"/>
      <c r="Y50" s="311"/>
      <c r="Z50" s="331"/>
      <c r="AA50" s="321"/>
      <c r="AB50" s="321"/>
      <c r="AC50" s="322" t="s">
        <v>219</v>
      </c>
      <c r="AD50" s="322" t="s">
        <v>204</v>
      </c>
      <c r="AE50" s="323"/>
      <c r="AF50" s="323">
        <f>(Bygninger!M50*Q50*1000)/1000</f>
        <v>0</v>
      </c>
      <c r="AG50" s="323"/>
      <c r="AH50" s="323"/>
      <c r="AI50" s="323"/>
      <c r="AJ50" s="323"/>
    </row>
    <row r="51" spans="1:36">
      <c r="A51" s="325" t="s">
        <v>124</v>
      </c>
      <c r="B51" s="325" t="s">
        <v>16</v>
      </c>
      <c r="C51" s="326">
        <v>44</v>
      </c>
      <c r="D51" s="327">
        <v>5690</v>
      </c>
      <c r="E51" s="325" t="s">
        <v>7</v>
      </c>
      <c r="F51" s="326">
        <v>12580</v>
      </c>
      <c r="G51" s="332">
        <v>412</v>
      </c>
      <c r="H51" s="312">
        <v>12224</v>
      </c>
      <c r="I51" s="321">
        <v>11028</v>
      </c>
      <c r="J51" s="311">
        <f t="shared" si="2"/>
        <v>-9.784031413612565E-2</v>
      </c>
      <c r="K51" s="329" t="s">
        <v>459</v>
      </c>
      <c r="L51" s="313">
        <v>70.156999999999996</v>
      </c>
      <c r="M51" s="337">
        <v>66.081999999999994</v>
      </c>
      <c r="N51" s="311">
        <f>(M51-L51)/L51</f>
        <v>-5.8084011574041125E-2</v>
      </c>
      <c r="O51" s="314" t="s">
        <v>604</v>
      </c>
      <c r="P51" s="315" t="s">
        <v>410</v>
      </c>
      <c r="Q51" s="316">
        <f>Forudsætninger!B21</f>
        <v>1.0200000000000001E-2</v>
      </c>
      <c r="R51" s="321"/>
      <c r="S51" s="321"/>
      <c r="T51" s="311"/>
      <c r="U51" s="312"/>
      <c r="V51" s="321"/>
      <c r="W51" s="321"/>
      <c r="X51" s="335"/>
      <c r="Y51" s="311"/>
      <c r="Z51" s="331"/>
      <c r="AA51" s="321"/>
      <c r="AB51" s="321"/>
      <c r="AC51" s="322" t="s">
        <v>221</v>
      </c>
      <c r="AD51" s="322" t="s">
        <v>206</v>
      </c>
      <c r="AE51" s="323"/>
      <c r="AF51" s="323">
        <f>(Bygninger!M51*Q51*1000)/1000</f>
        <v>0.67403639999999998</v>
      </c>
      <c r="AG51" s="323"/>
      <c r="AH51" s="323"/>
      <c r="AI51" s="323"/>
      <c r="AJ51" s="323"/>
    </row>
    <row r="52" spans="1:36">
      <c r="A52" s="325" t="s">
        <v>123</v>
      </c>
      <c r="B52" s="325" t="s">
        <v>48</v>
      </c>
      <c r="C52" s="326">
        <v>32</v>
      </c>
      <c r="D52" s="327">
        <v>5690</v>
      </c>
      <c r="E52" s="325" t="s">
        <v>7</v>
      </c>
      <c r="F52" s="326">
        <v>12672</v>
      </c>
      <c r="G52" s="332">
        <v>745</v>
      </c>
      <c r="H52" s="312">
        <f>17338+10795</f>
        <v>28133</v>
      </c>
      <c r="I52" s="321">
        <v>28552</v>
      </c>
      <c r="J52" s="311">
        <f t="shared" si="2"/>
        <v>1.4893541392670529E-2</v>
      </c>
      <c r="K52" s="329" t="s">
        <v>459</v>
      </c>
      <c r="L52" s="313"/>
      <c r="M52" s="313"/>
      <c r="N52" s="311"/>
      <c r="O52" s="314"/>
      <c r="P52" s="335"/>
      <c r="Q52" s="316"/>
      <c r="R52" s="321"/>
      <c r="S52" s="313"/>
      <c r="T52" s="311"/>
      <c r="U52" s="312"/>
      <c r="V52" s="321">
        <v>5631</v>
      </c>
      <c r="W52" s="321">
        <v>6601</v>
      </c>
      <c r="X52" s="335"/>
      <c r="Y52" s="311">
        <f>(W52-V52)/V52</f>
        <v>0.17226069969809982</v>
      </c>
      <c r="Z52" s="331"/>
      <c r="AA52" s="321"/>
      <c r="AB52" s="321"/>
      <c r="AC52" s="322" t="s">
        <v>217</v>
      </c>
      <c r="AD52" s="322" t="s">
        <v>218</v>
      </c>
      <c r="AE52" s="323"/>
      <c r="AF52" s="323">
        <f>(Bygninger!M52*Q52*1000)/1000</f>
        <v>0</v>
      </c>
      <c r="AG52" s="323"/>
      <c r="AH52" s="323"/>
      <c r="AI52" s="323"/>
      <c r="AJ52" s="323"/>
    </row>
    <row r="53" spans="1:36">
      <c r="A53" s="356" t="s">
        <v>501</v>
      </c>
      <c r="B53" s="356" t="s">
        <v>553</v>
      </c>
      <c r="C53" s="357">
        <v>16</v>
      </c>
      <c r="D53" s="358">
        <v>5690</v>
      </c>
      <c r="E53" s="356" t="s">
        <v>7</v>
      </c>
      <c r="F53" s="357">
        <v>412</v>
      </c>
      <c r="G53" s="359">
        <v>412</v>
      </c>
      <c r="H53" s="360">
        <v>8669</v>
      </c>
      <c r="I53" s="360">
        <v>7123</v>
      </c>
      <c r="J53" s="361">
        <f t="shared" si="2"/>
        <v>-0.17833660168416196</v>
      </c>
      <c r="K53" s="362" t="s">
        <v>459</v>
      </c>
      <c r="L53" s="365">
        <v>58</v>
      </c>
      <c r="M53" s="365">
        <v>58</v>
      </c>
      <c r="N53" s="361">
        <f>(M53-L53)/L53</f>
        <v>0</v>
      </c>
      <c r="O53" s="362" t="s">
        <v>611</v>
      </c>
      <c r="P53" s="363" t="s">
        <v>631</v>
      </c>
      <c r="Q53" s="437">
        <f>Forudsætninger!B23</f>
        <v>8.7800000000000003E-2</v>
      </c>
      <c r="R53" s="360"/>
      <c r="S53" s="365"/>
      <c r="T53" s="361" t="e">
        <f>(S53-R53)/R53</f>
        <v>#DIV/0!</v>
      </c>
      <c r="U53" s="359"/>
      <c r="V53" s="360"/>
      <c r="W53" s="360"/>
      <c r="X53" s="388"/>
      <c r="Y53" s="361"/>
      <c r="Z53" s="331"/>
      <c r="AA53" s="321"/>
      <c r="AB53" s="321"/>
      <c r="AC53" s="322"/>
      <c r="AD53" s="322"/>
      <c r="AE53" s="323"/>
      <c r="AF53" s="323">
        <f>(Bygninger!M53*Q53*1000)/1000</f>
        <v>5.0924000000000005</v>
      </c>
      <c r="AG53" s="323"/>
      <c r="AH53" s="323"/>
      <c r="AI53" s="323"/>
      <c r="AJ53" s="323"/>
    </row>
    <row r="54" spans="1:36">
      <c r="A54" s="356" t="s">
        <v>502</v>
      </c>
      <c r="B54" s="356" t="s">
        <v>14</v>
      </c>
      <c r="C54" s="357">
        <v>85</v>
      </c>
      <c r="D54" s="358">
        <v>5690</v>
      </c>
      <c r="E54" s="356" t="s">
        <v>7</v>
      </c>
      <c r="F54" s="357">
        <v>200</v>
      </c>
      <c r="G54" s="359">
        <v>200</v>
      </c>
      <c r="H54" s="360"/>
      <c r="I54" s="360"/>
      <c r="J54" s="361" t="e">
        <f t="shared" si="2"/>
        <v>#DIV/0!</v>
      </c>
      <c r="K54" s="362" t="s">
        <v>611</v>
      </c>
      <c r="L54" s="365">
        <v>44.180999999999997</v>
      </c>
      <c r="M54" s="365">
        <v>44.180999999999997</v>
      </c>
      <c r="N54" s="361">
        <f>(M54-L54)/L54</f>
        <v>0</v>
      </c>
      <c r="O54" s="362" t="s">
        <v>611</v>
      </c>
      <c r="P54" s="363" t="s">
        <v>631</v>
      </c>
      <c r="Q54" s="437">
        <f>Forudsætninger!B23</f>
        <v>8.7800000000000003E-2</v>
      </c>
      <c r="R54" s="360"/>
      <c r="S54" s="365"/>
      <c r="T54" s="361" t="e">
        <f>(S54-R54)/R54</f>
        <v>#DIV/0!</v>
      </c>
      <c r="U54" s="359"/>
      <c r="V54" s="360"/>
      <c r="W54" s="360"/>
      <c r="X54" s="388"/>
      <c r="Y54" s="361"/>
      <c r="Z54" s="331"/>
      <c r="AA54" s="321"/>
      <c r="AB54" s="321"/>
      <c r="AC54" s="322"/>
      <c r="AD54" s="322"/>
      <c r="AE54" s="323"/>
      <c r="AF54" s="323">
        <f>(Bygninger!M54*Q54*1000)/1000</f>
        <v>3.8790917999999999</v>
      </c>
      <c r="AG54" s="323"/>
      <c r="AH54" s="323"/>
      <c r="AI54" s="323"/>
      <c r="AJ54" s="323"/>
    </row>
    <row r="55" spans="1:36" s="353" customFormat="1">
      <c r="A55" s="325" t="s">
        <v>125</v>
      </c>
      <c r="B55" s="345" t="s">
        <v>47</v>
      </c>
      <c r="C55" s="346">
        <v>1</v>
      </c>
      <c r="D55" s="347">
        <v>5690</v>
      </c>
      <c r="E55" s="345" t="s">
        <v>7</v>
      </c>
      <c r="F55" s="326">
        <v>13038</v>
      </c>
      <c r="G55" s="336">
        <v>668</v>
      </c>
      <c r="H55" s="333">
        <v>18697</v>
      </c>
      <c r="I55" s="321">
        <v>12348</v>
      </c>
      <c r="J55" s="311">
        <f t="shared" si="2"/>
        <v>-0.33957319356046423</v>
      </c>
      <c r="K55" s="366" t="s">
        <v>459</v>
      </c>
      <c r="L55" s="367">
        <v>45.79</v>
      </c>
      <c r="M55" s="431">
        <f>L55</f>
        <v>45.79</v>
      </c>
      <c r="N55" s="311">
        <f>(M55-L55)/L55</f>
        <v>0</v>
      </c>
      <c r="O55" s="351" t="s">
        <v>475</v>
      </c>
      <c r="P55" s="315" t="s">
        <v>414</v>
      </c>
      <c r="Q55" s="352">
        <f>Forudsætninger!B23</f>
        <v>8.7800000000000003E-2</v>
      </c>
      <c r="R55" s="333"/>
      <c r="S55" s="414"/>
      <c r="T55" s="311"/>
      <c r="U55" s="333"/>
      <c r="V55" s="333"/>
      <c r="W55" s="333"/>
      <c r="X55" s="412"/>
      <c r="Y55" s="311"/>
      <c r="Z55" s="331"/>
      <c r="AA55" s="321"/>
      <c r="AB55" s="321"/>
      <c r="AC55" s="322" t="s">
        <v>220</v>
      </c>
      <c r="AD55" s="322" t="s">
        <v>177</v>
      </c>
      <c r="AE55" s="323"/>
      <c r="AF55" s="323">
        <f>(Bygninger!M55*Q55*1000)/1000</f>
        <v>4.0203620000000004</v>
      </c>
      <c r="AG55" s="323"/>
      <c r="AH55" s="323"/>
      <c r="AI55" s="323"/>
      <c r="AJ55" s="323"/>
    </row>
    <row r="56" spans="1:36">
      <c r="A56" s="325" t="s">
        <v>44</v>
      </c>
      <c r="B56" s="325" t="s">
        <v>25</v>
      </c>
      <c r="C56" s="326" t="s">
        <v>96</v>
      </c>
      <c r="D56" s="327">
        <v>5690</v>
      </c>
      <c r="E56" s="325" t="s">
        <v>7</v>
      </c>
      <c r="F56" s="326">
        <v>13939</v>
      </c>
      <c r="G56" s="336">
        <v>328</v>
      </c>
      <c r="H56" s="312">
        <v>9702</v>
      </c>
      <c r="I56" s="321">
        <v>9766</v>
      </c>
      <c r="J56" s="311">
        <f t="shared" si="2"/>
        <v>6.5965780251494533E-3</v>
      </c>
      <c r="K56" s="329" t="s">
        <v>459</v>
      </c>
      <c r="L56" s="313"/>
      <c r="M56" s="313"/>
      <c r="N56" s="311"/>
      <c r="O56" s="314"/>
      <c r="P56" s="335"/>
      <c r="Q56" s="316"/>
      <c r="R56" s="321">
        <v>2416</v>
      </c>
      <c r="S56" s="321">
        <v>3055</v>
      </c>
      <c r="T56" s="311">
        <f>(S56-R56)/R56</f>
        <v>0.26448675496688739</v>
      </c>
      <c r="U56" s="330" t="s">
        <v>634</v>
      </c>
      <c r="V56" s="321"/>
      <c r="W56" s="321"/>
      <c r="X56" s="335"/>
      <c r="Y56" s="311"/>
      <c r="Z56" s="331"/>
      <c r="AA56" s="321"/>
      <c r="AB56" s="321"/>
      <c r="AC56" s="322" t="s">
        <v>213</v>
      </c>
      <c r="AD56" s="322" t="s">
        <v>156</v>
      </c>
      <c r="AE56" s="323"/>
      <c r="AF56" s="323">
        <f>(Bygninger!M56*Q56*1000)/1000</f>
        <v>0</v>
      </c>
      <c r="AG56" s="323"/>
      <c r="AH56" s="323"/>
      <c r="AI56" s="323"/>
      <c r="AJ56" s="323"/>
    </row>
    <row r="57" spans="1:36">
      <c r="A57" s="325" t="s">
        <v>126</v>
      </c>
      <c r="B57" s="325" t="s">
        <v>38</v>
      </c>
      <c r="C57" s="326">
        <v>82</v>
      </c>
      <c r="D57" s="327">
        <v>5492</v>
      </c>
      <c r="E57" s="325" t="s">
        <v>9</v>
      </c>
      <c r="F57" s="326">
        <v>14844</v>
      </c>
      <c r="G57" s="336">
        <v>1638</v>
      </c>
      <c r="H57" s="312">
        <f>9013+23941</f>
        <v>32954</v>
      </c>
      <c r="I57" s="321">
        <v>28014</v>
      </c>
      <c r="J57" s="311">
        <f t="shared" si="2"/>
        <v>-0.14990592947745343</v>
      </c>
      <c r="K57" s="329" t="s">
        <v>459</v>
      </c>
      <c r="L57" s="313"/>
      <c r="M57" s="313"/>
      <c r="N57" s="311"/>
      <c r="O57" s="314"/>
      <c r="P57" s="335"/>
      <c r="Q57" s="316"/>
      <c r="R57" s="321">
        <v>16660</v>
      </c>
      <c r="S57" s="321">
        <v>17626</v>
      </c>
      <c r="T57" s="311">
        <f>(S57-R57)/R57</f>
        <v>5.7983193277310927E-2</v>
      </c>
      <c r="U57" s="330" t="s">
        <v>634</v>
      </c>
      <c r="V57" s="321"/>
      <c r="W57" s="321"/>
      <c r="X57" s="335"/>
      <c r="Y57" s="311"/>
      <c r="Z57" s="331"/>
      <c r="AA57" s="321"/>
      <c r="AB57" s="321"/>
      <c r="AC57" s="322" t="s">
        <v>227</v>
      </c>
      <c r="AD57" s="322" t="s">
        <v>228</v>
      </c>
      <c r="AE57" s="323"/>
      <c r="AF57" s="323">
        <f>(Bygninger!M57*Q57*1000)/1000</f>
        <v>0</v>
      </c>
      <c r="AG57" s="323"/>
      <c r="AH57" s="323"/>
      <c r="AI57" s="323"/>
      <c r="AJ57" s="323"/>
    </row>
    <row r="58" spans="1:36">
      <c r="A58" s="325" t="s">
        <v>36</v>
      </c>
      <c r="B58" s="325" t="s">
        <v>33</v>
      </c>
      <c r="C58" s="326">
        <v>82</v>
      </c>
      <c r="D58" s="327">
        <v>5492</v>
      </c>
      <c r="E58" s="325" t="s">
        <v>9</v>
      </c>
      <c r="F58" s="326" t="s">
        <v>226</v>
      </c>
      <c r="G58" s="336">
        <v>838</v>
      </c>
      <c r="H58" s="312">
        <f>9346+10111</f>
        <v>19457</v>
      </c>
      <c r="I58" s="321">
        <v>19135</v>
      </c>
      <c r="J58" s="311">
        <f t="shared" si="2"/>
        <v>-1.6549313871614329E-2</v>
      </c>
      <c r="K58" s="329" t="s">
        <v>459</v>
      </c>
      <c r="L58" s="313"/>
      <c r="M58" s="313"/>
      <c r="N58" s="311"/>
      <c r="O58" s="314"/>
      <c r="P58" s="335"/>
      <c r="Q58" s="316"/>
      <c r="R58" s="321">
        <v>8469</v>
      </c>
      <c r="S58" s="321">
        <v>10327</v>
      </c>
      <c r="T58" s="311">
        <f>(S58-R58)/R58</f>
        <v>0.21938835753926084</v>
      </c>
      <c r="U58" s="330" t="s">
        <v>634</v>
      </c>
      <c r="V58" s="321"/>
      <c r="W58" s="321"/>
      <c r="X58" s="335"/>
      <c r="Y58" s="311"/>
      <c r="Z58" s="331"/>
      <c r="AA58" s="321"/>
      <c r="AB58" s="321"/>
      <c r="AC58" s="322" t="s">
        <v>223</v>
      </c>
      <c r="AD58" s="322" t="s">
        <v>190</v>
      </c>
      <c r="AE58" s="323"/>
      <c r="AF58" s="323">
        <f>(Bygninger!M58*Q58*1000)/1000</f>
        <v>0</v>
      </c>
      <c r="AG58" s="323"/>
      <c r="AH58" s="323"/>
      <c r="AI58" s="323"/>
      <c r="AJ58" s="323"/>
    </row>
    <row r="59" spans="1:36">
      <c r="A59" s="325" t="s">
        <v>127</v>
      </c>
      <c r="B59" s="325" t="s">
        <v>37</v>
      </c>
      <c r="C59" s="326">
        <v>1</v>
      </c>
      <c r="D59" s="327">
        <v>5492</v>
      </c>
      <c r="E59" s="325" t="s">
        <v>9</v>
      </c>
      <c r="F59" s="326">
        <v>15323</v>
      </c>
      <c r="G59" s="336">
        <v>1056</v>
      </c>
      <c r="H59" s="312">
        <f>13826+6495</f>
        <v>20321</v>
      </c>
      <c r="I59" s="321">
        <v>18086</v>
      </c>
      <c r="J59" s="311">
        <f t="shared" si="2"/>
        <v>-0.10998474484523399</v>
      </c>
      <c r="K59" s="329" t="s">
        <v>459</v>
      </c>
      <c r="L59" s="313">
        <v>132.84</v>
      </c>
      <c r="M59" s="367">
        <v>118.48</v>
      </c>
      <c r="N59" s="311">
        <f>(M59-L59)/L59</f>
        <v>-0.10809996988858776</v>
      </c>
      <c r="O59" s="314" t="s">
        <v>471</v>
      </c>
      <c r="P59" s="315" t="s">
        <v>381</v>
      </c>
      <c r="Q59" s="316">
        <f>Forudsætninger!B22</f>
        <v>7.3899999999999993E-2</v>
      </c>
      <c r="R59" s="321"/>
      <c r="S59" s="321"/>
      <c r="T59" s="311"/>
      <c r="U59" s="312"/>
      <c r="V59" s="321"/>
      <c r="W59" s="321"/>
      <c r="X59" s="335"/>
      <c r="Y59" s="311"/>
      <c r="Z59" s="331"/>
      <c r="AA59" s="321"/>
      <c r="AB59" s="321"/>
      <c r="AC59" s="322" t="s">
        <v>210</v>
      </c>
      <c r="AD59" s="322" t="s">
        <v>190</v>
      </c>
      <c r="AE59" s="323"/>
      <c r="AF59" s="323">
        <f>(Bygninger!M59*Q59*1000)/1000</f>
        <v>8.7556719999999988</v>
      </c>
      <c r="AG59" s="323"/>
      <c r="AH59" s="323"/>
      <c r="AI59" s="323"/>
      <c r="AJ59" s="323"/>
    </row>
    <row r="60" spans="1:36">
      <c r="A60" s="325" t="s">
        <v>503</v>
      </c>
      <c r="B60" s="325" t="s">
        <v>16</v>
      </c>
      <c r="C60" s="326">
        <v>4</v>
      </c>
      <c r="D60" s="327">
        <v>5492</v>
      </c>
      <c r="E60" s="325" t="s">
        <v>9</v>
      </c>
      <c r="F60" s="326">
        <v>15879</v>
      </c>
      <c r="G60" s="336">
        <v>942</v>
      </c>
      <c r="H60" s="312">
        <v>31184</v>
      </c>
      <c r="I60" s="321">
        <v>29515</v>
      </c>
      <c r="J60" s="311">
        <f t="shared" si="2"/>
        <v>-5.3521036428937914E-2</v>
      </c>
      <c r="K60" s="329" t="s">
        <v>459</v>
      </c>
      <c r="L60" s="313"/>
      <c r="M60" s="313"/>
      <c r="N60" s="311"/>
      <c r="O60" s="314"/>
      <c r="P60" s="335"/>
      <c r="Q60" s="316"/>
      <c r="R60" s="321">
        <v>13384</v>
      </c>
      <c r="S60" s="321">
        <v>16635</v>
      </c>
      <c r="T60" s="311">
        <f>(S60-R60)/R60</f>
        <v>0.24290197250448298</v>
      </c>
      <c r="U60" s="330" t="s">
        <v>634</v>
      </c>
      <c r="V60" s="321"/>
      <c r="W60" s="321"/>
      <c r="X60" s="335"/>
      <c r="Y60" s="311"/>
      <c r="Z60" s="331"/>
      <c r="AA60" s="321"/>
      <c r="AB60" s="321"/>
      <c r="AC60" s="322" t="s">
        <v>229</v>
      </c>
      <c r="AD60" s="322" t="s">
        <v>230</v>
      </c>
      <c r="AE60" s="323"/>
      <c r="AF60" s="323">
        <f>(Bygninger!M60*Q60*1000)/1000</f>
        <v>0</v>
      </c>
      <c r="AG60" s="323"/>
      <c r="AH60" s="323"/>
      <c r="AI60" s="323"/>
      <c r="AJ60" s="323"/>
    </row>
    <row r="61" spans="1:36">
      <c r="A61" s="325" t="s">
        <v>128</v>
      </c>
      <c r="B61" s="325" t="s">
        <v>34</v>
      </c>
      <c r="C61" s="326">
        <v>41</v>
      </c>
      <c r="D61" s="327">
        <v>5560</v>
      </c>
      <c r="E61" s="325" t="s">
        <v>5</v>
      </c>
      <c r="F61" s="328">
        <v>19218</v>
      </c>
      <c r="G61" s="321">
        <v>564</v>
      </c>
      <c r="H61" s="312">
        <v>13691</v>
      </c>
      <c r="I61" s="321">
        <v>14765</v>
      </c>
      <c r="J61" s="311">
        <f t="shared" si="2"/>
        <v>7.84456942516982E-2</v>
      </c>
      <c r="K61" s="329" t="s">
        <v>459</v>
      </c>
      <c r="L61" s="313"/>
      <c r="M61" s="313"/>
      <c r="N61" s="311"/>
      <c r="O61" s="314"/>
      <c r="P61" s="335"/>
      <c r="Q61" s="316"/>
      <c r="R61" s="321">
        <v>4661</v>
      </c>
      <c r="S61" s="321">
        <v>4648</v>
      </c>
      <c r="T61" s="311">
        <f>(S61-R61)/R61</f>
        <v>-2.7891010512765503E-3</v>
      </c>
      <c r="U61" s="330" t="s">
        <v>634</v>
      </c>
      <c r="V61" s="321"/>
      <c r="W61" s="321"/>
      <c r="X61" s="335"/>
      <c r="Y61" s="311"/>
      <c r="Z61" s="331"/>
      <c r="AA61" s="321"/>
      <c r="AB61" s="321"/>
      <c r="AC61" s="322" t="s">
        <v>231</v>
      </c>
      <c r="AD61" s="322" t="s">
        <v>156</v>
      </c>
      <c r="AE61" s="323"/>
      <c r="AF61" s="323">
        <f>(Bygninger!M61*Q61*1000)/1000</f>
        <v>0</v>
      </c>
      <c r="AG61" s="323"/>
      <c r="AH61" s="323"/>
      <c r="AI61" s="323"/>
      <c r="AJ61" s="323"/>
    </row>
    <row r="62" spans="1:36">
      <c r="A62" s="325" t="s">
        <v>429</v>
      </c>
      <c r="B62" s="325" t="s">
        <v>4</v>
      </c>
      <c r="C62" s="326">
        <v>2</v>
      </c>
      <c r="D62" s="327">
        <v>5560</v>
      </c>
      <c r="E62" s="325" t="s">
        <v>5</v>
      </c>
      <c r="F62" s="326">
        <v>17846</v>
      </c>
      <c r="G62" s="336">
        <v>1765</v>
      </c>
      <c r="H62" s="312">
        <v>142748</v>
      </c>
      <c r="I62" s="321">
        <v>101849</v>
      </c>
      <c r="J62" s="311">
        <f t="shared" si="2"/>
        <v>-0.28651189508784713</v>
      </c>
      <c r="K62" s="329" t="s">
        <v>459</v>
      </c>
      <c r="L62" s="313"/>
      <c r="M62" s="313"/>
      <c r="N62" s="311"/>
      <c r="O62" s="314"/>
      <c r="P62" s="335"/>
      <c r="Q62" s="316"/>
      <c r="R62" s="321">
        <v>14877</v>
      </c>
      <c r="S62" s="321">
        <v>13327</v>
      </c>
      <c r="T62" s="311">
        <f>(S62-R62)/R62</f>
        <v>-0.10418767224574847</v>
      </c>
      <c r="U62" s="330" t="s">
        <v>634</v>
      </c>
      <c r="V62" s="321"/>
      <c r="W62" s="321"/>
      <c r="X62" s="335"/>
      <c r="Y62" s="311"/>
      <c r="Z62" s="331"/>
      <c r="AA62" s="321"/>
      <c r="AB62" s="321"/>
      <c r="AC62" s="322">
        <v>1971</v>
      </c>
      <c r="AD62" s="322">
        <v>2001</v>
      </c>
      <c r="AE62" s="323"/>
      <c r="AF62" s="323">
        <f>(Bygninger!M62*Q62*1000)/1000</f>
        <v>0</v>
      </c>
      <c r="AG62" s="323"/>
      <c r="AH62" s="323"/>
      <c r="AI62" s="323"/>
      <c r="AJ62" s="323"/>
    </row>
    <row r="63" spans="1:36">
      <c r="A63" s="325" t="s">
        <v>504</v>
      </c>
      <c r="B63" s="325" t="s">
        <v>4</v>
      </c>
      <c r="C63" s="326">
        <v>4</v>
      </c>
      <c r="D63" s="327">
        <v>5560</v>
      </c>
      <c r="E63" s="325" t="s">
        <v>5</v>
      </c>
      <c r="F63" s="326">
        <v>19049</v>
      </c>
      <c r="G63" s="336">
        <v>735</v>
      </c>
      <c r="H63" s="312">
        <f>39777+12507</f>
        <v>52284</v>
      </c>
      <c r="I63" s="321">
        <v>40251</v>
      </c>
      <c r="J63" s="311">
        <f t="shared" si="2"/>
        <v>-0.23014689006196926</v>
      </c>
      <c r="K63" s="329" t="s">
        <v>459</v>
      </c>
      <c r="L63" s="313"/>
      <c r="M63" s="313"/>
      <c r="N63" s="311"/>
      <c r="O63" s="314"/>
      <c r="P63" s="335"/>
      <c r="Q63" s="316"/>
      <c r="R63" s="321">
        <v>12747</v>
      </c>
      <c r="S63" s="321">
        <v>13331</v>
      </c>
      <c r="T63" s="311">
        <f>(S63-R63)/R63</f>
        <v>4.5814701498391779E-2</v>
      </c>
      <c r="U63" s="330" t="s">
        <v>634</v>
      </c>
      <c r="V63" s="321"/>
      <c r="W63" s="321"/>
      <c r="X63" s="335"/>
      <c r="Y63" s="311"/>
      <c r="Z63" s="331"/>
      <c r="AA63" s="321"/>
      <c r="AB63" s="321"/>
      <c r="AC63" s="322" t="s">
        <v>234</v>
      </c>
      <c r="AD63" s="322" t="s">
        <v>205</v>
      </c>
      <c r="AE63" s="323"/>
      <c r="AF63" s="323">
        <f>(Bygninger!M63*Q63*1000)/1000</f>
        <v>0</v>
      </c>
      <c r="AG63" s="323"/>
      <c r="AH63" s="323"/>
      <c r="AI63" s="323"/>
      <c r="AJ63" s="323"/>
    </row>
    <row r="64" spans="1:36">
      <c r="A64" s="325" t="s">
        <v>505</v>
      </c>
      <c r="B64" s="325" t="s">
        <v>17</v>
      </c>
      <c r="C64" s="326">
        <v>2</v>
      </c>
      <c r="D64" s="327">
        <v>5560</v>
      </c>
      <c r="E64" s="325" t="s">
        <v>5</v>
      </c>
      <c r="F64" s="326">
        <v>18676</v>
      </c>
      <c r="G64" s="336">
        <v>270</v>
      </c>
      <c r="H64" s="312">
        <v>3810</v>
      </c>
      <c r="I64" s="321">
        <v>2438</v>
      </c>
      <c r="J64" s="311">
        <f t="shared" si="2"/>
        <v>-0.36010498687664044</v>
      </c>
      <c r="K64" s="329" t="s">
        <v>459</v>
      </c>
      <c r="L64" s="313"/>
      <c r="M64" s="313"/>
      <c r="N64" s="311"/>
      <c r="O64" s="314"/>
      <c r="P64" s="335"/>
      <c r="Q64" s="316"/>
      <c r="R64" s="321">
        <v>2307</v>
      </c>
      <c r="S64" s="321">
        <v>2270</v>
      </c>
      <c r="T64" s="311">
        <f>(S64-R64)/R64</f>
        <v>-1.6038144776766364E-2</v>
      </c>
      <c r="U64" s="330" t="s">
        <v>634</v>
      </c>
      <c r="V64" s="321"/>
      <c r="W64" s="321"/>
      <c r="X64" s="335"/>
      <c r="Y64" s="311"/>
      <c r="Z64" s="331"/>
      <c r="AA64" s="321"/>
      <c r="AB64" s="321"/>
      <c r="AC64" s="322">
        <v>1949</v>
      </c>
      <c r="AD64" s="322">
        <v>2000</v>
      </c>
      <c r="AE64" s="323"/>
      <c r="AF64" s="323">
        <f>(Bygninger!M64*Q64*1000)/1000</f>
        <v>0</v>
      </c>
      <c r="AG64" s="323"/>
      <c r="AH64" s="323"/>
      <c r="AI64" s="323"/>
      <c r="AJ64" s="323"/>
    </row>
    <row r="65" spans="1:36" collapsed="1">
      <c r="A65" s="294" t="s">
        <v>586</v>
      </c>
      <c r="B65" s="368"/>
      <c r="C65" s="369"/>
      <c r="D65" s="370"/>
      <c r="E65" s="368"/>
      <c r="F65" s="295"/>
      <c r="G65" s="303">
        <f>SUM(G66:G74)</f>
        <v>16202</v>
      </c>
      <c r="H65" s="303">
        <f>SUM(H66:H74)</f>
        <v>471997</v>
      </c>
      <c r="I65" s="303">
        <f>SUM(I66:I74)</f>
        <v>400006</v>
      </c>
      <c r="J65" s="303"/>
      <c r="K65" s="371"/>
      <c r="L65" s="303">
        <f>SUM(L66:L74)</f>
        <v>1480.69</v>
      </c>
      <c r="M65" s="303">
        <f>SUM(M66:M74)</f>
        <v>1445.6650000000002</v>
      </c>
      <c r="N65" s="303"/>
      <c r="O65" s="303"/>
      <c r="P65" s="303">
        <f>SUM(P66:P74)</f>
        <v>0</v>
      </c>
      <c r="Q65" s="303">
        <f>SUM(Q66:Q74)</f>
        <v>0.16339999999999999</v>
      </c>
      <c r="R65" s="303">
        <f>SUM(R66:R74)</f>
        <v>52363</v>
      </c>
      <c r="S65" s="303">
        <f>SUM(S66:S74)</f>
        <v>43288</v>
      </c>
      <c r="T65" s="303"/>
      <c r="U65" s="303">
        <f>SUM(U66:U74)</f>
        <v>0</v>
      </c>
      <c r="V65" s="303">
        <f>SUM(V66:V74)</f>
        <v>0</v>
      </c>
      <c r="W65" s="303">
        <f>SUM(W66:W74)</f>
        <v>0</v>
      </c>
      <c r="X65" s="301"/>
      <c r="Y65" s="303"/>
      <c r="Z65" s="303">
        <f>M65*1000+S65*energiindhold_naturgas/3.6+W65*energiindhold_olie/3.6</f>
        <v>1923035.4444444447</v>
      </c>
      <c r="AA65" s="303">
        <f>H65/G65</f>
        <v>29.132020738180472</v>
      </c>
      <c r="AB65" s="303">
        <f>Z65/G65</f>
        <v>118.69123839306535</v>
      </c>
      <c r="AC65" s="304"/>
      <c r="AD65" s="304"/>
      <c r="AE65" s="295">
        <f>(Bygninger!I65*CO2_el)/1000</f>
        <v>175.202628</v>
      </c>
      <c r="AF65" s="295">
        <f>SUM(AF66:AF74)</f>
        <v>21.059939999999994</v>
      </c>
      <c r="AG65" s="295">
        <f>(Bygninger!S65*CO2_naturgas)/1000</f>
        <v>97.181560000000005</v>
      </c>
      <c r="AH65" s="295">
        <f>(Bygninger!W65*CO2_olie)/1000</f>
        <v>0</v>
      </c>
      <c r="AI65" s="295">
        <f>SUM(AF65:AH65)</f>
        <v>118.2415</v>
      </c>
      <c r="AJ65" s="295">
        <f>AE65+AI65</f>
        <v>293.44412799999998</v>
      </c>
    </row>
    <row r="66" spans="1:36">
      <c r="A66" s="306" t="s">
        <v>506</v>
      </c>
      <c r="B66" s="325" t="s">
        <v>72</v>
      </c>
      <c r="C66" s="328">
        <v>78</v>
      </c>
      <c r="D66" s="308">
        <v>5610</v>
      </c>
      <c r="E66" s="325" t="s">
        <v>12</v>
      </c>
      <c r="F66" s="328">
        <v>4410</v>
      </c>
      <c r="G66" s="321">
        <v>3994</v>
      </c>
      <c r="H66" s="312">
        <v>119237</v>
      </c>
      <c r="I66" s="321">
        <v>111648</v>
      </c>
      <c r="J66" s="311">
        <f t="shared" ref="J66:J74" si="3">(I66-H66)/H66</f>
        <v>-6.3646351384217981E-2</v>
      </c>
      <c r="K66" s="329" t="s">
        <v>583</v>
      </c>
      <c r="L66" s="330">
        <v>396.36</v>
      </c>
      <c r="M66" s="337">
        <v>373.84</v>
      </c>
      <c r="N66" s="311">
        <f t="shared" ref="N66:N73" si="4">(M66-L66)/L66</f>
        <v>-5.6817035018669991E-2</v>
      </c>
      <c r="O66" s="314" t="s">
        <v>469</v>
      </c>
      <c r="P66" s="315" t="s">
        <v>380</v>
      </c>
      <c r="Q66" s="316">
        <f>Forudsætninger!B18</f>
        <v>0</v>
      </c>
      <c r="R66" s="321"/>
      <c r="S66" s="321"/>
      <c r="T66" s="311"/>
      <c r="U66" s="312"/>
      <c r="V66" s="321"/>
      <c r="W66" s="321"/>
      <c r="X66" s="335"/>
      <c r="Y66" s="311"/>
      <c r="Z66" s="331"/>
      <c r="AA66" s="321"/>
      <c r="AB66" s="321"/>
      <c r="AC66" s="322" t="s">
        <v>238</v>
      </c>
      <c r="AD66" s="322" t="s">
        <v>156</v>
      </c>
      <c r="AE66" s="323"/>
      <c r="AF66" s="323">
        <f>(Bygninger!M66*Q66*1000)/1000</f>
        <v>0</v>
      </c>
      <c r="AG66" s="323"/>
      <c r="AH66" s="323"/>
      <c r="AI66" s="323"/>
      <c r="AJ66" s="323"/>
    </row>
    <row r="67" spans="1:36">
      <c r="A67" s="306" t="s">
        <v>507</v>
      </c>
      <c r="B67" s="325" t="s">
        <v>49</v>
      </c>
      <c r="C67" s="328">
        <v>80</v>
      </c>
      <c r="D67" s="308">
        <v>5610</v>
      </c>
      <c r="E67" s="325" t="s">
        <v>12</v>
      </c>
      <c r="F67" s="328">
        <v>5281</v>
      </c>
      <c r="G67" s="321">
        <v>1174</v>
      </c>
      <c r="H67" s="312"/>
      <c r="I67" s="321"/>
      <c r="J67" s="311"/>
      <c r="K67" s="329" t="s">
        <v>605</v>
      </c>
      <c r="L67" s="330">
        <v>81.680000000000007</v>
      </c>
      <c r="M67" s="337">
        <v>88.715000000000003</v>
      </c>
      <c r="N67" s="311">
        <f t="shared" si="4"/>
        <v>8.612879529872669E-2</v>
      </c>
      <c r="O67" s="314" t="s">
        <v>482</v>
      </c>
      <c r="P67" s="315" t="s">
        <v>380</v>
      </c>
      <c r="Q67" s="316">
        <f>Forudsætninger!B18</f>
        <v>0</v>
      </c>
      <c r="R67" s="321"/>
      <c r="S67" s="321"/>
      <c r="T67" s="311"/>
      <c r="U67" s="312"/>
      <c r="V67" s="321"/>
      <c r="W67" s="321"/>
      <c r="X67" s="335"/>
      <c r="Y67" s="311"/>
      <c r="Z67" s="331"/>
      <c r="AA67" s="321"/>
      <c r="AB67" s="321"/>
      <c r="AC67" s="322" t="s">
        <v>237</v>
      </c>
      <c r="AD67" s="322" t="s">
        <v>156</v>
      </c>
      <c r="AE67" s="323"/>
      <c r="AF67" s="323">
        <f>(Bygninger!M67*Q67*1000)/1000</f>
        <v>0</v>
      </c>
      <c r="AG67" s="323"/>
      <c r="AH67" s="323"/>
      <c r="AI67" s="323"/>
      <c r="AJ67" s="323"/>
    </row>
    <row r="68" spans="1:36">
      <c r="A68" s="306" t="s">
        <v>513</v>
      </c>
      <c r="B68" s="325" t="s">
        <v>60</v>
      </c>
      <c r="C68" s="328">
        <v>5</v>
      </c>
      <c r="D68" s="308">
        <v>5620</v>
      </c>
      <c r="E68" s="325" t="s">
        <v>13</v>
      </c>
      <c r="F68" s="328">
        <v>7856</v>
      </c>
      <c r="G68" s="321">
        <v>1449</v>
      </c>
      <c r="H68" s="312">
        <v>37890</v>
      </c>
      <c r="I68" s="321">
        <v>36270</v>
      </c>
      <c r="J68" s="311">
        <f t="shared" si="3"/>
        <v>-4.2755344418052253E-2</v>
      </c>
      <c r="K68" s="329" t="s">
        <v>459</v>
      </c>
      <c r="L68" s="313">
        <v>246.3</v>
      </c>
      <c r="M68" s="337">
        <v>229.09</v>
      </c>
      <c r="N68" s="311">
        <f t="shared" si="4"/>
        <v>-6.9874137231019109E-2</v>
      </c>
      <c r="O68" s="314" t="s">
        <v>483</v>
      </c>
      <c r="P68" s="315" t="s">
        <v>380</v>
      </c>
      <c r="Q68" s="316">
        <f>Forudsætninger!B18</f>
        <v>0</v>
      </c>
      <c r="R68" s="321"/>
      <c r="S68" s="321"/>
      <c r="T68" s="311"/>
      <c r="U68" s="312"/>
      <c r="V68" s="321"/>
      <c r="W68" s="321"/>
      <c r="X68" s="335"/>
      <c r="Y68" s="311"/>
      <c r="Z68" s="331"/>
      <c r="AA68" s="321"/>
      <c r="AB68" s="321"/>
      <c r="AC68" s="322" t="s">
        <v>241</v>
      </c>
      <c r="AD68" s="322" t="s">
        <v>220</v>
      </c>
      <c r="AE68" s="323"/>
      <c r="AF68" s="323">
        <f>(Bygninger!M68*Q68*1000)/1000</f>
        <v>0</v>
      </c>
      <c r="AG68" s="323"/>
      <c r="AH68" s="323"/>
      <c r="AI68" s="323"/>
      <c r="AJ68" s="323"/>
    </row>
    <row r="69" spans="1:36">
      <c r="A69" s="306" t="s">
        <v>517</v>
      </c>
      <c r="B69" s="325" t="s">
        <v>61</v>
      </c>
      <c r="C69" s="328">
        <v>4</v>
      </c>
      <c r="D69" s="308">
        <v>5620</v>
      </c>
      <c r="E69" s="325" t="s">
        <v>13</v>
      </c>
      <c r="F69" s="328">
        <v>7541</v>
      </c>
      <c r="G69" s="321">
        <v>1464</v>
      </c>
      <c r="H69" s="312">
        <v>100344</v>
      </c>
      <c r="I69" s="321">
        <v>77411</v>
      </c>
      <c r="J69" s="311">
        <f t="shared" si="3"/>
        <v>-0.22854380929602169</v>
      </c>
      <c r="K69" s="329" t="s">
        <v>459</v>
      </c>
      <c r="L69" s="313"/>
      <c r="M69" s="313"/>
      <c r="N69" s="311"/>
      <c r="O69" s="314"/>
      <c r="P69" s="315"/>
      <c r="Q69" s="316"/>
      <c r="R69" s="321">
        <v>24104</v>
      </c>
      <c r="S69" s="321">
        <v>23248</v>
      </c>
      <c r="T69" s="311">
        <f>(S69-R69)/R69</f>
        <v>-3.5512777962163955E-2</v>
      </c>
      <c r="U69" s="330" t="s">
        <v>634</v>
      </c>
      <c r="V69" s="321"/>
      <c r="W69" s="321"/>
      <c r="X69" s="335"/>
      <c r="Y69" s="311"/>
      <c r="Z69" s="331"/>
      <c r="AA69" s="321"/>
      <c r="AB69" s="321"/>
      <c r="AC69" s="322" t="s">
        <v>243</v>
      </c>
      <c r="AD69" s="322" t="s">
        <v>244</v>
      </c>
      <c r="AE69" s="323"/>
      <c r="AF69" s="323">
        <f>(Bygninger!M69*Q69*1000)/1000</f>
        <v>0</v>
      </c>
      <c r="AG69" s="323"/>
      <c r="AH69" s="323"/>
      <c r="AI69" s="323"/>
      <c r="AJ69" s="323"/>
    </row>
    <row r="70" spans="1:36" ht="22.5">
      <c r="A70" s="306" t="s">
        <v>518</v>
      </c>
      <c r="B70" s="306" t="s">
        <v>114</v>
      </c>
      <c r="C70" s="328">
        <v>81</v>
      </c>
      <c r="D70" s="308">
        <v>5683</v>
      </c>
      <c r="E70" s="306" t="s">
        <v>10</v>
      </c>
      <c r="F70" s="328">
        <v>10012</v>
      </c>
      <c r="G70" s="321">
        <v>3149</v>
      </c>
      <c r="H70" s="312">
        <v>56056</v>
      </c>
      <c r="I70" s="321">
        <v>56056</v>
      </c>
      <c r="J70" s="311">
        <f t="shared" si="3"/>
        <v>0</v>
      </c>
      <c r="K70" s="366" t="s">
        <v>609</v>
      </c>
      <c r="L70" s="313">
        <v>462.2</v>
      </c>
      <c r="M70" s="313">
        <v>462.2</v>
      </c>
      <c r="N70" s="311">
        <f t="shared" si="4"/>
        <v>0</v>
      </c>
      <c r="O70" s="366" t="s">
        <v>612</v>
      </c>
      <c r="P70" s="321"/>
      <c r="Q70" s="321"/>
      <c r="R70" s="321"/>
      <c r="S70" s="321"/>
      <c r="T70" s="311"/>
      <c r="U70" s="330"/>
      <c r="V70" s="321"/>
      <c r="W70" s="321"/>
      <c r="X70" s="335"/>
      <c r="Y70" s="311"/>
      <c r="Z70" s="331"/>
      <c r="AA70" s="321"/>
      <c r="AB70" s="321"/>
      <c r="AC70" s="322" t="s">
        <v>222</v>
      </c>
      <c r="AD70" s="322" t="s">
        <v>245</v>
      </c>
      <c r="AE70" s="323"/>
      <c r="AF70" s="323">
        <f>(Bygninger!M70*Q70*1000)/1000</f>
        <v>0</v>
      </c>
      <c r="AG70" s="323"/>
      <c r="AH70" s="323"/>
      <c r="AI70" s="323"/>
      <c r="AJ70" s="323"/>
    </row>
    <row r="71" spans="1:36">
      <c r="A71" s="306" t="s">
        <v>129</v>
      </c>
      <c r="B71" s="325" t="s">
        <v>65</v>
      </c>
      <c r="C71" s="328">
        <v>22</v>
      </c>
      <c r="D71" s="308">
        <v>5683</v>
      </c>
      <c r="E71" s="325" t="s">
        <v>10</v>
      </c>
      <c r="F71" s="328">
        <v>10912</v>
      </c>
      <c r="G71" s="321">
        <v>1035</v>
      </c>
      <c r="H71" s="312">
        <v>83442</v>
      </c>
      <c r="I71" s="321">
        <v>60054</v>
      </c>
      <c r="J71" s="311">
        <f t="shared" si="3"/>
        <v>-0.28029050118645288</v>
      </c>
      <c r="K71" s="329" t="s">
        <v>459</v>
      </c>
      <c r="L71" s="313">
        <v>136.16999999999999</v>
      </c>
      <c r="M71" s="313">
        <v>136.16999999999999</v>
      </c>
      <c r="N71" s="311">
        <f t="shared" si="4"/>
        <v>0</v>
      </c>
      <c r="O71" s="314" t="s">
        <v>484</v>
      </c>
      <c r="P71" s="315" t="s">
        <v>383</v>
      </c>
      <c r="Q71" s="316">
        <f>Forudsætninger!B20</f>
        <v>0.14299999999999999</v>
      </c>
      <c r="R71" s="321"/>
      <c r="S71" s="321"/>
      <c r="T71" s="311"/>
      <c r="U71" s="330"/>
      <c r="V71" s="321"/>
      <c r="W71" s="321"/>
      <c r="X71" s="335"/>
      <c r="Y71" s="311"/>
      <c r="Z71" s="331"/>
      <c r="AA71" s="321"/>
      <c r="AB71" s="321"/>
      <c r="AC71" s="322" t="s">
        <v>177</v>
      </c>
      <c r="AD71" s="322" t="s">
        <v>156</v>
      </c>
      <c r="AE71" s="323"/>
      <c r="AF71" s="323">
        <f>(Bygninger!M71*Q71*1000)/1000</f>
        <v>19.472309999999997</v>
      </c>
      <c r="AG71" s="323"/>
      <c r="AH71" s="323"/>
      <c r="AI71" s="323"/>
      <c r="AJ71" s="323"/>
    </row>
    <row r="72" spans="1:36">
      <c r="A72" s="306" t="s">
        <v>520</v>
      </c>
      <c r="B72" s="325" t="s">
        <v>63</v>
      </c>
      <c r="C72" s="328">
        <v>100</v>
      </c>
      <c r="D72" s="308">
        <v>5690</v>
      </c>
      <c r="E72" s="325" t="s">
        <v>7</v>
      </c>
      <c r="F72" s="328">
        <v>14294</v>
      </c>
      <c r="G72" s="321">
        <v>817</v>
      </c>
      <c r="H72" s="312">
        <v>45069</v>
      </c>
      <c r="I72" s="321">
        <v>45407</v>
      </c>
      <c r="J72" s="311">
        <f t="shared" si="3"/>
        <v>7.499611706494486E-3</v>
      </c>
      <c r="K72" s="329" t="s">
        <v>459</v>
      </c>
      <c r="L72" s="313">
        <v>74.98</v>
      </c>
      <c r="M72" s="341">
        <v>72.650000000000006</v>
      </c>
      <c r="N72" s="311">
        <f t="shared" si="4"/>
        <v>-3.1074953320885546E-2</v>
      </c>
      <c r="O72" s="372"/>
      <c r="P72" s="315" t="s">
        <v>410</v>
      </c>
      <c r="Q72" s="316">
        <f>Forudsætninger!B21</f>
        <v>1.0200000000000001E-2</v>
      </c>
      <c r="R72" s="321"/>
      <c r="S72" s="321"/>
      <c r="T72" s="311"/>
      <c r="U72" s="330"/>
      <c r="V72" s="321"/>
      <c r="W72" s="321"/>
      <c r="X72" s="335"/>
      <c r="Y72" s="311"/>
      <c r="Z72" s="331"/>
      <c r="AA72" s="321"/>
      <c r="AB72" s="321"/>
      <c r="AC72" s="322" t="s">
        <v>233</v>
      </c>
      <c r="AD72" s="322" t="s">
        <v>179</v>
      </c>
      <c r="AE72" s="323"/>
      <c r="AF72" s="323">
        <f>(Bygninger!M72*Q72*1000)/1000</f>
        <v>0.74103000000000008</v>
      </c>
      <c r="AG72" s="323"/>
      <c r="AH72" s="323"/>
      <c r="AI72" s="323"/>
      <c r="AJ72" s="323"/>
    </row>
    <row r="73" spans="1:36">
      <c r="A73" s="306" t="s">
        <v>521</v>
      </c>
      <c r="B73" s="325" t="s">
        <v>63</v>
      </c>
      <c r="C73" s="328">
        <v>101</v>
      </c>
      <c r="D73" s="308">
        <v>5690</v>
      </c>
      <c r="E73" s="325" t="s">
        <v>7</v>
      </c>
      <c r="F73" s="328">
        <v>14293</v>
      </c>
      <c r="G73" s="321">
        <v>1307</v>
      </c>
      <c r="H73" s="312">
        <v>29249</v>
      </c>
      <c r="I73" s="321">
        <v>12450</v>
      </c>
      <c r="J73" s="311">
        <f t="shared" si="3"/>
        <v>-0.57434442203152247</v>
      </c>
      <c r="K73" s="329" t="s">
        <v>465</v>
      </c>
      <c r="L73" s="313">
        <v>83</v>
      </c>
      <c r="M73" s="313">
        <v>83</v>
      </c>
      <c r="N73" s="311">
        <f t="shared" si="4"/>
        <v>0</v>
      </c>
      <c r="O73" s="314" t="s">
        <v>608</v>
      </c>
      <c r="P73" s="315" t="s">
        <v>410</v>
      </c>
      <c r="Q73" s="316">
        <f>Forudsætninger!B21</f>
        <v>1.0200000000000001E-2</v>
      </c>
      <c r="R73" s="321"/>
      <c r="S73" s="321"/>
      <c r="T73" s="311"/>
      <c r="U73" s="312"/>
      <c r="V73" s="321"/>
      <c r="W73" s="321"/>
      <c r="X73" s="335"/>
      <c r="Y73" s="311"/>
      <c r="Z73" s="331"/>
      <c r="AA73" s="321"/>
      <c r="AB73" s="321"/>
      <c r="AC73" s="322" t="s">
        <v>233</v>
      </c>
      <c r="AD73" s="322" t="s">
        <v>156</v>
      </c>
      <c r="AE73" s="323"/>
      <c r="AF73" s="323">
        <f>(Bygninger!M73*Q73*1000)/1000</f>
        <v>0.84660000000000002</v>
      </c>
      <c r="AG73" s="323"/>
      <c r="AH73" s="323"/>
      <c r="AI73" s="323"/>
      <c r="AJ73" s="323"/>
    </row>
    <row r="74" spans="1:36" ht="22.5">
      <c r="A74" s="306" t="s">
        <v>130</v>
      </c>
      <c r="B74" s="325" t="s">
        <v>58</v>
      </c>
      <c r="C74" s="328">
        <v>3</v>
      </c>
      <c r="D74" s="308">
        <v>5560</v>
      </c>
      <c r="E74" s="325" t="s">
        <v>5</v>
      </c>
      <c r="F74" s="328">
        <v>17294</v>
      </c>
      <c r="G74" s="321">
        <v>1813</v>
      </c>
      <c r="H74" s="312">
        <v>710</v>
      </c>
      <c r="I74" s="321">
        <v>710</v>
      </c>
      <c r="J74" s="311">
        <f t="shared" si="3"/>
        <v>0</v>
      </c>
      <c r="K74" s="366" t="s">
        <v>609</v>
      </c>
      <c r="L74" s="313"/>
      <c r="M74" s="313"/>
      <c r="N74" s="311"/>
      <c r="O74" s="314"/>
      <c r="P74" s="335"/>
      <c r="Q74" s="316"/>
      <c r="R74" s="321">
        <v>28259</v>
      </c>
      <c r="S74" s="321">
        <v>20040</v>
      </c>
      <c r="T74" s="311">
        <f>(S74-R74)/R74</f>
        <v>-0.29084539438762874</v>
      </c>
      <c r="U74" s="418" t="s">
        <v>636</v>
      </c>
      <c r="V74" s="321"/>
      <c r="W74" s="321"/>
      <c r="X74" s="335"/>
      <c r="Y74" s="311"/>
      <c r="Z74" s="331"/>
      <c r="AA74" s="321"/>
      <c r="AB74" s="321"/>
      <c r="AC74" s="322" t="s">
        <v>248</v>
      </c>
      <c r="AD74" s="322" t="s">
        <v>177</v>
      </c>
      <c r="AE74" s="323"/>
      <c r="AF74" s="323">
        <f>(Bygninger!M74*Q74*1000)/1000</f>
        <v>0</v>
      </c>
      <c r="AG74" s="323"/>
      <c r="AH74" s="323"/>
      <c r="AI74" s="323"/>
      <c r="AJ74" s="323"/>
    </row>
    <row r="75" spans="1:36" s="305" customFormat="1" collapsed="1">
      <c r="A75" s="294" t="s">
        <v>549</v>
      </c>
      <c r="B75" s="294"/>
      <c r="C75" s="295"/>
      <c r="D75" s="296"/>
      <c r="E75" s="294"/>
      <c r="F75" s="295"/>
      <c r="G75" s="297">
        <f>SUM(G76:G89)</f>
        <v>6588</v>
      </c>
      <c r="H75" s="297">
        <f>SUM(H76:H89)</f>
        <v>132312</v>
      </c>
      <c r="I75" s="297">
        <f>SUM(I76:I89)</f>
        <v>128025</v>
      </c>
      <c r="J75" s="298"/>
      <c r="K75" s="299"/>
      <c r="L75" s="297">
        <f>SUM(L76:L89)</f>
        <v>312.01799999999997</v>
      </c>
      <c r="M75" s="297">
        <f>SUM(M76:M89)</f>
        <v>249.786</v>
      </c>
      <c r="N75" s="298"/>
      <c r="O75" s="300"/>
      <c r="P75" s="301"/>
      <c r="Q75" s="302"/>
      <c r="R75" s="297">
        <f>SUM(R76:R89)</f>
        <v>5242</v>
      </c>
      <c r="S75" s="297">
        <f>SUM(S76:S89)</f>
        <v>6134</v>
      </c>
      <c r="T75" s="298"/>
      <c r="U75" s="297"/>
      <c r="V75" s="297">
        <f>SUM(V76:V89)</f>
        <v>5298</v>
      </c>
      <c r="W75" s="297">
        <f>SUM(W76:W89)</f>
        <v>5501</v>
      </c>
      <c r="X75" s="301"/>
      <c r="Y75" s="298"/>
      <c r="Z75" s="303">
        <f>M75*1000+S75*energiindhold_naturgas/3.6+W75*energiindhold_olie/3.6</f>
        <v>372287.58333333331</v>
      </c>
      <c r="AA75" s="303">
        <f>H75/G75</f>
        <v>20.083788706739526</v>
      </c>
      <c r="AB75" s="303">
        <f>Z75/G75</f>
        <v>56.509954968629827</v>
      </c>
      <c r="AC75" s="304"/>
      <c r="AD75" s="304"/>
      <c r="AE75" s="295">
        <f>(Bygninger!I75*CO2_el)/1000</f>
        <v>56.074949999999994</v>
      </c>
      <c r="AF75" s="295">
        <f>SUM(AF76:AF89)</f>
        <v>8.9464904999999995</v>
      </c>
      <c r="AG75" s="295">
        <f>(Bygninger!S75*CO2_naturgas)/1000</f>
        <v>13.77083</v>
      </c>
      <c r="AH75" s="295">
        <f>(Bygninger!W75*CO2_olie)/1000</f>
        <v>14.57765</v>
      </c>
      <c r="AI75" s="295">
        <f>SUM(AF75:AH75)</f>
        <v>37.294970499999998</v>
      </c>
      <c r="AJ75" s="295">
        <f>AE75+AI75</f>
        <v>93.369920499999992</v>
      </c>
    </row>
    <row r="76" spans="1:36" s="305" customFormat="1">
      <c r="A76" s="356" t="s">
        <v>525</v>
      </c>
      <c r="B76" s="356" t="s">
        <v>559</v>
      </c>
      <c r="C76" s="373">
        <v>5</v>
      </c>
      <c r="D76" s="358">
        <v>5610</v>
      </c>
      <c r="E76" s="356" t="s">
        <v>12</v>
      </c>
      <c r="F76" s="357"/>
      <c r="G76" s="360">
        <v>1095</v>
      </c>
      <c r="H76" s="359">
        <v>31844</v>
      </c>
      <c r="I76" s="360">
        <v>30757</v>
      </c>
      <c r="J76" s="361">
        <f t="shared" ref="J76:J83" si="5">(I76-H76)/H76</f>
        <v>-3.4135158899635726E-2</v>
      </c>
      <c r="K76" s="374"/>
      <c r="L76" s="375">
        <v>78.278999999999996</v>
      </c>
      <c r="M76" s="375">
        <v>79.221999999999994</v>
      </c>
      <c r="N76" s="361">
        <f t="shared" ref="N76:N85" si="6">(M76-L76)/L76</f>
        <v>1.2046653636351996E-2</v>
      </c>
      <c r="O76" s="376"/>
      <c r="P76" s="438" t="s">
        <v>380</v>
      </c>
      <c r="Q76" s="437">
        <f>Forudsætninger!B17</f>
        <v>0</v>
      </c>
      <c r="R76" s="377"/>
      <c r="S76" s="377"/>
      <c r="T76" s="361" t="e">
        <f>(S76-R76)/R76</f>
        <v>#DIV/0!</v>
      </c>
      <c r="U76" s="378"/>
      <c r="V76" s="377"/>
      <c r="W76" s="377"/>
      <c r="X76" s="413"/>
      <c r="Y76" s="361"/>
      <c r="Z76" s="331"/>
      <c r="AA76" s="321"/>
      <c r="AB76" s="321"/>
      <c r="AC76" s="322"/>
      <c r="AD76" s="322"/>
      <c r="AE76" s="323"/>
      <c r="AF76" s="323">
        <f>(Bygninger!M76*Q76*1000)/1000</f>
        <v>0</v>
      </c>
      <c r="AG76" s="323"/>
      <c r="AH76" s="323"/>
      <c r="AI76" s="323"/>
      <c r="AJ76" s="323"/>
    </row>
    <row r="77" spans="1:36">
      <c r="A77" s="325" t="s">
        <v>97</v>
      </c>
      <c r="B77" s="325" t="s">
        <v>89</v>
      </c>
      <c r="C77" s="326">
        <v>25</v>
      </c>
      <c r="D77" s="327">
        <v>5610</v>
      </c>
      <c r="E77" s="325" t="s">
        <v>12</v>
      </c>
      <c r="F77" s="326">
        <v>4708</v>
      </c>
      <c r="G77" s="332">
        <v>286</v>
      </c>
      <c r="H77" s="321">
        <v>5824</v>
      </c>
      <c r="I77" s="321">
        <v>2329</v>
      </c>
      <c r="J77" s="311">
        <f t="shared" si="5"/>
        <v>-0.60010302197802201</v>
      </c>
      <c r="K77" s="329" t="s">
        <v>461</v>
      </c>
      <c r="L77" s="313">
        <v>36.875</v>
      </c>
      <c r="M77" s="337">
        <v>35.994</v>
      </c>
      <c r="N77" s="311">
        <f t="shared" si="6"/>
        <v>-2.389152542372882E-2</v>
      </c>
      <c r="O77" s="314" t="s">
        <v>468</v>
      </c>
      <c r="P77" s="315" t="s">
        <v>380</v>
      </c>
      <c r="Q77" s="316">
        <f>Forudsætninger!B18</f>
        <v>0</v>
      </c>
      <c r="R77" s="321"/>
      <c r="S77" s="321"/>
      <c r="T77" s="311"/>
      <c r="U77" s="312"/>
      <c r="V77" s="321"/>
      <c r="W77" s="321"/>
      <c r="X77" s="335"/>
      <c r="Y77" s="311"/>
      <c r="Z77" s="331"/>
      <c r="AA77" s="321"/>
      <c r="AB77" s="321"/>
      <c r="AC77" s="322" t="s">
        <v>238</v>
      </c>
      <c r="AD77" s="322" t="s">
        <v>200</v>
      </c>
      <c r="AE77" s="323"/>
      <c r="AF77" s="323">
        <f>(Bygninger!M77*Q77*1000)/1000</f>
        <v>0</v>
      </c>
      <c r="AG77" s="323"/>
      <c r="AH77" s="323"/>
      <c r="AI77" s="323"/>
      <c r="AJ77" s="323"/>
    </row>
    <row r="78" spans="1:36">
      <c r="A78" s="325" t="s">
        <v>98</v>
      </c>
      <c r="B78" s="325" t="s">
        <v>71</v>
      </c>
      <c r="C78" s="326">
        <v>17</v>
      </c>
      <c r="D78" s="327">
        <v>5610</v>
      </c>
      <c r="E78" s="325" t="s">
        <v>12</v>
      </c>
      <c r="F78" s="326">
        <v>2622</v>
      </c>
      <c r="G78" s="332">
        <v>468</v>
      </c>
      <c r="H78" s="312">
        <v>3418</v>
      </c>
      <c r="I78" s="321">
        <v>5832</v>
      </c>
      <c r="J78" s="311">
        <f t="shared" si="5"/>
        <v>0.70626097132826215</v>
      </c>
      <c r="K78" s="329" t="s">
        <v>640</v>
      </c>
      <c r="L78" s="313"/>
      <c r="M78" s="313"/>
      <c r="N78" s="311" t="e">
        <f t="shared" si="6"/>
        <v>#DIV/0!</v>
      </c>
      <c r="O78" s="314"/>
      <c r="P78" s="335"/>
      <c r="Q78" s="316"/>
      <c r="R78" s="321"/>
      <c r="S78" s="321"/>
      <c r="T78" s="311"/>
      <c r="U78" s="312"/>
      <c r="V78" s="321">
        <v>4283</v>
      </c>
      <c r="W78" s="321">
        <v>4668</v>
      </c>
      <c r="X78" s="335"/>
      <c r="Y78" s="311">
        <f>(W78-V78)/V78</f>
        <v>8.9890263833761377E-2</v>
      </c>
      <c r="Z78" s="331"/>
      <c r="AA78" s="321"/>
      <c r="AB78" s="321"/>
      <c r="AC78" s="322">
        <v>1883</v>
      </c>
      <c r="AD78" s="322">
        <v>1991</v>
      </c>
      <c r="AE78" s="323"/>
      <c r="AF78" s="323">
        <f>(Bygninger!M78*Q78*1000)/1000</f>
        <v>0</v>
      </c>
      <c r="AG78" s="323"/>
      <c r="AH78" s="323"/>
      <c r="AI78" s="323"/>
      <c r="AJ78" s="323"/>
    </row>
    <row r="79" spans="1:36" s="305" customFormat="1">
      <c r="A79" s="356" t="s">
        <v>526</v>
      </c>
      <c r="B79" s="356" t="s">
        <v>54</v>
      </c>
      <c r="C79" s="373">
        <v>36</v>
      </c>
      <c r="D79" s="358">
        <v>5610</v>
      </c>
      <c r="E79" s="356" t="s">
        <v>12</v>
      </c>
      <c r="F79" s="357"/>
      <c r="G79" s="359">
        <v>436</v>
      </c>
      <c r="H79" s="428">
        <v>4600</v>
      </c>
      <c r="I79" s="428">
        <v>4131</v>
      </c>
      <c r="J79" s="429">
        <f t="shared" si="5"/>
        <v>-0.10195652173913043</v>
      </c>
      <c r="K79" s="379" t="s">
        <v>619</v>
      </c>
      <c r="L79" s="430">
        <v>47.48</v>
      </c>
      <c r="M79" s="430">
        <v>37.527000000000001</v>
      </c>
      <c r="N79" s="361">
        <f t="shared" si="6"/>
        <v>-0.20962510530749781</v>
      </c>
      <c r="O79" s="376"/>
      <c r="P79" s="438" t="s">
        <v>380</v>
      </c>
      <c r="Q79" s="437">
        <f>Forudsætninger!B18</f>
        <v>0</v>
      </c>
      <c r="R79" s="377"/>
      <c r="S79" s="377"/>
      <c r="T79" s="361"/>
      <c r="U79" s="378"/>
      <c r="V79" s="377"/>
      <c r="W79" s="377"/>
      <c r="X79" s="413"/>
      <c r="Y79" s="361"/>
      <c r="Z79" s="331"/>
      <c r="AA79" s="321"/>
      <c r="AB79" s="321"/>
      <c r="AC79" s="322"/>
      <c r="AD79" s="322"/>
      <c r="AE79" s="323"/>
      <c r="AF79" s="323">
        <f>(Bygninger!M79*Q79*1000)/1000</f>
        <v>0</v>
      </c>
      <c r="AG79" s="323"/>
      <c r="AH79" s="323"/>
      <c r="AI79" s="323"/>
      <c r="AJ79" s="323"/>
    </row>
    <row r="80" spans="1:36">
      <c r="A80" s="325" t="s">
        <v>69</v>
      </c>
      <c r="B80" s="325" t="s">
        <v>66</v>
      </c>
      <c r="C80" s="326" t="s">
        <v>91</v>
      </c>
      <c r="D80" s="327">
        <v>5620</v>
      </c>
      <c r="E80" s="325" t="s">
        <v>13</v>
      </c>
      <c r="F80" s="326">
        <v>7434</v>
      </c>
      <c r="G80" s="332">
        <v>779</v>
      </c>
      <c r="H80" s="312">
        <f>13544+6639</f>
        <v>20183</v>
      </c>
      <c r="I80" s="321">
        <v>19084</v>
      </c>
      <c r="J80" s="311">
        <f t="shared" si="5"/>
        <v>-5.4451766338007232E-2</v>
      </c>
      <c r="K80" s="329" t="s">
        <v>459</v>
      </c>
      <c r="L80" s="313">
        <v>91.8</v>
      </c>
      <c r="M80" s="313">
        <v>34.5</v>
      </c>
      <c r="N80" s="311">
        <f t="shared" si="6"/>
        <v>-0.62418300653594772</v>
      </c>
      <c r="O80" s="314" t="s">
        <v>601</v>
      </c>
      <c r="P80" s="315" t="s">
        <v>382</v>
      </c>
      <c r="Q80" s="316">
        <f>Forudsætninger!B19</f>
        <v>0.1021</v>
      </c>
      <c r="R80" s="321"/>
      <c r="S80" s="321"/>
      <c r="T80" s="311"/>
      <c r="U80" s="312"/>
      <c r="V80" s="321"/>
      <c r="W80" s="321"/>
      <c r="X80" s="335"/>
      <c r="Y80" s="311"/>
      <c r="Z80" s="331"/>
      <c r="AA80" s="321"/>
      <c r="AB80" s="321"/>
      <c r="AC80" s="322" t="s">
        <v>255</v>
      </c>
      <c r="AD80" s="322" t="s">
        <v>156</v>
      </c>
      <c r="AE80" s="323"/>
      <c r="AF80" s="323">
        <f>(Bygninger!M80*Q80*1000)/1000</f>
        <v>3.5224500000000001</v>
      </c>
      <c r="AG80" s="323"/>
      <c r="AH80" s="323"/>
      <c r="AI80" s="323"/>
      <c r="AJ80" s="323"/>
    </row>
    <row r="81" spans="1:36">
      <c r="A81" s="306" t="s">
        <v>621</v>
      </c>
      <c r="B81" s="306" t="s">
        <v>133</v>
      </c>
      <c r="C81" s="328">
        <v>4</v>
      </c>
      <c r="D81" s="308">
        <v>5683</v>
      </c>
      <c r="E81" s="306" t="s">
        <v>10</v>
      </c>
      <c r="F81" s="328">
        <v>9512</v>
      </c>
      <c r="G81" s="312">
        <v>98</v>
      </c>
      <c r="H81" s="312">
        <v>1004</v>
      </c>
      <c r="I81" s="321">
        <v>1012</v>
      </c>
      <c r="J81" s="311">
        <f t="shared" si="5"/>
        <v>7.9681274900398405E-3</v>
      </c>
      <c r="K81" s="329" t="s">
        <v>461</v>
      </c>
      <c r="L81" s="313"/>
      <c r="M81" s="313"/>
      <c r="N81" s="311" t="e">
        <f t="shared" si="6"/>
        <v>#DIV/0!</v>
      </c>
      <c r="O81" s="314"/>
      <c r="P81" s="321"/>
      <c r="Q81" s="321"/>
      <c r="R81" s="321"/>
      <c r="S81" s="321"/>
      <c r="T81" s="311"/>
      <c r="U81" s="312"/>
      <c r="V81" s="321"/>
      <c r="W81" s="321"/>
      <c r="X81" s="335"/>
      <c r="Y81" s="311"/>
      <c r="Z81" s="331"/>
      <c r="AA81" s="321"/>
      <c r="AB81" s="321"/>
      <c r="AC81" s="322">
        <v>1945</v>
      </c>
      <c r="AD81" s="322" t="s">
        <v>156</v>
      </c>
      <c r="AE81" s="323"/>
      <c r="AF81" s="323">
        <f>(Bygninger!M81*Q81*1000)/1000</f>
        <v>0</v>
      </c>
      <c r="AG81" s="323"/>
      <c r="AH81" s="323"/>
      <c r="AI81" s="323"/>
      <c r="AJ81" s="323"/>
    </row>
    <row r="82" spans="1:36">
      <c r="A82" s="325" t="s">
        <v>147</v>
      </c>
      <c r="B82" s="325" t="s">
        <v>148</v>
      </c>
      <c r="C82" s="326">
        <v>16</v>
      </c>
      <c r="D82" s="327">
        <v>5683</v>
      </c>
      <c r="E82" s="325" t="s">
        <v>10</v>
      </c>
      <c r="F82" s="326" t="s">
        <v>149</v>
      </c>
      <c r="G82" s="332">
        <v>446</v>
      </c>
      <c r="H82" s="312"/>
      <c r="I82" s="321"/>
      <c r="J82" s="311"/>
      <c r="K82" s="349" t="s">
        <v>595</v>
      </c>
      <c r="L82" s="313"/>
      <c r="M82" s="313"/>
      <c r="N82" s="311" t="e">
        <f t="shared" si="6"/>
        <v>#DIV/0!</v>
      </c>
      <c r="O82" s="314"/>
      <c r="P82" s="335"/>
      <c r="Q82" s="316"/>
      <c r="R82" s="321"/>
      <c r="S82" s="321"/>
      <c r="T82" s="311"/>
      <c r="U82" s="312"/>
      <c r="V82" s="321"/>
      <c r="W82" s="321"/>
      <c r="X82" s="335"/>
      <c r="Y82" s="311"/>
      <c r="Z82" s="331"/>
      <c r="AA82" s="321"/>
      <c r="AB82" s="321"/>
      <c r="AC82" s="322" t="s">
        <v>257</v>
      </c>
      <c r="AD82" s="322" t="s">
        <v>258</v>
      </c>
      <c r="AE82" s="323"/>
      <c r="AF82" s="323">
        <f>(Bygninger!M82*Q82*1000)/1000</f>
        <v>0</v>
      </c>
      <c r="AG82" s="323"/>
      <c r="AH82" s="323"/>
      <c r="AI82" s="323"/>
      <c r="AJ82" s="323"/>
    </row>
    <row r="83" spans="1:36">
      <c r="A83" s="325" t="s">
        <v>437</v>
      </c>
      <c r="B83" s="325" t="s">
        <v>86</v>
      </c>
      <c r="C83" s="326">
        <v>8</v>
      </c>
      <c r="D83" s="327">
        <v>5683</v>
      </c>
      <c r="E83" s="325" t="s">
        <v>10</v>
      </c>
      <c r="F83" s="326">
        <v>10179</v>
      </c>
      <c r="G83" s="332">
        <v>81</v>
      </c>
      <c r="H83" s="312">
        <v>1168</v>
      </c>
      <c r="I83" s="321">
        <v>1139</v>
      </c>
      <c r="J83" s="311">
        <f t="shared" si="5"/>
        <v>-2.482876712328767E-2</v>
      </c>
      <c r="K83" s="329" t="s">
        <v>459</v>
      </c>
      <c r="L83" s="313"/>
      <c r="M83" s="313"/>
      <c r="N83" s="311" t="e">
        <f t="shared" si="6"/>
        <v>#DIV/0!</v>
      </c>
      <c r="O83" s="314"/>
      <c r="P83" s="335"/>
      <c r="Q83" s="316"/>
      <c r="R83" s="321"/>
      <c r="S83" s="321"/>
      <c r="T83" s="311"/>
      <c r="U83" s="312"/>
      <c r="V83" s="321">
        <v>1015</v>
      </c>
      <c r="W83" s="321">
        <v>833</v>
      </c>
      <c r="X83" s="335"/>
      <c r="Y83" s="311">
        <f>(W83-V83)/V83</f>
        <v>-0.1793103448275862</v>
      </c>
      <c r="Z83" s="331"/>
      <c r="AA83" s="321"/>
      <c r="AB83" s="321"/>
      <c r="AC83" s="322">
        <v>1969</v>
      </c>
      <c r="AD83" s="322" t="s">
        <v>156</v>
      </c>
      <c r="AE83" s="323"/>
      <c r="AF83" s="323">
        <f>(Bygninger!M83*Q83*1000)/1000</f>
        <v>0</v>
      </c>
      <c r="AG83" s="323"/>
      <c r="AH83" s="323"/>
      <c r="AI83" s="323"/>
      <c r="AJ83" s="323"/>
    </row>
    <row r="84" spans="1:36">
      <c r="A84" s="325" t="s">
        <v>546</v>
      </c>
      <c r="B84" s="325" t="s">
        <v>43</v>
      </c>
      <c r="C84" s="326">
        <v>3</v>
      </c>
      <c r="D84" s="327">
        <v>5690</v>
      </c>
      <c r="E84" s="325" t="s">
        <v>7</v>
      </c>
      <c r="F84" s="326" t="s">
        <v>106</v>
      </c>
      <c r="G84" s="332">
        <v>106</v>
      </c>
      <c r="H84" s="312"/>
      <c r="I84" s="312"/>
      <c r="J84" s="311"/>
      <c r="K84" s="329" t="s">
        <v>466</v>
      </c>
      <c r="L84" s="313"/>
      <c r="M84" s="313"/>
      <c r="N84" s="311" t="e">
        <f t="shared" si="6"/>
        <v>#DIV/0!</v>
      </c>
      <c r="O84" s="314"/>
      <c r="P84" s="335"/>
      <c r="Q84" s="316"/>
      <c r="R84" s="321"/>
      <c r="S84" s="321"/>
      <c r="T84" s="311"/>
      <c r="U84" s="312"/>
      <c r="V84" s="321"/>
      <c r="W84" s="321"/>
      <c r="X84" s="335"/>
      <c r="Y84" s="311"/>
      <c r="Z84" s="331"/>
      <c r="AA84" s="321"/>
      <c r="AB84" s="321"/>
      <c r="AC84" s="322" t="s">
        <v>259</v>
      </c>
      <c r="AD84" s="322" t="s">
        <v>156</v>
      </c>
      <c r="AE84" s="323"/>
      <c r="AF84" s="323">
        <f>(Bygninger!M84*Q84*1000)/1000</f>
        <v>0</v>
      </c>
      <c r="AG84" s="323"/>
      <c r="AH84" s="323"/>
      <c r="AI84" s="323"/>
      <c r="AJ84" s="323"/>
    </row>
    <row r="85" spans="1:36">
      <c r="A85" s="325" t="s">
        <v>139</v>
      </c>
      <c r="B85" s="325" t="s">
        <v>54</v>
      </c>
      <c r="C85" s="326" t="s">
        <v>92</v>
      </c>
      <c r="D85" s="327">
        <v>5492</v>
      </c>
      <c r="E85" s="325" t="s">
        <v>9</v>
      </c>
      <c r="F85" s="326">
        <v>16784</v>
      </c>
      <c r="G85" s="332">
        <v>439</v>
      </c>
      <c r="H85" s="312">
        <v>12516</v>
      </c>
      <c r="I85" s="321">
        <v>10187</v>
      </c>
      <c r="J85" s="311">
        <f>(I85-H85)/H85</f>
        <v>-0.18608181527644616</v>
      </c>
      <c r="K85" s="329" t="s">
        <v>459</v>
      </c>
      <c r="L85" s="313">
        <v>44.92</v>
      </c>
      <c r="M85" s="334">
        <v>50.935000000000002</v>
      </c>
      <c r="N85" s="311">
        <f t="shared" si="6"/>
        <v>0.13390471950133573</v>
      </c>
      <c r="O85" s="314" t="s">
        <v>485</v>
      </c>
      <c r="P85" s="315" t="s">
        <v>381</v>
      </c>
      <c r="Q85" s="316">
        <f>Forudsætninger!B22</f>
        <v>7.3899999999999993E-2</v>
      </c>
      <c r="R85" s="321"/>
      <c r="S85" s="321"/>
      <c r="T85" s="311"/>
      <c r="U85" s="312"/>
      <c r="V85" s="321"/>
      <c r="W85" s="321"/>
      <c r="X85" s="335"/>
      <c r="Y85" s="311"/>
      <c r="Z85" s="331"/>
      <c r="AA85" s="321"/>
      <c r="AB85" s="321"/>
      <c r="AC85" s="322" t="s">
        <v>243</v>
      </c>
      <c r="AD85" s="322" t="s">
        <v>252</v>
      </c>
      <c r="AE85" s="323"/>
      <c r="AF85" s="323">
        <f>(Bygninger!M85*Q85*1000)/1000</f>
        <v>3.7640965</v>
      </c>
      <c r="AG85" s="323"/>
      <c r="AH85" s="323"/>
      <c r="AI85" s="323"/>
      <c r="AJ85" s="323"/>
    </row>
    <row r="86" spans="1:36" s="305" customFormat="1">
      <c r="A86" s="306" t="s">
        <v>528</v>
      </c>
      <c r="B86" s="306" t="s">
        <v>16</v>
      </c>
      <c r="C86" s="328">
        <v>2</v>
      </c>
      <c r="D86" s="308">
        <v>5492</v>
      </c>
      <c r="E86" s="306" t="s">
        <v>9</v>
      </c>
      <c r="F86" s="328"/>
      <c r="G86" s="321">
        <v>141</v>
      </c>
      <c r="H86" s="321"/>
      <c r="I86" s="321"/>
      <c r="J86" s="311"/>
      <c r="K86" s="329" t="s">
        <v>593</v>
      </c>
      <c r="L86" s="320"/>
      <c r="M86" s="320"/>
      <c r="N86" s="311" t="e">
        <f>(M86-L86)/L86</f>
        <v>#DIV/0!</v>
      </c>
      <c r="O86" s="314"/>
      <c r="P86" s="315"/>
      <c r="Q86" s="316"/>
      <c r="R86" s="320"/>
      <c r="S86" s="320"/>
      <c r="T86" s="311"/>
      <c r="U86" s="269"/>
      <c r="V86" s="320"/>
      <c r="W86" s="320"/>
      <c r="X86" s="317"/>
      <c r="Y86" s="311"/>
      <c r="Z86" s="320"/>
      <c r="AA86" s="321"/>
      <c r="AB86" s="321"/>
      <c r="AC86" s="322"/>
      <c r="AD86" s="322"/>
      <c r="AE86" s="323"/>
      <c r="AF86" s="323">
        <f>(Bygninger!M86*Q86*1000)/1000</f>
        <v>0</v>
      </c>
      <c r="AG86" s="323"/>
      <c r="AH86" s="323"/>
      <c r="AI86" s="323"/>
      <c r="AJ86" s="323"/>
    </row>
    <row r="87" spans="1:36" s="305" customFormat="1">
      <c r="A87" s="306" t="s">
        <v>529</v>
      </c>
      <c r="B87" s="306" t="s">
        <v>16</v>
      </c>
      <c r="C87" s="328" t="s">
        <v>55</v>
      </c>
      <c r="D87" s="308">
        <v>5490</v>
      </c>
      <c r="E87" s="306" t="s">
        <v>9</v>
      </c>
      <c r="F87" s="328"/>
      <c r="G87" s="321">
        <v>588</v>
      </c>
      <c r="H87" s="321"/>
      <c r="I87" s="321"/>
      <c r="J87" s="311"/>
      <c r="K87" s="329" t="s">
        <v>593</v>
      </c>
      <c r="L87" s="320"/>
      <c r="M87" s="320"/>
      <c r="N87" s="311" t="e">
        <f>(M87-L87)/L87</f>
        <v>#DIV/0!</v>
      </c>
      <c r="O87" s="314"/>
      <c r="P87" s="315"/>
      <c r="Q87" s="316"/>
      <c r="R87" s="320"/>
      <c r="S87" s="320"/>
      <c r="T87" s="311"/>
      <c r="U87" s="269"/>
      <c r="V87" s="320"/>
      <c r="W87" s="320"/>
      <c r="X87" s="317"/>
      <c r="Y87" s="311"/>
      <c r="Z87" s="320"/>
      <c r="AA87" s="321"/>
      <c r="AB87" s="321"/>
      <c r="AC87" s="322"/>
      <c r="AD87" s="322"/>
      <c r="AE87" s="323"/>
      <c r="AF87" s="323">
        <f>(Bygninger!M87*Q87*1000)/1000</f>
        <v>0</v>
      </c>
      <c r="AG87" s="323"/>
      <c r="AH87" s="323"/>
      <c r="AI87" s="323"/>
      <c r="AJ87" s="323"/>
    </row>
    <row r="88" spans="1:36">
      <c r="A88" s="325" t="s">
        <v>67</v>
      </c>
      <c r="B88" s="325" t="s">
        <v>38</v>
      </c>
      <c r="C88" s="326" t="s">
        <v>99</v>
      </c>
      <c r="D88" s="327">
        <v>5560</v>
      </c>
      <c r="E88" s="325" t="s">
        <v>5</v>
      </c>
      <c r="F88" s="326">
        <v>18989</v>
      </c>
      <c r="G88" s="332">
        <v>1557</v>
      </c>
      <c r="H88" s="312">
        <v>50550</v>
      </c>
      <c r="I88" s="321">
        <v>52625</v>
      </c>
      <c r="J88" s="311">
        <f>(I88-H88)/H88</f>
        <v>4.1048466864490603E-2</v>
      </c>
      <c r="K88" s="329" t="s">
        <v>459</v>
      </c>
      <c r="L88" s="313"/>
      <c r="M88" s="313"/>
      <c r="N88" s="311"/>
      <c r="O88" s="314"/>
      <c r="P88" s="335"/>
      <c r="Q88" s="316"/>
      <c r="R88" s="321">
        <v>5242</v>
      </c>
      <c r="S88" s="321">
        <v>6134</v>
      </c>
      <c r="T88" s="311">
        <f>(S88-R88)/R88</f>
        <v>0.17016405951926747</v>
      </c>
      <c r="U88" s="330" t="s">
        <v>634</v>
      </c>
      <c r="V88" s="321"/>
      <c r="W88" s="321"/>
      <c r="X88" s="335"/>
      <c r="Y88" s="311"/>
      <c r="Z88" s="331"/>
      <c r="AA88" s="321"/>
      <c r="AB88" s="321"/>
      <c r="AC88" s="322" t="s">
        <v>260</v>
      </c>
      <c r="AD88" s="322" t="s">
        <v>195</v>
      </c>
      <c r="AE88" s="323"/>
      <c r="AF88" s="323">
        <f>(Bygninger!M88*Q88*1000)/1000</f>
        <v>0</v>
      </c>
      <c r="AG88" s="323"/>
      <c r="AH88" s="323"/>
      <c r="AI88" s="323"/>
      <c r="AJ88" s="323"/>
    </row>
    <row r="89" spans="1:36">
      <c r="A89" s="306" t="s">
        <v>618</v>
      </c>
      <c r="B89" s="325" t="s">
        <v>90</v>
      </c>
      <c r="C89" s="340" t="s">
        <v>271</v>
      </c>
      <c r="D89" s="325">
        <v>5683</v>
      </c>
      <c r="E89" s="325" t="s">
        <v>10</v>
      </c>
      <c r="F89" s="326"/>
      <c r="G89" s="332">
        <v>68</v>
      </c>
      <c r="H89" s="312">
        <v>1205</v>
      </c>
      <c r="I89" s="312">
        <v>929</v>
      </c>
      <c r="J89" s="311">
        <f>(I89-H89)/H89</f>
        <v>-0.22904564315352696</v>
      </c>
      <c r="K89" s="329" t="s">
        <v>459</v>
      </c>
      <c r="L89" s="313">
        <v>12.664</v>
      </c>
      <c r="M89" s="313">
        <v>11.608000000000001</v>
      </c>
      <c r="N89" s="311">
        <f>(M89-L89)/L89</f>
        <v>-8.3385975994946238E-2</v>
      </c>
      <c r="O89" s="314" t="s">
        <v>603</v>
      </c>
      <c r="P89" s="315" t="s">
        <v>383</v>
      </c>
      <c r="Q89" s="316">
        <f>Forudsætninger!B20</f>
        <v>0.14299999999999999</v>
      </c>
      <c r="R89" s="312"/>
      <c r="S89" s="312"/>
      <c r="T89" s="311"/>
      <c r="U89" s="312"/>
      <c r="V89" s="312"/>
      <c r="W89" s="312"/>
      <c r="X89" s="335"/>
      <c r="Y89" s="311"/>
      <c r="Z89" s="331"/>
      <c r="AA89" s="321"/>
      <c r="AB89" s="321"/>
      <c r="AC89" s="322"/>
      <c r="AD89" s="322"/>
      <c r="AE89" s="323"/>
      <c r="AF89" s="323">
        <f>(Bygninger!M89*Q89*1000)/1000</f>
        <v>1.6599439999999999</v>
      </c>
      <c r="AG89" s="323"/>
      <c r="AH89" s="323"/>
      <c r="AI89" s="323"/>
      <c r="AJ89" s="323"/>
    </row>
    <row r="90" spans="1:36" collapsed="1">
      <c r="A90" s="294" t="s">
        <v>286</v>
      </c>
      <c r="B90" s="368"/>
      <c r="C90" s="369"/>
      <c r="D90" s="370"/>
      <c r="E90" s="368"/>
      <c r="F90" s="295"/>
      <c r="G90" s="303">
        <f>SUM(G91:G129)</f>
        <v>49488</v>
      </c>
      <c r="H90" s="303">
        <f>SUM(H91:H129)</f>
        <v>1987033.8</v>
      </c>
      <c r="I90" s="303">
        <f>SUM(I91:I129)</f>
        <v>1816881</v>
      </c>
      <c r="J90" s="298"/>
      <c r="K90" s="371"/>
      <c r="L90" s="303">
        <f>SUM(L91:L129)</f>
        <v>3412.3119999999994</v>
      </c>
      <c r="M90" s="303">
        <f>SUM(M91:M129)</f>
        <v>3149.3909999999992</v>
      </c>
      <c r="N90" s="298"/>
      <c r="O90" s="380"/>
      <c r="P90" s="381"/>
      <c r="Q90" s="382"/>
      <c r="R90" s="303">
        <f>SUM(R91:R101)</f>
        <v>14578</v>
      </c>
      <c r="S90" s="303">
        <f>SUM(S91:S101)</f>
        <v>10975</v>
      </c>
      <c r="T90" s="298"/>
      <c r="U90" s="383"/>
      <c r="V90" s="303">
        <f>SUM(V91:V101)</f>
        <v>0</v>
      </c>
      <c r="W90" s="303">
        <f>SUM(W91:W101)</f>
        <v>0</v>
      </c>
      <c r="X90" s="301"/>
      <c r="Y90" s="298"/>
      <c r="Z90" s="303">
        <f>M90*1000+S90*energiindhold_naturgas/3.6+W90*energiindhold_olie/3.6</f>
        <v>3270420.8611111101</v>
      </c>
      <c r="AA90" s="303">
        <f>H90/G90</f>
        <v>40.151830746847722</v>
      </c>
      <c r="AB90" s="303">
        <f>Z90/G90</f>
        <v>66.085128942594366</v>
      </c>
      <c r="AC90" s="304"/>
      <c r="AD90" s="304"/>
      <c r="AE90" s="295">
        <f>(Bygninger!I90*CO2_el)/1000</f>
        <v>795.79387800000006</v>
      </c>
      <c r="AF90" s="295">
        <f>SUM(AF91:AF129)</f>
        <v>33.461955400000001</v>
      </c>
      <c r="AG90" s="295">
        <f>(Bygninger!S90*CO2_naturgas)/1000</f>
        <v>24.638874999999999</v>
      </c>
      <c r="AH90" s="295">
        <f>(Bygninger!W90*CO2_olie)/1000</f>
        <v>0</v>
      </c>
      <c r="AI90" s="295">
        <f>SUM(AF90:AH90)</f>
        <v>58.1008304</v>
      </c>
      <c r="AJ90" s="295">
        <f>AE90+AI90</f>
        <v>853.89470840000001</v>
      </c>
    </row>
    <row r="91" spans="1:36">
      <c r="A91" s="325" t="s">
        <v>508</v>
      </c>
      <c r="B91" s="325" t="s">
        <v>76</v>
      </c>
      <c r="C91" s="326">
        <v>1</v>
      </c>
      <c r="D91" s="327"/>
      <c r="E91" s="325"/>
      <c r="F91" s="326"/>
      <c r="G91" s="332">
        <v>421</v>
      </c>
      <c r="H91" s="312">
        <f>40351+6385</f>
        <v>46736</v>
      </c>
      <c r="I91" s="321">
        <f>38901+5380</f>
        <v>44281</v>
      </c>
      <c r="J91" s="311">
        <f t="shared" ref="J91:J101" si="7">(I91-H91)/H91</f>
        <v>-5.252909962341664E-2</v>
      </c>
      <c r="K91" s="329" t="s">
        <v>620</v>
      </c>
      <c r="L91" s="313">
        <v>57.406999999999996</v>
      </c>
      <c r="M91" s="313">
        <v>56.426000000000002</v>
      </c>
      <c r="N91" s="311">
        <f t="shared" ref="N91:N101" si="8">(M91-L91)/L91</f>
        <v>-1.7088508370059305E-2</v>
      </c>
      <c r="O91" s="314" t="s">
        <v>472</v>
      </c>
      <c r="P91" s="315" t="s">
        <v>380</v>
      </c>
      <c r="Q91" s="316">
        <f>Forudsætninger!B18</f>
        <v>0</v>
      </c>
      <c r="R91" s="321"/>
      <c r="S91" s="321"/>
      <c r="T91" s="311"/>
      <c r="U91" s="387"/>
      <c r="V91" s="321"/>
      <c r="W91" s="321"/>
      <c r="X91" s="335"/>
      <c r="Y91" s="311"/>
      <c r="Z91" s="331"/>
      <c r="AA91" s="321"/>
      <c r="AB91" s="321"/>
      <c r="AC91" s="322"/>
      <c r="AD91" s="322"/>
      <c r="AE91" s="323"/>
      <c r="AF91" s="323">
        <f>(Bygninger!M91*Q91*1000)/1000</f>
        <v>0</v>
      </c>
      <c r="AG91" s="323"/>
      <c r="AH91" s="323"/>
      <c r="AI91" s="323"/>
      <c r="AJ91" s="323"/>
    </row>
    <row r="92" spans="1:36">
      <c r="A92" s="306" t="s">
        <v>532</v>
      </c>
      <c r="B92" s="306" t="s">
        <v>138</v>
      </c>
      <c r="C92" s="328">
        <v>4</v>
      </c>
      <c r="D92" s="308">
        <v>5610</v>
      </c>
      <c r="E92" s="306" t="s">
        <v>12</v>
      </c>
      <c r="F92" s="328">
        <v>2223</v>
      </c>
      <c r="G92" s="312">
        <v>704</v>
      </c>
      <c r="H92" s="312">
        <v>0</v>
      </c>
      <c r="I92" s="321">
        <v>16</v>
      </c>
      <c r="J92" s="311" t="e">
        <f t="shared" si="7"/>
        <v>#DIV/0!</v>
      </c>
      <c r="K92" s="329" t="s">
        <v>459</v>
      </c>
      <c r="L92" s="313">
        <v>36.387999999999998</v>
      </c>
      <c r="M92" s="334">
        <v>35.087000000000003</v>
      </c>
      <c r="N92" s="311">
        <f t="shared" si="8"/>
        <v>-3.5753545124766264E-2</v>
      </c>
      <c r="O92" s="314" t="s">
        <v>468</v>
      </c>
      <c r="P92" s="315" t="s">
        <v>380</v>
      </c>
      <c r="Q92" s="316">
        <f>Forudsætninger!B18</f>
        <v>0</v>
      </c>
      <c r="R92" s="321"/>
      <c r="S92" s="321"/>
      <c r="T92" s="311"/>
      <c r="U92" s="312"/>
      <c r="V92" s="321"/>
      <c r="W92" s="321"/>
      <c r="X92" s="335"/>
      <c r="Y92" s="311"/>
      <c r="Z92" s="331"/>
      <c r="AA92" s="321"/>
      <c r="AB92" s="321"/>
      <c r="AC92" s="322" t="s">
        <v>203</v>
      </c>
      <c r="AD92" s="322" t="s">
        <v>156</v>
      </c>
      <c r="AE92" s="323"/>
      <c r="AF92" s="323">
        <f>(Bygninger!M92*Q92*1000)/1000</f>
        <v>0</v>
      </c>
      <c r="AG92" s="323"/>
      <c r="AH92" s="323"/>
      <c r="AI92" s="323"/>
      <c r="AJ92" s="323"/>
    </row>
    <row r="93" spans="1:36">
      <c r="A93" s="356" t="s">
        <v>533</v>
      </c>
      <c r="B93" s="356" t="s">
        <v>557</v>
      </c>
      <c r="C93" s="357" t="s">
        <v>560</v>
      </c>
      <c r="D93" s="358">
        <v>5610</v>
      </c>
      <c r="E93" s="356" t="s">
        <v>12</v>
      </c>
      <c r="F93" s="357"/>
      <c r="G93" s="360">
        <v>3255</v>
      </c>
      <c r="H93" s="359">
        <v>131231</v>
      </c>
      <c r="I93" s="360">
        <v>153112</v>
      </c>
      <c r="J93" s="361">
        <f t="shared" si="7"/>
        <v>0.16673651804832701</v>
      </c>
      <c r="K93" s="362"/>
      <c r="L93" s="375">
        <v>571.57999999999993</v>
      </c>
      <c r="M93" s="375">
        <v>429.25</v>
      </c>
      <c r="N93" s="361">
        <f t="shared" si="8"/>
        <v>-0.24901151194933333</v>
      </c>
      <c r="O93" s="376"/>
      <c r="P93" s="438" t="s">
        <v>380</v>
      </c>
      <c r="Q93" s="437">
        <f>Forudsætninger!B17</f>
        <v>0</v>
      </c>
      <c r="R93" s="360"/>
      <c r="S93" s="360"/>
      <c r="T93" s="361" t="e">
        <f t="shared" ref="T93:T101" si="9">(S93-R93)/R93</f>
        <v>#DIV/0!</v>
      </c>
      <c r="U93" s="359"/>
      <c r="V93" s="360"/>
      <c r="W93" s="360"/>
      <c r="X93" s="388"/>
      <c r="Y93" s="361"/>
      <c r="Z93" s="331"/>
      <c r="AA93" s="321"/>
      <c r="AB93" s="321"/>
      <c r="AC93" s="322"/>
      <c r="AD93" s="322"/>
      <c r="AE93" s="323"/>
      <c r="AF93" s="323">
        <f>(Bygninger!M93*Q93*1000)/1000</f>
        <v>0</v>
      </c>
      <c r="AG93" s="323"/>
      <c r="AH93" s="323"/>
      <c r="AI93" s="323"/>
      <c r="AJ93" s="323"/>
    </row>
    <row r="94" spans="1:36">
      <c r="A94" s="325" t="s">
        <v>534</v>
      </c>
      <c r="B94" s="325" t="s">
        <v>441</v>
      </c>
      <c r="C94" s="326">
        <v>14</v>
      </c>
      <c r="D94" s="327">
        <v>5610</v>
      </c>
      <c r="E94" s="325" t="s">
        <v>12</v>
      </c>
      <c r="F94" s="326"/>
      <c r="G94" s="332">
        <v>6894</v>
      </c>
      <c r="H94" s="312">
        <v>27329</v>
      </c>
      <c r="I94" s="321">
        <v>24455</v>
      </c>
      <c r="J94" s="311">
        <f t="shared" si="7"/>
        <v>-0.10516301364850525</v>
      </c>
      <c r="K94" s="329" t="s">
        <v>459</v>
      </c>
      <c r="L94" s="334">
        <v>578</v>
      </c>
      <c r="M94" s="334">
        <v>421.53999999999996</v>
      </c>
      <c r="N94" s="311">
        <f t="shared" si="8"/>
        <v>-0.27069204152249143</v>
      </c>
      <c r="O94" s="314" t="s">
        <v>469</v>
      </c>
      <c r="P94" s="315" t="s">
        <v>380</v>
      </c>
      <c r="Q94" s="316">
        <f>Forudsætninger!B17</f>
        <v>0</v>
      </c>
      <c r="R94" s="321"/>
      <c r="S94" s="321"/>
      <c r="T94" s="311"/>
      <c r="U94" s="387"/>
      <c r="V94" s="321"/>
      <c r="W94" s="321"/>
      <c r="X94" s="335"/>
      <c r="Y94" s="311"/>
      <c r="Z94" s="331"/>
      <c r="AA94" s="321"/>
      <c r="AB94" s="321"/>
      <c r="AC94" s="322" t="s">
        <v>430</v>
      </c>
      <c r="AD94" s="322">
        <v>1998</v>
      </c>
      <c r="AE94" s="323"/>
      <c r="AF94" s="323">
        <f>(Bygninger!M94*Q94*1000)/1000</f>
        <v>0</v>
      </c>
      <c r="AG94" s="323"/>
      <c r="AH94" s="323"/>
      <c r="AI94" s="323"/>
      <c r="AJ94" s="323"/>
    </row>
    <row r="95" spans="1:36">
      <c r="A95" s="325" t="s">
        <v>535</v>
      </c>
      <c r="B95" s="325" t="s">
        <v>11</v>
      </c>
      <c r="C95" s="326">
        <v>15</v>
      </c>
      <c r="D95" s="327">
        <v>5610</v>
      </c>
      <c r="E95" s="325" t="s">
        <v>12</v>
      </c>
      <c r="F95" s="326">
        <v>5511</v>
      </c>
      <c r="G95" s="332">
        <v>2775</v>
      </c>
      <c r="H95" s="312">
        <v>101950</v>
      </c>
      <c r="I95" s="321">
        <v>62301</v>
      </c>
      <c r="J95" s="311">
        <f t="shared" si="7"/>
        <v>-0.38890632663070135</v>
      </c>
      <c r="K95" s="329" t="s">
        <v>459</v>
      </c>
      <c r="L95" s="313">
        <v>174.83</v>
      </c>
      <c r="M95" s="337">
        <v>162.94999999999999</v>
      </c>
      <c r="N95" s="311">
        <f t="shared" si="8"/>
        <v>-6.7951724532403043E-2</v>
      </c>
      <c r="O95" s="351" t="s">
        <v>469</v>
      </c>
      <c r="P95" s="315" t="s">
        <v>380</v>
      </c>
      <c r="Q95" s="316">
        <f>Forudsætninger!B18</f>
        <v>0</v>
      </c>
      <c r="R95" s="321"/>
      <c r="S95" s="321"/>
      <c r="T95" s="311"/>
      <c r="U95" s="312"/>
      <c r="V95" s="321"/>
      <c r="W95" s="321"/>
      <c r="X95" s="335"/>
      <c r="Y95" s="311"/>
      <c r="Z95" s="331"/>
      <c r="AA95" s="321"/>
      <c r="AB95" s="321"/>
      <c r="AC95" s="322">
        <v>2003</v>
      </c>
      <c r="AD95" s="322" t="s">
        <v>156</v>
      </c>
      <c r="AE95" s="323"/>
      <c r="AF95" s="323">
        <f>(Bygninger!M95*Q95*1000)/1000</f>
        <v>0</v>
      </c>
      <c r="AG95" s="323"/>
      <c r="AH95" s="323"/>
      <c r="AI95" s="323"/>
      <c r="AJ95" s="323"/>
    </row>
    <row r="96" spans="1:36">
      <c r="A96" s="306" t="s">
        <v>565</v>
      </c>
      <c r="B96" s="306" t="s">
        <v>146</v>
      </c>
      <c r="C96" s="328">
        <v>32</v>
      </c>
      <c r="D96" s="308">
        <v>5620</v>
      </c>
      <c r="E96" s="306" t="s">
        <v>13</v>
      </c>
      <c r="F96" s="328">
        <v>7213</v>
      </c>
      <c r="G96" s="312">
        <v>335</v>
      </c>
      <c r="H96" s="312">
        <v>2663</v>
      </c>
      <c r="I96" s="321">
        <v>1333</v>
      </c>
      <c r="J96" s="311">
        <f t="shared" si="7"/>
        <v>-0.49943672549755913</v>
      </c>
      <c r="K96" s="329" t="s">
        <v>459</v>
      </c>
      <c r="L96" s="313"/>
      <c r="M96" s="313"/>
      <c r="N96" s="311"/>
      <c r="O96" s="314"/>
      <c r="P96" s="335"/>
      <c r="Q96" s="316"/>
      <c r="R96" s="321">
        <v>2330</v>
      </c>
      <c r="S96" s="321">
        <v>2724</v>
      </c>
      <c r="T96" s="311">
        <f t="shared" si="9"/>
        <v>0.16909871244635194</v>
      </c>
      <c r="U96" s="330" t="s">
        <v>634</v>
      </c>
      <c r="V96" s="321"/>
      <c r="W96" s="321"/>
      <c r="X96" s="335"/>
      <c r="Y96" s="311"/>
      <c r="Z96" s="331"/>
      <c r="AA96" s="321"/>
      <c r="AB96" s="321"/>
      <c r="AC96" s="322">
        <v>1922</v>
      </c>
      <c r="AD96" s="322" t="s">
        <v>163</v>
      </c>
      <c r="AE96" s="323"/>
      <c r="AF96" s="323">
        <f>(Bygninger!M96*Q96*1000)/1000</f>
        <v>0</v>
      </c>
      <c r="AG96" s="323"/>
      <c r="AH96" s="323"/>
      <c r="AI96" s="323"/>
      <c r="AJ96" s="323"/>
    </row>
    <row r="97" spans="1:38">
      <c r="A97" s="325" t="s">
        <v>64</v>
      </c>
      <c r="B97" s="325" t="s">
        <v>46</v>
      </c>
      <c r="C97" s="328">
        <v>101</v>
      </c>
      <c r="D97" s="308">
        <v>5690</v>
      </c>
      <c r="E97" s="325" t="s">
        <v>7</v>
      </c>
      <c r="F97" s="328">
        <v>11469</v>
      </c>
      <c r="G97" s="312">
        <v>2046</v>
      </c>
      <c r="H97" s="312">
        <v>17172</v>
      </c>
      <c r="I97" s="321">
        <v>12450</v>
      </c>
      <c r="J97" s="311">
        <f t="shared" si="7"/>
        <v>-0.27498252969951081</v>
      </c>
      <c r="K97" s="329" t="s">
        <v>459</v>
      </c>
      <c r="L97" s="313"/>
      <c r="M97" s="313"/>
      <c r="N97" s="311"/>
      <c r="O97" s="314"/>
      <c r="P97" s="315"/>
      <c r="Q97" s="316"/>
      <c r="R97" s="321">
        <v>10407</v>
      </c>
      <c r="S97" s="321">
        <v>6410</v>
      </c>
      <c r="T97" s="311">
        <f>(S97-R97)/R97</f>
        <v>-0.38406841548957432</v>
      </c>
      <c r="U97" s="330" t="s">
        <v>634</v>
      </c>
      <c r="V97" s="321"/>
      <c r="W97" s="321"/>
      <c r="X97" s="335"/>
      <c r="Y97" s="311"/>
      <c r="Z97" s="331"/>
      <c r="AA97" s="321"/>
      <c r="AB97" s="321"/>
      <c r="AC97" s="322" t="s">
        <v>246</v>
      </c>
      <c r="AD97" s="322" t="s">
        <v>247</v>
      </c>
      <c r="AE97" s="323"/>
      <c r="AF97" s="323">
        <f>(Bygninger!M97*Q97*1000)/1000</f>
        <v>0</v>
      </c>
      <c r="AG97" s="323"/>
      <c r="AH97" s="323"/>
      <c r="AI97" s="323"/>
      <c r="AJ97" s="323"/>
    </row>
    <row r="98" spans="1:38">
      <c r="A98" s="325" t="s">
        <v>536</v>
      </c>
      <c r="B98" s="325" t="s">
        <v>43</v>
      </c>
      <c r="C98" s="326" t="s">
        <v>151</v>
      </c>
      <c r="D98" s="327">
        <v>5690</v>
      </c>
      <c r="E98" s="325" t="s">
        <v>7</v>
      </c>
      <c r="F98" s="326" t="s">
        <v>153</v>
      </c>
      <c r="G98" s="332">
        <v>135</v>
      </c>
      <c r="H98" s="312"/>
      <c r="I98" s="312"/>
      <c r="J98" s="311"/>
      <c r="K98" s="390" t="s">
        <v>460</v>
      </c>
      <c r="L98" s="313"/>
      <c r="M98" s="313"/>
      <c r="N98" s="311"/>
      <c r="O98" s="325"/>
      <c r="P98" s="335"/>
      <c r="Q98" s="316"/>
      <c r="R98" s="321">
        <v>1841</v>
      </c>
      <c r="S98" s="433">
        <v>1841</v>
      </c>
      <c r="T98" s="311">
        <f t="shared" si="9"/>
        <v>0</v>
      </c>
      <c r="U98" s="330" t="s">
        <v>478</v>
      </c>
      <c r="V98" s="321"/>
      <c r="W98" s="321"/>
      <c r="X98" s="335"/>
      <c r="Y98" s="311"/>
      <c r="Z98" s="331"/>
      <c r="AA98" s="321"/>
      <c r="AB98" s="321"/>
      <c r="AC98" s="322">
        <v>1700</v>
      </c>
      <c r="AD98" s="322">
        <v>1997</v>
      </c>
      <c r="AE98" s="323"/>
      <c r="AF98" s="323">
        <f>(Bygninger!M98*Q98*1000)/1000</f>
        <v>0</v>
      </c>
      <c r="AG98" s="323"/>
      <c r="AH98" s="323"/>
      <c r="AI98" s="323"/>
      <c r="AJ98" s="323"/>
    </row>
    <row r="99" spans="1:38">
      <c r="A99" s="356" t="s">
        <v>537</v>
      </c>
      <c r="B99" s="356" t="s">
        <v>62</v>
      </c>
      <c r="C99" s="357">
        <v>1</v>
      </c>
      <c r="D99" s="358">
        <v>5690</v>
      </c>
      <c r="E99" s="356" t="s">
        <v>7</v>
      </c>
      <c r="F99" s="357"/>
      <c r="G99" s="360">
        <v>296</v>
      </c>
      <c r="H99" s="359">
        <v>345</v>
      </c>
      <c r="I99" s="360">
        <v>191</v>
      </c>
      <c r="J99" s="361">
        <f t="shared" si="7"/>
        <v>-0.44637681159420289</v>
      </c>
      <c r="K99" s="362" t="s">
        <v>459</v>
      </c>
      <c r="L99" s="365"/>
      <c r="M99" s="365"/>
      <c r="N99" s="361" t="e">
        <f t="shared" si="8"/>
        <v>#DIV/0!</v>
      </c>
      <c r="O99" s="376"/>
      <c r="P99" s="363"/>
      <c r="Q99" s="364"/>
      <c r="R99" s="388"/>
      <c r="S99" s="363"/>
      <c r="T99" s="361" t="e">
        <f t="shared" si="9"/>
        <v>#DIV/0!</v>
      </c>
      <c r="U99" s="389"/>
      <c r="V99" s="388"/>
      <c r="W99" s="388"/>
      <c r="X99" s="388"/>
      <c r="Y99" s="361"/>
      <c r="Z99" s="331"/>
      <c r="AA99" s="321"/>
      <c r="AB99" s="321"/>
      <c r="AC99" s="322"/>
      <c r="AD99" s="322"/>
      <c r="AE99" s="323"/>
      <c r="AF99" s="323">
        <f>(Bygninger!M99*Q99*1000)/1000</f>
        <v>0</v>
      </c>
      <c r="AG99" s="323"/>
      <c r="AH99" s="323"/>
      <c r="AI99" s="323"/>
      <c r="AJ99" s="323"/>
    </row>
    <row r="100" spans="1:38">
      <c r="A100" s="306" t="s">
        <v>139</v>
      </c>
      <c r="B100" s="306" t="s">
        <v>54</v>
      </c>
      <c r="C100" s="328" t="s">
        <v>92</v>
      </c>
      <c r="D100" s="308">
        <v>5492</v>
      </c>
      <c r="E100" s="306" t="s">
        <v>9</v>
      </c>
      <c r="F100" s="328"/>
      <c r="G100" s="321">
        <v>439</v>
      </c>
      <c r="H100" s="312">
        <v>50550</v>
      </c>
      <c r="I100" s="321">
        <v>52625</v>
      </c>
      <c r="J100" s="311">
        <f t="shared" si="7"/>
        <v>4.1048466864490603E-2</v>
      </c>
      <c r="K100" s="329" t="s">
        <v>459</v>
      </c>
      <c r="L100" s="313"/>
      <c r="M100" s="313"/>
      <c r="N100" s="311" t="e">
        <f t="shared" si="8"/>
        <v>#DIV/0!</v>
      </c>
      <c r="O100" s="314"/>
      <c r="P100" s="315"/>
      <c r="Q100" s="316"/>
      <c r="R100" s="335"/>
      <c r="S100" s="315"/>
      <c r="T100" s="311" t="e">
        <f t="shared" si="9"/>
        <v>#DIV/0!</v>
      </c>
      <c r="U100" s="330"/>
      <c r="V100" s="335"/>
      <c r="W100" s="335"/>
      <c r="X100" s="335"/>
      <c r="Y100" s="311"/>
      <c r="Z100" s="320"/>
      <c r="AA100" s="321"/>
      <c r="AB100" s="321"/>
      <c r="AC100" s="322"/>
      <c r="AD100" s="322"/>
      <c r="AE100" s="323"/>
      <c r="AF100" s="323">
        <f>(Bygninger!M100*Q100*1000)/1000</f>
        <v>0</v>
      </c>
      <c r="AG100" s="323"/>
      <c r="AH100" s="323"/>
      <c r="AI100" s="323"/>
      <c r="AJ100" s="323"/>
    </row>
    <row r="101" spans="1:38">
      <c r="A101" s="356" t="s">
        <v>538</v>
      </c>
      <c r="B101" s="356" t="s">
        <v>35</v>
      </c>
      <c r="C101" s="357">
        <v>59</v>
      </c>
      <c r="D101" s="358">
        <v>5560</v>
      </c>
      <c r="E101" s="356" t="s">
        <v>5</v>
      </c>
      <c r="F101" s="357"/>
      <c r="G101" s="360">
        <v>842</v>
      </c>
      <c r="H101" s="359">
        <v>14641</v>
      </c>
      <c r="I101" s="360">
        <v>4005</v>
      </c>
      <c r="J101" s="361">
        <f t="shared" si="7"/>
        <v>-0.72645311112628919</v>
      </c>
      <c r="K101" s="362" t="s">
        <v>459</v>
      </c>
      <c r="L101" s="365"/>
      <c r="M101" s="365"/>
      <c r="N101" s="361" t="e">
        <f t="shared" si="8"/>
        <v>#DIV/0!</v>
      </c>
      <c r="O101" s="376"/>
      <c r="P101" s="363"/>
      <c r="Q101" s="364"/>
      <c r="R101" s="388"/>
      <c r="S101" s="363"/>
      <c r="T101" s="361" t="e">
        <f t="shared" si="9"/>
        <v>#DIV/0!</v>
      </c>
      <c r="U101" s="389"/>
      <c r="V101" s="388"/>
      <c r="W101" s="388"/>
      <c r="X101" s="388"/>
      <c r="Y101" s="361"/>
      <c r="Z101" s="331"/>
      <c r="AA101" s="321"/>
      <c r="AB101" s="321"/>
      <c r="AC101" s="322"/>
      <c r="AD101" s="322"/>
      <c r="AE101" s="323"/>
      <c r="AF101" s="323">
        <f>(Bygninger!M101*Q101*1000)/1000</f>
        <v>0</v>
      </c>
      <c r="AG101" s="323"/>
      <c r="AH101" s="323"/>
      <c r="AI101" s="323"/>
      <c r="AJ101" s="323"/>
    </row>
    <row r="102" spans="1:38">
      <c r="A102" s="384" t="s">
        <v>548</v>
      </c>
      <c r="B102" s="306"/>
      <c r="C102" s="328"/>
      <c r="D102" s="308"/>
      <c r="E102" s="306"/>
      <c r="F102" s="328"/>
      <c r="G102" s="321"/>
      <c r="H102" s="391"/>
      <c r="I102" s="321"/>
      <c r="J102" s="311"/>
      <c r="K102" s="329"/>
      <c r="L102" s="313"/>
      <c r="M102" s="313"/>
      <c r="N102" s="311"/>
      <c r="O102" s="314"/>
      <c r="P102" s="315"/>
      <c r="Q102" s="316"/>
      <c r="R102" s="335"/>
      <c r="S102" s="315"/>
      <c r="T102" s="311"/>
      <c r="U102" s="330"/>
      <c r="V102" s="335"/>
      <c r="W102" s="335"/>
      <c r="X102" s="335"/>
      <c r="Y102" s="311"/>
      <c r="Z102" s="331"/>
      <c r="AA102" s="321"/>
      <c r="AB102" s="321"/>
      <c r="AC102" s="322"/>
      <c r="AD102" s="322"/>
      <c r="AE102" s="323"/>
      <c r="AF102" s="323">
        <f>(Bygninger!M102*Q102*1000)/1000</f>
        <v>0</v>
      </c>
      <c r="AG102" s="323"/>
      <c r="AH102" s="323"/>
      <c r="AI102" s="323"/>
      <c r="AJ102" s="323"/>
    </row>
    <row r="103" spans="1:38">
      <c r="A103" s="306" t="s">
        <v>514</v>
      </c>
      <c r="B103" s="306" t="s">
        <v>445</v>
      </c>
      <c r="C103" s="328" t="s">
        <v>446</v>
      </c>
      <c r="D103" s="308">
        <v>5620</v>
      </c>
      <c r="E103" s="306" t="s">
        <v>13</v>
      </c>
      <c r="F103" s="328"/>
      <c r="G103" s="321">
        <v>1986</v>
      </c>
      <c r="H103" s="312">
        <v>45690</v>
      </c>
      <c r="I103" s="321">
        <v>49906</v>
      </c>
      <c r="J103" s="311">
        <f t="shared" ref="J103:J116" si="10">(I103-H103)/H103</f>
        <v>9.2274020573429635E-2</v>
      </c>
      <c r="K103" s="329" t="s">
        <v>459</v>
      </c>
      <c r="L103" s="313">
        <v>154.47999999999999</v>
      </c>
      <c r="M103" s="313">
        <v>119.72</v>
      </c>
      <c r="N103" s="311">
        <f>(M103-L103)/L103</f>
        <v>-0.22501294665976174</v>
      </c>
      <c r="O103" s="314" t="s">
        <v>614</v>
      </c>
      <c r="P103" s="315" t="s">
        <v>382</v>
      </c>
      <c r="Q103" s="316">
        <f>Forudsætninger!B19</f>
        <v>0.1021</v>
      </c>
      <c r="R103" s="321"/>
      <c r="S103" s="313"/>
      <c r="T103" s="311"/>
      <c r="U103" s="330"/>
      <c r="V103" s="321"/>
      <c r="W103" s="321"/>
      <c r="X103" s="335"/>
      <c r="Y103" s="311"/>
      <c r="Z103" s="331"/>
      <c r="AA103" s="321"/>
      <c r="AB103" s="321"/>
      <c r="AC103" s="322"/>
      <c r="AD103" s="322"/>
      <c r="AE103" s="323"/>
      <c r="AF103" s="323">
        <f>(Bygninger!M103*Q103*1000)/1000</f>
        <v>12.223412</v>
      </c>
      <c r="AG103" s="323"/>
      <c r="AH103" s="323"/>
      <c r="AI103" s="323"/>
      <c r="AJ103" s="323"/>
    </row>
    <row r="104" spans="1:38">
      <c r="A104" s="306" t="s">
        <v>516</v>
      </c>
      <c r="B104" s="306" t="s">
        <v>66</v>
      </c>
      <c r="C104" s="328">
        <v>57</v>
      </c>
      <c r="D104" s="308">
        <v>5620</v>
      </c>
      <c r="E104" s="306" t="s">
        <v>13</v>
      </c>
      <c r="F104" s="328">
        <v>7486</v>
      </c>
      <c r="G104" s="321">
        <v>234</v>
      </c>
      <c r="H104" s="312">
        <v>1947</v>
      </c>
      <c r="I104" s="321">
        <v>1630</v>
      </c>
      <c r="J104" s="311">
        <f t="shared" si="10"/>
        <v>-0.16281458654340011</v>
      </c>
      <c r="K104" s="329" t="s">
        <v>459</v>
      </c>
      <c r="L104" s="313">
        <v>25.01</v>
      </c>
      <c r="M104" s="313">
        <v>22.14</v>
      </c>
      <c r="N104" s="311">
        <f>(M104-L104)/L104</f>
        <v>-0.11475409836065577</v>
      </c>
      <c r="O104" s="329" t="s">
        <v>611</v>
      </c>
      <c r="P104" s="315" t="s">
        <v>382</v>
      </c>
      <c r="Q104" s="316">
        <f>Forudsætninger!B19</f>
        <v>0.1021</v>
      </c>
      <c r="R104" s="321"/>
      <c r="S104" s="313"/>
      <c r="T104" s="311"/>
      <c r="U104" s="392"/>
      <c r="V104" s="321"/>
      <c r="W104" s="321"/>
      <c r="X104" s="335"/>
      <c r="Y104" s="311"/>
      <c r="Z104" s="331"/>
      <c r="AA104" s="321"/>
      <c r="AB104" s="321"/>
      <c r="AC104" s="322">
        <v>1908</v>
      </c>
      <c r="AD104" s="322">
        <v>1989</v>
      </c>
      <c r="AE104" s="323"/>
      <c r="AF104" s="323">
        <f>(Bygninger!M104*Q104*1000)/1000</f>
        <v>2.260494</v>
      </c>
      <c r="AG104" s="323"/>
      <c r="AH104" s="323"/>
      <c r="AI104" s="323"/>
      <c r="AJ104" s="323"/>
    </row>
    <row r="105" spans="1:38">
      <c r="A105" s="306" t="s">
        <v>519</v>
      </c>
      <c r="B105" s="325" t="s">
        <v>15</v>
      </c>
      <c r="C105" s="326">
        <v>2</v>
      </c>
      <c r="D105" s="327">
        <v>5690</v>
      </c>
      <c r="E105" s="325" t="s">
        <v>7</v>
      </c>
      <c r="F105" s="328">
        <v>12837</v>
      </c>
      <c r="G105" s="321">
        <v>230</v>
      </c>
      <c r="H105" s="312">
        <v>13484</v>
      </c>
      <c r="I105" s="321">
        <v>12693</v>
      </c>
      <c r="J105" s="311">
        <f t="shared" si="10"/>
        <v>-5.8662118065855827E-2</v>
      </c>
      <c r="K105" s="329" t="s">
        <v>459</v>
      </c>
      <c r="L105" s="313">
        <v>45.984000000000002</v>
      </c>
      <c r="M105" s="337">
        <v>47.262</v>
      </c>
      <c r="N105" s="311">
        <f>(M105-L105)/L105</f>
        <v>2.7792275574112707E-2</v>
      </c>
      <c r="O105" s="372"/>
      <c r="P105" s="315" t="s">
        <v>410</v>
      </c>
      <c r="Q105" s="316">
        <f>Forudsætninger!B21</f>
        <v>1.0200000000000001E-2</v>
      </c>
      <c r="R105" s="321"/>
      <c r="S105" s="313"/>
      <c r="T105" s="311"/>
      <c r="U105" s="312"/>
      <c r="V105" s="321"/>
      <c r="W105" s="321"/>
      <c r="X105" s="335"/>
      <c r="Y105" s="311"/>
      <c r="Z105" s="331"/>
      <c r="AA105" s="321"/>
      <c r="AB105" s="321"/>
      <c r="AC105" s="322">
        <v>1969</v>
      </c>
      <c r="AD105" s="322" t="s">
        <v>156</v>
      </c>
      <c r="AE105" s="323"/>
      <c r="AF105" s="323">
        <f>(Bygninger!M105*Q105*1000)/1000</f>
        <v>0.48207240000000001</v>
      </c>
      <c r="AG105" s="323"/>
      <c r="AH105" s="323"/>
      <c r="AI105" s="323"/>
      <c r="AJ105" s="323"/>
    </row>
    <row r="106" spans="1:38">
      <c r="A106" s="306" t="s">
        <v>524</v>
      </c>
      <c r="B106" s="325" t="s">
        <v>74</v>
      </c>
      <c r="C106" s="326">
        <v>4</v>
      </c>
      <c r="D106" s="327">
        <v>5560</v>
      </c>
      <c r="E106" s="325" t="s">
        <v>5</v>
      </c>
      <c r="F106" s="326">
        <v>18439</v>
      </c>
      <c r="G106" s="336">
        <v>1292</v>
      </c>
      <c r="H106" s="312">
        <v>87710</v>
      </c>
      <c r="I106" s="321">
        <v>98036</v>
      </c>
      <c r="J106" s="311">
        <f t="shared" si="10"/>
        <v>0.11772887926120169</v>
      </c>
      <c r="K106" s="329" t="s">
        <v>462</v>
      </c>
      <c r="L106" s="313"/>
      <c r="M106" s="313"/>
      <c r="N106" s="311"/>
      <c r="O106" s="314"/>
      <c r="P106" s="335"/>
      <c r="Q106" s="316"/>
      <c r="R106" s="321"/>
      <c r="S106" s="313"/>
      <c r="T106" s="311"/>
      <c r="U106" s="312"/>
      <c r="V106" s="321">
        <v>8198</v>
      </c>
      <c r="W106" s="321">
        <v>0</v>
      </c>
      <c r="X106" s="335" t="s">
        <v>628</v>
      </c>
      <c r="Y106" s="311">
        <f>(W106-V106)/V106</f>
        <v>-1</v>
      </c>
      <c r="Z106" s="331"/>
      <c r="AA106" s="321"/>
      <c r="AB106" s="321"/>
      <c r="AC106" s="322">
        <v>1959</v>
      </c>
      <c r="AD106" s="322">
        <v>1988</v>
      </c>
      <c r="AE106" s="323"/>
      <c r="AF106" s="323">
        <f>(Bygninger!M106*Q106*1000)/1000</f>
        <v>0</v>
      </c>
      <c r="AG106" s="323"/>
      <c r="AH106" s="323"/>
      <c r="AI106" s="323"/>
      <c r="AJ106" s="323"/>
    </row>
    <row r="107" spans="1:38">
      <c r="A107" s="306" t="s">
        <v>523</v>
      </c>
      <c r="B107" s="325" t="s">
        <v>73</v>
      </c>
      <c r="C107" s="328" t="s">
        <v>607</v>
      </c>
      <c r="D107" s="308">
        <v>5560</v>
      </c>
      <c r="E107" s="325" t="s">
        <v>5</v>
      </c>
      <c r="F107" s="328">
        <v>18133</v>
      </c>
      <c r="G107" s="321">
        <f>3345+629+783+1028</f>
        <v>5785</v>
      </c>
      <c r="H107" s="312">
        <f>261470+64183</f>
        <v>325653</v>
      </c>
      <c r="I107" s="321">
        <f>62189+203492</f>
        <v>265681</v>
      </c>
      <c r="J107" s="311">
        <f t="shared" si="10"/>
        <v>-0.18415921241321284</v>
      </c>
      <c r="K107" s="329" t="s">
        <v>606</v>
      </c>
      <c r="L107" s="313"/>
      <c r="M107" s="313"/>
      <c r="N107" s="311"/>
      <c r="O107" s="314"/>
      <c r="P107" s="335"/>
      <c r="Q107" s="316"/>
      <c r="R107" s="321">
        <f>54500+12865</f>
        <v>67365</v>
      </c>
      <c r="S107" s="433">
        <f>54500+12865</f>
        <v>67365</v>
      </c>
      <c r="T107" s="311">
        <f>(S107-R107)/R107</f>
        <v>0</v>
      </c>
      <c r="U107" s="330" t="s">
        <v>478</v>
      </c>
      <c r="V107" s="321"/>
      <c r="W107" s="321"/>
      <c r="X107" s="335"/>
      <c r="Y107" s="311"/>
      <c r="Z107" s="331"/>
      <c r="AA107" s="321"/>
      <c r="AB107" s="321"/>
      <c r="AC107" s="322" t="s">
        <v>249</v>
      </c>
      <c r="AD107" s="322" t="s">
        <v>181</v>
      </c>
      <c r="AE107" s="323"/>
      <c r="AF107" s="323">
        <f>(Bygninger!M107*Q107*1000)/1000</f>
        <v>0</v>
      </c>
      <c r="AG107" s="323"/>
      <c r="AH107" s="323"/>
      <c r="AI107" s="323"/>
      <c r="AJ107" s="323"/>
      <c r="AL107" s="393"/>
    </row>
    <row r="108" spans="1:38">
      <c r="A108" s="356" t="s">
        <v>522</v>
      </c>
      <c r="B108" s="356" t="s">
        <v>63</v>
      </c>
      <c r="C108" s="357" t="s">
        <v>545</v>
      </c>
      <c r="D108" s="358">
        <v>5690</v>
      </c>
      <c r="E108" s="356" t="s">
        <v>7</v>
      </c>
      <c r="F108" s="357"/>
      <c r="G108" s="360">
        <v>784</v>
      </c>
      <c r="H108" s="359">
        <v>45069</v>
      </c>
      <c r="I108" s="360">
        <v>45407</v>
      </c>
      <c r="J108" s="361">
        <f t="shared" si="10"/>
        <v>7.499611706494486E-3</v>
      </c>
      <c r="K108" s="362"/>
      <c r="L108" s="365"/>
      <c r="M108" s="365"/>
      <c r="N108" s="361" t="e">
        <f>(M108-L108)/L108</f>
        <v>#DIV/0!</v>
      </c>
      <c r="O108" s="376"/>
      <c r="P108" s="363"/>
      <c r="Q108" s="364"/>
      <c r="R108" s="360"/>
      <c r="S108" s="365"/>
      <c r="T108" s="361" t="e">
        <f>(S108-R108)/R108</f>
        <v>#DIV/0!</v>
      </c>
      <c r="U108" s="359"/>
      <c r="V108" s="360"/>
      <c r="W108" s="360"/>
      <c r="X108" s="388"/>
      <c r="Y108" s="361"/>
      <c r="Z108" s="331"/>
      <c r="AA108" s="321"/>
      <c r="AB108" s="321"/>
      <c r="AC108" s="322"/>
      <c r="AD108" s="322"/>
      <c r="AE108" s="323"/>
      <c r="AF108" s="323">
        <f>(Bygninger!M108*Q108*1000)/1000</f>
        <v>0</v>
      </c>
      <c r="AG108" s="323"/>
      <c r="AH108" s="323"/>
      <c r="AI108" s="323"/>
      <c r="AJ108" s="323"/>
    </row>
    <row r="109" spans="1:38">
      <c r="A109" s="306" t="s">
        <v>509</v>
      </c>
      <c r="B109" s="325" t="s">
        <v>56</v>
      </c>
      <c r="C109" s="328" t="s">
        <v>93</v>
      </c>
      <c r="D109" s="308">
        <v>5610</v>
      </c>
      <c r="E109" s="325" t="s">
        <v>12</v>
      </c>
      <c r="F109" s="328">
        <v>5523</v>
      </c>
      <c r="G109" s="321">
        <v>1989</v>
      </c>
      <c r="H109" s="419"/>
      <c r="I109" s="419"/>
      <c r="J109" s="311" t="e">
        <f>(I109-H109)/H109</f>
        <v>#DIV/0!</v>
      </c>
      <c r="K109" s="329" t="s">
        <v>611</v>
      </c>
      <c r="L109" s="334">
        <v>248.65</v>
      </c>
      <c r="M109" s="337">
        <v>202.24199999999999</v>
      </c>
      <c r="N109" s="311">
        <f>(M109-L109)/L109</f>
        <v>-0.18663985521817822</v>
      </c>
      <c r="O109" s="314" t="s">
        <v>469</v>
      </c>
      <c r="P109" s="315" t="s">
        <v>380</v>
      </c>
      <c r="Q109" s="316">
        <f>Forudsætninger!B18</f>
        <v>0</v>
      </c>
      <c r="R109" s="321"/>
      <c r="S109" s="313"/>
      <c r="T109" s="311"/>
      <c r="U109" s="312"/>
      <c r="V109" s="321"/>
      <c r="W109" s="321"/>
      <c r="X109" s="335"/>
      <c r="Y109" s="311"/>
      <c r="Z109" s="331"/>
      <c r="AA109" s="321"/>
      <c r="AB109" s="321"/>
      <c r="AC109" s="322" t="s">
        <v>209</v>
      </c>
      <c r="AD109" s="322" t="s">
        <v>156</v>
      </c>
      <c r="AE109" s="323"/>
      <c r="AF109" s="323">
        <f>(Bygninger!M109*Q109*1000)/1000</f>
        <v>0</v>
      </c>
      <c r="AG109" s="323"/>
      <c r="AH109" s="323"/>
      <c r="AI109" s="323"/>
      <c r="AJ109" s="323"/>
    </row>
    <row r="110" spans="1:38">
      <c r="A110" s="306" t="s">
        <v>511</v>
      </c>
      <c r="B110" s="325" t="s">
        <v>30</v>
      </c>
      <c r="C110" s="328" t="s">
        <v>55</v>
      </c>
      <c r="D110" s="394">
        <v>5610</v>
      </c>
      <c r="E110" s="325" t="s">
        <v>12</v>
      </c>
      <c r="F110" s="328">
        <v>5353</v>
      </c>
      <c r="G110" s="321">
        <v>1646</v>
      </c>
      <c r="H110" s="312">
        <v>71760</v>
      </c>
      <c r="I110" s="312">
        <v>71760</v>
      </c>
      <c r="J110" s="311">
        <f>(I110-H110)/H110</f>
        <v>0</v>
      </c>
      <c r="K110" s="329" t="s">
        <v>611</v>
      </c>
      <c r="L110" s="337">
        <v>216.67700000000002</v>
      </c>
      <c r="M110" s="337">
        <v>208.64999999999998</v>
      </c>
      <c r="N110" s="311">
        <f>(M110-L110)/L110</f>
        <v>-3.7045925502014715E-2</v>
      </c>
      <c r="O110" s="314" t="s">
        <v>481</v>
      </c>
      <c r="P110" s="315" t="s">
        <v>380</v>
      </c>
      <c r="Q110" s="316">
        <f>Forudsætninger!B18</f>
        <v>0</v>
      </c>
      <c r="R110" s="321"/>
      <c r="S110" s="313"/>
      <c r="T110" s="311"/>
      <c r="U110" s="312"/>
      <c r="V110" s="321"/>
      <c r="W110" s="321"/>
      <c r="X110" s="335"/>
      <c r="Y110" s="311"/>
      <c r="Z110" s="331"/>
      <c r="AA110" s="321"/>
      <c r="AB110" s="321"/>
      <c r="AC110" s="322" t="s">
        <v>198</v>
      </c>
      <c r="AD110" s="322" t="s">
        <v>156</v>
      </c>
      <c r="AE110" s="323"/>
      <c r="AF110" s="323">
        <f>(Bygninger!M110*Q110*1000)/1000</f>
        <v>0</v>
      </c>
      <c r="AG110" s="323"/>
      <c r="AH110" s="323"/>
      <c r="AI110" s="323"/>
      <c r="AJ110" s="323"/>
    </row>
    <row r="111" spans="1:38">
      <c r="A111" s="306" t="s">
        <v>630</v>
      </c>
      <c r="B111" s="325" t="s">
        <v>54</v>
      </c>
      <c r="C111" s="328" t="s">
        <v>94</v>
      </c>
      <c r="D111" s="308">
        <v>5610</v>
      </c>
      <c r="E111" s="325" t="s">
        <v>12</v>
      </c>
      <c r="F111" s="328" t="s">
        <v>105</v>
      </c>
      <c r="G111" s="321">
        <v>1772</v>
      </c>
      <c r="H111" s="312">
        <v>355846</v>
      </c>
      <c r="I111" s="312">
        <v>355846</v>
      </c>
      <c r="J111" s="311">
        <f>(I111-H111)/H111</f>
        <v>0</v>
      </c>
      <c r="K111" s="416"/>
      <c r="L111" s="337">
        <v>231.62</v>
      </c>
      <c r="M111" s="337">
        <v>205.74100000000001</v>
      </c>
      <c r="N111" s="311">
        <f>(M111-L111)/L111</f>
        <v>-0.11173042051636296</v>
      </c>
      <c r="O111" s="314" t="s">
        <v>480</v>
      </c>
      <c r="P111" s="315" t="s">
        <v>380</v>
      </c>
      <c r="Q111" s="316">
        <f>Forudsætninger!B18</f>
        <v>0</v>
      </c>
      <c r="R111" s="321"/>
      <c r="S111" s="313"/>
      <c r="T111" s="311"/>
      <c r="U111" s="312"/>
      <c r="V111" s="321"/>
      <c r="W111" s="321"/>
      <c r="X111" s="335"/>
      <c r="Y111" s="311"/>
      <c r="Z111" s="331"/>
      <c r="AA111" s="321"/>
      <c r="AB111" s="321"/>
      <c r="AC111" s="322" t="s">
        <v>227</v>
      </c>
      <c r="AD111" s="322" t="s">
        <v>236</v>
      </c>
      <c r="AE111" s="323"/>
      <c r="AF111" s="323">
        <f>(Bygninger!M111*Q111*1000)/1000</f>
        <v>0</v>
      </c>
      <c r="AG111" s="323"/>
      <c r="AH111" s="323"/>
      <c r="AI111" s="323"/>
      <c r="AJ111" s="323"/>
    </row>
    <row r="112" spans="1:38">
      <c r="A112" s="325" t="s">
        <v>489</v>
      </c>
      <c r="B112" s="325" t="s">
        <v>59</v>
      </c>
      <c r="C112" s="326" t="s">
        <v>141</v>
      </c>
      <c r="D112" s="327">
        <v>5610</v>
      </c>
      <c r="E112" s="325" t="s">
        <v>12</v>
      </c>
      <c r="F112" s="326" t="s">
        <v>100</v>
      </c>
      <c r="G112" s="332">
        <v>199</v>
      </c>
      <c r="H112" s="333"/>
      <c r="I112" s="333"/>
      <c r="J112" s="311" t="e">
        <f>(I112-H112)/H112</f>
        <v>#DIV/0!</v>
      </c>
      <c r="K112" s="349" t="s">
        <v>610</v>
      </c>
      <c r="L112" s="313">
        <v>0</v>
      </c>
      <c r="M112" s="313"/>
      <c r="N112" s="311"/>
      <c r="O112" s="314" t="s">
        <v>470</v>
      </c>
      <c r="P112" s="315" t="s">
        <v>380</v>
      </c>
      <c r="Q112" s="316">
        <f>Forudsætninger!B18</f>
        <v>0</v>
      </c>
      <c r="R112" s="321"/>
      <c r="S112" s="313"/>
      <c r="T112" s="311"/>
      <c r="U112" s="312"/>
      <c r="V112" s="321"/>
      <c r="W112" s="321"/>
      <c r="X112" s="335"/>
      <c r="Y112" s="311"/>
      <c r="Z112" s="331"/>
      <c r="AA112" s="321"/>
      <c r="AB112" s="321"/>
      <c r="AC112" s="322">
        <v>1998</v>
      </c>
      <c r="AD112" s="322" t="s">
        <v>156</v>
      </c>
      <c r="AE112" s="323"/>
      <c r="AF112" s="323">
        <f>(Bygninger!M112*Q112*1000)/1000</f>
        <v>0</v>
      </c>
      <c r="AG112" s="323"/>
      <c r="AH112" s="323"/>
      <c r="AI112" s="323"/>
      <c r="AJ112" s="323"/>
    </row>
    <row r="113" spans="1:36">
      <c r="A113" s="306" t="s">
        <v>515</v>
      </c>
      <c r="B113" s="325" t="s">
        <v>32</v>
      </c>
      <c r="C113" s="328">
        <v>3</v>
      </c>
      <c r="D113" s="308">
        <v>5620</v>
      </c>
      <c r="E113" s="325" t="s">
        <v>13</v>
      </c>
      <c r="F113" s="328">
        <v>6684</v>
      </c>
      <c r="G113" s="321">
        <v>227</v>
      </c>
      <c r="H113" s="312">
        <f>12818</f>
        <v>12818</v>
      </c>
      <c r="I113" s="312">
        <f>12818</f>
        <v>12818</v>
      </c>
      <c r="J113" s="311">
        <f t="shared" si="10"/>
        <v>0</v>
      </c>
      <c r="K113" s="329" t="s">
        <v>639</v>
      </c>
      <c r="L113" s="313">
        <v>114.52</v>
      </c>
      <c r="M113" s="313">
        <v>114.52</v>
      </c>
      <c r="N113" s="311">
        <f>(M113-L113)/L113</f>
        <v>0</v>
      </c>
      <c r="O113" s="329" t="s">
        <v>611</v>
      </c>
      <c r="P113" s="315" t="s">
        <v>382</v>
      </c>
      <c r="Q113" s="316">
        <f>Forudsætninger!B19</f>
        <v>0.1021</v>
      </c>
      <c r="R113" s="321"/>
      <c r="S113" s="313"/>
      <c r="T113" s="311"/>
      <c r="U113" s="312"/>
      <c r="V113" s="321"/>
      <c r="W113" s="321"/>
      <c r="X113" s="335"/>
      <c r="Y113" s="311"/>
      <c r="Z113" s="331"/>
      <c r="AA113" s="321"/>
      <c r="AB113" s="321"/>
      <c r="AC113" s="322" t="s">
        <v>242</v>
      </c>
      <c r="AD113" s="322" t="s">
        <v>205</v>
      </c>
      <c r="AE113" s="323"/>
      <c r="AF113" s="323">
        <f>(Bygninger!M113*Q113*1000)/1000</f>
        <v>11.692492</v>
      </c>
      <c r="AG113" s="323"/>
      <c r="AH113" s="323"/>
      <c r="AI113" s="323"/>
      <c r="AJ113" s="323"/>
    </row>
    <row r="114" spans="1:36">
      <c r="A114" s="306" t="s">
        <v>512</v>
      </c>
      <c r="B114" s="306" t="s">
        <v>23</v>
      </c>
      <c r="C114" s="328">
        <v>135</v>
      </c>
      <c r="D114" s="308">
        <v>5620</v>
      </c>
      <c r="E114" s="306" t="s">
        <v>13</v>
      </c>
      <c r="F114" s="328">
        <v>5820</v>
      </c>
      <c r="G114" s="321">
        <v>2715</v>
      </c>
      <c r="H114" s="312">
        <v>19542</v>
      </c>
      <c r="I114" s="321">
        <v>22098</v>
      </c>
      <c r="J114" s="311">
        <f t="shared" si="10"/>
        <v>0.13079521031624194</v>
      </c>
      <c r="K114" s="329" t="s">
        <v>459</v>
      </c>
      <c r="L114" s="313"/>
      <c r="M114" s="313"/>
      <c r="N114" s="311"/>
      <c r="O114" s="314"/>
      <c r="P114" s="335"/>
      <c r="Q114" s="316"/>
      <c r="R114" s="321"/>
      <c r="S114" s="313"/>
      <c r="T114" s="311"/>
      <c r="U114" s="312"/>
      <c r="V114" s="321">
        <v>24559</v>
      </c>
      <c r="W114" s="321">
        <v>27436</v>
      </c>
      <c r="X114" s="335"/>
      <c r="Y114" s="311">
        <f>(W114-V114)/V114</f>
        <v>0.11714646361822549</v>
      </c>
      <c r="Z114" s="331"/>
      <c r="AA114" s="321"/>
      <c r="AB114" s="321"/>
      <c r="AC114" s="322" t="s">
        <v>161</v>
      </c>
      <c r="AD114" s="322" t="s">
        <v>162</v>
      </c>
      <c r="AE114" s="323"/>
      <c r="AF114" s="323">
        <f>(Bygninger!M114*Q114*1000)/1000</f>
        <v>0</v>
      </c>
      <c r="AG114" s="323"/>
      <c r="AH114" s="323"/>
      <c r="AI114" s="323"/>
      <c r="AJ114" s="323"/>
    </row>
    <row r="115" spans="1:36">
      <c r="A115" s="306" t="s">
        <v>510</v>
      </c>
      <c r="B115" s="325" t="s">
        <v>52</v>
      </c>
      <c r="C115" s="328">
        <v>84</v>
      </c>
      <c r="D115" s="394">
        <v>5610</v>
      </c>
      <c r="E115" s="325" t="s">
        <v>12</v>
      </c>
      <c r="F115" s="328">
        <v>2563</v>
      </c>
      <c r="G115" s="321">
        <v>4514</v>
      </c>
      <c r="H115" s="312">
        <v>264013</v>
      </c>
      <c r="I115" s="321">
        <v>151484</v>
      </c>
      <c r="J115" s="311">
        <f t="shared" si="10"/>
        <v>-0.42622522375792099</v>
      </c>
      <c r="K115" s="329" t="s">
        <v>461</v>
      </c>
      <c r="L115" s="313">
        <v>372.32</v>
      </c>
      <c r="M115" s="395">
        <f>475.3+58.13</f>
        <v>533.43000000000006</v>
      </c>
      <c r="N115" s="311">
        <f>(M115-L115)/L115</f>
        <v>0.43271916630855201</v>
      </c>
      <c r="O115" s="314" t="s">
        <v>598</v>
      </c>
      <c r="P115" s="315" t="s">
        <v>380</v>
      </c>
      <c r="Q115" s="316">
        <f>Forudsætninger!B18</f>
        <v>0</v>
      </c>
      <c r="R115" s="321"/>
      <c r="S115" s="313"/>
      <c r="T115" s="311"/>
      <c r="U115" s="330"/>
      <c r="V115" s="321"/>
      <c r="W115" s="321"/>
      <c r="X115" s="335"/>
      <c r="Y115" s="311"/>
      <c r="Z115" s="331"/>
      <c r="AA115" s="321"/>
      <c r="AB115" s="321"/>
      <c r="AC115" s="322" t="s">
        <v>239</v>
      </c>
      <c r="AD115" s="322" t="s">
        <v>240</v>
      </c>
      <c r="AE115" s="323"/>
      <c r="AF115" s="323">
        <f>(Bygninger!M115*Q115*1000)/1000</f>
        <v>0</v>
      </c>
      <c r="AG115" s="323"/>
      <c r="AH115" s="323"/>
      <c r="AI115" s="323"/>
      <c r="AJ115" s="323"/>
    </row>
    <row r="116" spans="1:36">
      <c r="A116" s="306" t="s">
        <v>508</v>
      </c>
      <c r="B116" s="325" t="s">
        <v>56</v>
      </c>
      <c r="C116" s="326">
        <v>2</v>
      </c>
      <c r="D116" s="327">
        <v>5610</v>
      </c>
      <c r="E116" s="325" t="s">
        <v>12</v>
      </c>
      <c r="F116" s="326">
        <v>2446</v>
      </c>
      <c r="G116" s="336">
        <v>1888</v>
      </c>
      <c r="H116" s="312">
        <v>55872</v>
      </c>
      <c r="I116" s="321">
        <v>39218</v>
      </c>
      <c r="J116" s="311">
        <f t="shared" si="10"/>
        <v>-0.29807416953035509</v>
      </c>
      <c r="K116" s="329" t="s">
        <v>459</v>
      </c>
      <c r="L116" s="337">
        <v>188.96</v>
      </c>
      <c r="M116" s="337">
        <v>154.75</v>
      </c>
      <c r="N116" s="311">
        <f>(M116-L116)/L116</f>
        <v>-0.18104360711261647</v>
      </c>
      <c r="O116" s="314" t="s">
        <v>469</v>
      </c>
      <c r="P116" s="315" t="s">
        <v>380</v>
      </c>
      <c r="Q116" s="316">
        <f>Forudsætninger!B18</f>
        <v>0</v>
      </c>
      <c r="R116" s="321"/>
      <c r="S116" s="313"/>
      <c r="T116" s="311"/>
      <c r="U116" s="387"/>
      <c r="V116" s="321"/>
      <c r="W116" s="321"/>
      <c r="X116" s="335"/>
      <c r="Y116" s="311"/>
      <c r="Z116" s="331"/>
      <c r="AA116" s="321"/>
      <c r="AB116" s="321"/>
      <c r="AC116" s="322" t="s">
        <v>159</v>
      </c>
      <c r="AD116" s="322">
        <v>2001</v>
      </c>
      <c r="AE116" s="323"/>
      <c r="AF116" s="323">
        <f>(Bygninger!M116*Q116*1000)/1000</f>
        <v>0</v>
      </c>
      <c r="AG116" s="323"/>
      <c r="AH116" s="323"/>
      <c r="AI116" s="323"/>
      <c r="AJ116" s="323"/>
    </row>
    <row r="117" spans="1:36">
      <c r="A117" s="384" t="s">
        <v>547</v>
      </c>
      <c r="B117" s="306"/>
      <c r="C117" s="328"/>
      <c r="D117" s="308"/>
      <c r="E117" s="306"/>
      <c r="F117" s="385"/>
      <c r="G117" s="269"/>
      <c r="H117" s="269"/>
      <c r="I117" s="269"/>
      <c r="J117" s="311"/>
      <c r="K117" s="329"/>
      <c r="L117" s="269"/>
      <c r="M117" s="269"/>
      <c r="N117" s="311"/>
      <c r="O117" s="314"/>
      <c r="P117" s="315"/>
      <c r="Q117" s="316"/>
      <c r="R117" s="269"/>
      <c r="S117" s="269"/>
      <c r="T117" s="311"/>
      <c r="U117" s="312"/>
      <c r="V117" s="269"/>
      <c r="W117" s="269"/>
      <c r="X117" s="317"/>
      <c r="Y117" s="311"/>
      <c r="Z117" s="331"/>
      <c r="AA117" s="321"/>
      <c r="AB117" s="321"/>
      <c r="AC117" s="322"/>
      <c r="AD117" s="322"/>
      <c r="AE117" s="323"/>
      <c r="AF117" s="323">
        <f>(Bygninger!M117*Q117*1000)/1000</f>
        <v>0</v>
      </c>
      <c r="AG117" s="323"/>
      <c r="AH117" s="323"/>
      <c r="AI117" s="323"/>
      <c r="AJ117" s="323"/>
    </row>
    <row r="118" spans="1:36">
      <c r="A118" s="325" t="s">
        <v>118</v>
      </c>
      <c r="B118" s="325" t="s">
        <v>77</v>
      </c>
      <c r="C118" s="326">
        <v>26</v>
      </c>
      <c r="D118" s="327">
        <v>5610</v>
      </c>
      <c r="E118" s="325" t="s">
        <v>12</v>
      </c>
      <c r="F118" s="326">
        <v>80</v>
      </c>
      <c r="G118" s="336">
        <v>766</v>
      </c>
      <c r="H118" s="312"/>
      <c r="I118" s="312"/>
      <c r="J118" s="312"/>
      <c r="K118" s="329" t="s">
        <v>592</v>
      </c>
      <c r="L118" s="338"/>
      <c r="M118" s="337"/>
      <c r="N118" s="311"/>
      <c r="O118" s="329" t="s">
        <v>592</v>
      </c>
      <c r="P118" s="321"/>
      <c r="Q118" s="321"/>
      <c r="R118" s="321"/>
      <c r="S118" s="313"/>
      <c r="T118" s="311"/>
      <c r="U118" s="387"/>
      <c r="V118" s="321"/>
      <c r="W118" s="321"/>
      <c r="X118" s="335"/>
      <c r="Y118" s="311"/>
      <c r="Z118" s="331"/>
      <c r="AA118" s="321"/>
      <c r="AB118" s="321"/>
      <c r="AC118" s="322" t="s">
        <v>160</v>
      </c>
      <c r="AD118" s="322">
        <v>1997</v>
      </c>
      <c r="AE118" s="323"/>
      <c r="AF118" s="323">
        <f>(Bygninger!M118*Q118*1000)/1000</f>
        <v>0</v>
      </c>
      <c r="AG118" s="323"/>
      <c r="AH118" s="323"/>
      <c r="AI118" s="323"/>
      <c r="AJ118" s="323"/>
    </row>
    <row r="119" spans="1:36">
      <c r="A119" s="356" t="s">
        <v>493</v>
      </c>
      <c r="B119" s="356" t="s">
        <v>557</v>
      </c>
      <c r="C119" s="396" t="s">
        <v>554</v>
      </c>
      <c r="D119" s="358">
        <v>5610</v>
      </c>
      <c r="E119" s="356" t="s">
        <v>12</v>
      </c>
      <c r="F119" s="357"/>
      <c r="G119" s="360">
        <v>1196</v>
      </c>
      <c r="H119" s="360">
        <v>224396</v>
      </c>
      <c r="I119" s="360">
        <v>258262</v>
      </c>
      <c r="J119" s="361">
        <f t="shared" ref="J119:J128" si="11">(I119-H119)/H119</f>
        <v>0.15092069377350756</v>
      </c>
      <c r="K119" s="362" t="s">
        <v>459</v>
      </c>
      <c r="L119" s="375">
        <v>151.1</v>
      </c>
      <c r="M119" s="375">
        <v>209.08</v>
      </c>
      <c r="N119" s="361">
        <f t="shared" ref="N119:N124" si="12">(M119-L119)/L119</f>
        <v>0.383719391131701</v>
      </c>
      <c r="O119" s="376"/>
      <c r="P119" s="438" t="s">
        <v>380</v>
      </c>
      <c r="Q119" s="437">
        <f>Forudsætninger!B18</f>
        <v>0</v>
      </c>
      <c r="R119" s="360"/>
      <c r="S119" s="365"/>
      <c r="T119" s="361" t="e">
        <f>(S119-R119)/R119</f>
        <v>#DIV/0!</v>
      </c>
      <c r="U119" s="359"/>
      <c r="V119" s="360"/>
      <c r="W119" s="360"/>
      <c r="X119" s="388"/>
      <c r="Y119" s="361"/>
      <c r="Z119" s="331"/>
      <c r="AA119" s="321"/>
      <c r="AB119" s="321"/>
      <c r="AC119" s="322"/>
      <c r="AD119" s="322"/>
      <c r="AE119" s="323"/>
      <c r="AF119" s="323">
        <f>(Bygninger!M119*Q119*1000)/1000</f>
        <v>0</v>
      </c>
      <c r="AG119" s="323"/>
      <c r="AH119" s="323"/>
      <c r="AI119" s="323"/>
      <c r="AJ119" s="323"/>
    </row>
    <row r="120" spans="1:36">
      <c r="A120" s="306" t="s">
        <v>494</v>
      </c>
      <c r="B120" s="306" t="s">
        <v>558</v>
      </c>
      <c r="C120" s="307" t="s">
        <v>555</v>
      </c>
      <c r="D120" s="308">
        <v>5631</v>
      </c>
      <c r="E120" s="306" t="s">
        <v>87</v>
      </c>
      <c r="F120" s="328"/>
      <c r="G120" s="321"/>
      <c r="H120" s="321"/>
      <c r="I120" s="321"/>
      <c r="J120" s="311"/>
      <c r="K120" s="329" t="s">
        <v>592</v>
      </c>
      <c r="L120" s="321"/>
      <c r="M120" s="321"/>
      <c r="N120" s="311" t="e">
        <f t="shared" si="12"/>
        <v>#DIV/0!</v>
      </c>
      <c r="O120" s="314"/>
      <c r="P120" s="315"/>
      <c r="Q120" s="316"/>
      <c r="R120" s="321"/>
      <c r="S120" s="313"/>
      <c r="T120" s="311" t="e">
        <f>(S120-R120)/R120</f>
        <v>#DIV/0!</v>
      </c>
      <c r="U120" s="312"/>
      <c r="V120" s="321"/>
      <c r="W120" s="321"/>
      <c r="X120" s="335"/>
      <c r="Y120" s="311"/>
      <c r="Z120" s="320"/>
      <c r="AA120" s="321"/>
      <c r="AB120" s="321"/>
      <c r="AC120" s="322"/>
      <c r="AD120" s="322"/>
      <c r="AE120" s="323"/>
      <c r="AF120" s="323">
        <f>(Bygninger!M120*Q120*1000)/1000</f>
        <v>0</v>
      </c>
      <c r="AG120" s="323"/>
      <c r="AH120" s="323"/>
      <c r="AI120" s="323"/>
      <c r="AJ120" s="323"/>
    </row>
    <row r="121" spans="1:36">
      <c r="A121" s="356" t="s">
        <v>642</v>
      </c>
      <c r="B121" s="356" t="s">
        <v>146</v>
      </c>
      <c r="C121" s="396">
        <v>28</v>
      </c>
      <c r="D121" s="358">
        <v>5620</v>
      </c>
      <c r="E121" s="356" t="s">
        <v>13</v>
      </c>
      <c r="F121" s="357"/>
      <c r="G121" s="360">
        <v>522</v>
      </c>
      <c r="H121" s="360">
        <v>2663</v>
      </c>
      <c r="I121" s="360">
        <v>1333</v>
      </c>
      <c r="J121" s="361">
        <f t="shared" si="11"/>
        <v>-0.49943672549755913</v>
      </c>
      <c r="K121" s="362" t="s">
        <v>459</v>
      </c>
      <c r="L121" s="360"/>
      <c r="M121" s="360"/>
      <c r="N121" s="361" t="e">
        <f t="shared" si="12"/>
        <v>#DIV/0!</v>
      </c>
      <c r="O121" s="376"/>
      <c r="P121" s="363"/>
      <c r="Q121" s="364"/>
      <c r="R121" s="360"/>
      <c r="S121" s="365"/>
      <c r="T121" s="361" t="e">
        <f>(S121-R121)/R121</f>
        <v>#DIV/0!</v>
      </c>
      <c r="U121" s="359"/>
      <c r="V121" s="360"/>
      <c r="W121" s="360"/>
      <c r="X121" s="388"/>
      <c r="Y121" s="361"/>
      <c r="Z121" s="331"/>
      <c r="AA121" s="321"/>
      <c r="AB121" s="321"/>
      <c r="AC121" s="322"/>
      <c r="AD121" s="322"/>
      <c r="AE121" s="323"/>
      <c r="AF121" s="323">
        <f>(Bygninger!M121*Q121*1000)/1000</f>
        <v>0</v>
      </c>
      <c r="AG121" s="323"/>
      <c r="AH121" s="323"/>
      <c r="AI121" s="323"/>
      <c r="AJ121" s="323"/>
    </row>
    <row r="122" spans="1:36">
      <c r="A122" s="356" t="s">
        <v>491</v>
      </c>
      <c r="B122" s="356" t="s">
        <v>556</v>
      </c>
      <c r="C122" s="396">
        <v>8</v>
      </c>
      <c r="D122" s="358">
        <v>5610</v>
      </c>
      <c r="E122" s="356" t="s">
        <v>12</v>
      </c>
      <c r="F122" s="357"/>
      <c r="G122" s="360">
        <v>744</v>
      </c>
      <c r="H122" s="360"/>
      <c r="I122" s="360"/>
      <c r="J122" s="361"/>
      <c r="K122" s="362" t="s">
        <v>592</v>
      </c>
      <c r="L122" s="375">
        <v>73.23</v>
      </c>
      <c r="M122" s="375">
        <v>67.58</v>
      </c>
      <c r="N122" s="361">
        <f>(M122-L122)/L122</f>
        <v>-7.7154171787518849E-2</v>
      </c>
      <c r="O122" s="376"/>
      <c r="P122" s="438" t="s">
        <v>380</v>
      </c>
      <c r="Q122" s="437">
        <f>Forudsætninger!B18</f>
        <v>0</v>
      </c>
      <c r="R122" s="360"/>
      <c r="S122" s="365"/>
      <c r="T122" s="361" t="e">
        <f>(S122-R122)/R122</f>
        <v>#DIV/0!</v>
      </c>
      <c r="U122" s="359"/>
      <c r="V122" s="360"/>
      <c r="W122" s="360"/>
      <c r="X122" s="388"/>
      <c r="Y122" s="361"/>
      <c r="Z122" s="331"/>
      <c r="AA122" s="321"/>
      <c r="AB122" s="321"/>
      <c r="AC122" s="322"/>
      <c r="AD122" s="322"/>
      <c r="AE122" s="323"/>
      <c r="AF122" s="323">
        <f>(Bygninger!M122*Q122*1000)/1000</f>
        <v>0</v>
      </c>
      <c r="AG122" s="323"/>
      <c r="AH122" s="323"/>
      <c r="AI122" s="323"/>
      <c r="AJ122" s="323"/>
    </row>
    <row r="123" spans="1:36">
      <c r="A123" s="356" t="s">
        <v>492</v>
      </c>
      <c r="B123" s="356" t="s">
        <v>557</v>
      </c>
      <c r="C123" s="396">
        <v>27</v>
      </c>
      <c r="D123" s="358">
        <v>5610</v>
      </c>
      <c r="E123" s="356" t="s">
        <v>12</v>
      </c>
      <c r="F123" s="357"/>
      <c r="G123" s="360">
        <v>578</v>
      </c>
      <c r="H123" s="360"/>
      <c r="I123" s="360"/>
      <c r="J123" s="361"/>
      <c r="K123" s="362" t="s">
        <v>592</v>
      </c>
      <c r="L123" s="375">
        <v>106.265</v>
      </c>
      <c r="M123" s="375">
        <v>93.731999999999999</v>
      </c>
      <c r="N123" s="361">
        <f>(M123-L123)/L123</f>
        <v>-0.1179409965651908</v>
      </c>
      <c r="O123" s="376"/>
      <c r="P123" s="438" t="s">
        <v>380</v>
      </c>
      <c r="Q123" s="437">
        <f>Forudsætninger!B18</f>
        <v>0</v>
      </c>
      <c r="R123" s="360"/>
      <c r="S123" s="365"/>
      <c r="T123" s="361" t="e">
        <f>(S123-R123)/R123</f>
        <v>#DIV/0!</v>
      </c>
      <c r="U123" s="359"/>
      <c r="V123" s="360"/>
      <c r="W123" s="360"/>
      <c r="X123" s="388"/>
      <c r="Y123" s="361"/>
      <c r="Z123" s="331"/>
      <c r="AA123" s="321"/>
      <c r="AB123" s="321"/>
      <c r="AC123" s="322"/>
      <c r="AD123" s="322"/>
      <c r="AE123" s="323"/>
      <c r="AF123" s="323">
        <f>(Bygninger!M123*Q123*1000)/1000</f>
        <v>0</v>
      </c>
      <c r="AG123" s="323"/>
      <c r="AH123" s="323"/>
      <c r="AI123" s="323"/>
      <c r="AJ123" s="323"/>
    </row>
    <row r="124" spans="1:36">
      <c r="A124" s="325" t="s">
        <v>495</v>
      </c>
      <c r="B124" s="325" t="s">
        <v>14</v>
      </c>
      <c r="C124" s="326">
        <v>11</v>
      </c>
      <c r="D124" s="327">
        <v>5690</v>
      </c>
      <c r="E124" s="325" t="s">
        <v>7</v>
      </c>
      <c r="F124" s="326">
        <v>12997</v>
      </c>
      <c r="G124" s="336">
        <v>792</v>
      </c>
      <c r="H124" s="312">
        <v>818</v>
      </c>
      <c r="I124" s="321">
        <v>775</v>
      </c>
      <c r="J124" s="311">
        <f t="shared" si="11"/>
        <v>-5.256723716381418E-2</v>
      </c>
      <c r="K124" s="329" t="s">
        <v>459</v>
      </c>
      <c r="L124" s="397">
        <v>45.89</v>
      </c>
      <c r="M124" s="397">
        <v>45.89</v>
      </c>
      <c r="N124" s="311">
        <f t="shared" si="12"/>
        <v>0</v>
      </c>
      <c r="O124" s="314" t="s">
        <v>475</v>
      </c>
      <c r="P124" s="315" t="s">
        <v>414</v>
      </c>
      <c r="Q124" s="316">
        <f>Forudsætninger!B23</f>
        <v>8.7800000000000003E-2</v>
      </c>
      <c r="R124" s="321"/>
      <c r="S124" s="313"/>
      <c r="T124" s="311"/>
      <c r="U124" s="387"/>
      <c r="V124" s="321"/>
      <c r="W124" s="321"/>
      <c r="X124" s="335"/>
      <c r="Y124" s="311"/>
      <c r="Z124" s="331"/>
      <c r="AA124" s="321"/>
      <c r="AB124" s="321"/>
      <c r="AC124" s="322">
        <v>1910</v>
      </c>
      <c r="AD124" s="322">
        <v>1985</v>
      </c>
      <c r="AE124" s="323"/>
      <c r="AF124" s="323">
        <f>(Bygninger!M124*Q124*1000)/1000</f>
        <v>4.0291420000000002</v>
      </c>
      <c r="AG124" s="323"/>
      <c r="AH124" s="323"/>
      <c r="AI124" s="323"/>
      <c r="AJ124" s="323"/>
    </row>
    <row r="125" spans="1:36">
      <c r="A125" s="325" t="s">
        <v>589</v>
      </c>
      <c r="B125" s="325" t="s">
        <v>83</v>
      </c>
      <c r="C125" s="326">
        <v>5</v>
      </c>
      <c r="D125" s="327">
        <v>5492</v>
      </c>
      <c r="E125" s="325" t="s">
        <v>9</v>
      </c>
      <c r="F125" s="326">
        <v>15163</v>
      </c>
      <c r="G125" s="336">
        <v>835</v>
      </c>
      <c r="H125" s="312">
        <v>66461</v>
      </c>
      <c r="I125" s="321">
        <v>74437</v>
      </c>
      <c r="J125" s="311">
        <f>(I125-H125)/H125</f>
        <v>0.1200102315643761</v>
      </c>
      <c r="K125" s="329" t="s">
        <v>592</v>
      </c>
      <c r="L125" s="313"/>
      <c r="M125" s="313"/>
      <c r="N125" s="311"/>
      <c r="O125" s="314"/>
      <c r="P125" s="335"/>
      <c r="Q125" s="316"/>
      <c r="R125" s="321"/>
      <c r="S125" s="313"/>
      <c r="T125" s="311"/>
      <c r="U125" s="312"/>
      <c r="V125" s="321">
        <v>2500</v>
      </c>
      <c r="W125" s="321">
        <v>10739</v>
      </c>
      <c r="X125" s="335"/>
      <c r="Y125" s="311">
        <f>(W125-V125)/V125</f>
        <v>3.2955999999999999</v>
      </c>
      <c r="Z125" s="331"/>
      <c r="AA125" s="321"/>
      <c r="AB125" s="321"/>
      <c r="AC125" s="322" t="s">
        <v>164</v>
      </c>
      <c r="AD125" s="322">
        <v>1994</v>
      </c>
      <c r="AE125" s="323"/>
      <c r="AF125" s="323">
        <f>(Bygninger!M125*Q125*1000)/1000</f>
        <v>0</v>
      </c>
      <c r="AG125" s="323"/>
      <c r="AH125" s="323"/>
      <c r="AI125" s="323"/>
      <c r="AJ125" s="323"/>
    </row>
    <row r="126" spans="1:36">
      <c r="A126" s="306" t="s">
        <v>496</v>
      </c>
      <c r="B126" s="306" t="s">
        <v>38</v>
      </c>
      <c r="C126" s="328">
        <v>71</v>
      </c>
      <c r="D126" s="308">
        <v>5560</v>
      </c>
      <c r="E126" s="306" t="s">
        <v>5</v>
      </c>
      <c r="F126" s="328"/>
      <c r="G126" s="321">
        <v>116</v>
      </c>
      <c r="H126" s="312"/>
      <c r="I126" s="321"/>
      <c r="J126" s="311"/>
      <c r="K126" s="329" t="s">
        <v>592</v>
      </c>
      <c r="L126" s="313"/>
      <c r="M126" s="313"/>
      <c r="N126" s="311" t="e">
        <f>(M126-L126)/L126</f>
        <v>#DIV/0!</v>
      </c>
      <c r="O126" s="314"/>
      <c r="P126" s="315"/>
      <c r="Q126" s="316"/>
      <c r="R126" s="321"/>
      <c r="S126" s="313"/>
      <c r="T126" s="311"/>
      <c r="U126" s="312"/>
      <c r="V126" s="321"/>
      <c r="W126" s="321"/>
      <c r="X126" s="335"/>
      <c r="Y126" s="311"/>
      <c r="Z126" s="320"/>
      <c r="AA126" s="321"/>
      <c r="AB126" s="321"/>
      <c r="AC126" s="322"/>
      <c r="AD126" s="322"/>
      <c r="AE126" s="323"/>
      <c r="AF126" s="323">
        <f>(Bygninger!M126*Q126*1000)/1000</f>
        <v>0</v>
      </c>
      <c r="AG126" s="323"/>
      <c r="AH126" s="323"/>
      <c r="AI126" s="323"/>
      <c r="AJ126" s="323"/>
    </row>
    <row r="127" spans="1:36">
      <c r="A127" s="325" t="s">
        <v>418</v>
      </c>
      <c r="B127" s="325" t="s">
        <v>18</v>
      </c>
      <c r="C127" s="326">
        <v>1</v>
      </c>
      <c r="D127" s="327">
        <v>5560</v>
      </c>
      <c r="E127" s="325" t="s">
        <v>5</v>
      </c>
      <c r="F127" s="326">
        <v>19438</v>
      </c>
      <c r="G127" s="336">
        <v>400</v>
      </c>
      <c r="H127" s="312">
        <v>671.8</v>
      </c>
      <c r="I127" s="321">
        <v>672</v>
      </c>
      <c r="J127" s="311">
        <f t="shared" si="11"/>
        <v>2.9770765108670064E-4</v>
      </c>
      <c r="K127" s="329" t="s">
        <v>592</v>
      </c>
      <c r="L127" s="313"/>
      <c r="M127" s="313"/>
      <c r="N127" s="311"/>
      <c r="O127" s="314"/>
      <c r="P127" s="335"/>
      <c r="Q127" s="316"/>
      <c r="R127" s="321"/>
      <c r="S127" s="313"/>
      <c r="T127" s="311"/>
      <c r="U127" s="330"/>
      <c r="V127" s="321"/>
      <c r="W127" s="321"/>
      <c r="X127" s="335"/>
      <c r="Y127" s="311"/>
      <c r="Z127" s="331"/>
      <c r="AA127" s="321"/>
      <c r="AB127" s="321"/>
      <c r="AC127" s="322">
        <v>1994</v>
      </c>
      <c r="AD127" s="322" t="s">
        <v>156</v>
      </c>
      <c r="AE127" s="323"/>
      <c r="AF127" s="323">
        <f>(Bygninger!M127*Q127*1000)/1000</f>
        <v>0</v>
      </c>
      <c r="AG127" s="323"/>
      <c r="AH127" s="323"/>
      <c r="AI127" s="323"/>
      <c r="AJ127" s="323"/>
    </row>
    <row r="128" spans="1:36">
      <c r="A128" s="306" t="s">
        <v>544</v>
      </c>
      <c r="B128" s="325" t="s">
        <v>90</v>
      </c>
      <c r="C128" s="340" t="s">
        <v>269</v>
      </c>
      <c r="D128" s="325">
        <v>5683</v>
      </c>
      <c r="E128" s="325" t="s">
        <v>10</v>
      </c>
      <c r="F128" s="326" t="s">
        <v>101</v>
      </c>
      <c r="G128" s="336">
        <v>68</v>
      </c>
      <c r="H128" s="312">
        <v>3</v>
      </c>
      <c r="I128" s="321">
        <v>56</v>
      </c>
      <c r="J128" s="311">
        <f t="shared" si="11"/>
        <v>17.666666666666668</v>
      </c>
      <c r="K128" s="329" t="s">
        <v>459</v>
      </c>
      <c r="L128" s="313">
        <v>6.6289999999999996</v>
      </c>
      <c r="M128" s="313">
        <v>6.6289999999999996</v>
      </c>
      <c r="N128" s="311">
        <f>(M128-L128)/L128</f>
        <v>0</v>
      </c>
      <c r="O128" s="314" t="s">
        <v>473</v>
      </c>
      <c r="P128" s="315" t="s">
        <v>383</v>
      </c>
      <c r="Q128" s="316">
        <f>Forudsætninger!B20</f>
        <v>0.14299999999999999</v>
      </c>
      <c r="R128" s="312"/>
      <c r="S128" s="330"/>
      <c r="T128" s="311"/>
      <c r="U128" s="312"/>
      <c r="V128" s="312"/>
      <c r="W128" s="312"/>
      <c r="X128" s="335"/>
      <c r="Y128" s="311"/>
      <c r="Z128" s="331"/>
      <c r="AA128" s="321"/>
      <c r="AB128" s="321"/>
      <c r="AC128" s="322" t="s">
        <v>257</v>
      </c>
      <c r="AD128" s="322">
        <v>2006</v>
      </c>
      <c r="AE128" s="323"/>
      <c r="AF128" s="323">
        <f>(Bygninger!M128*Q128*1000)/1000</f>
        <v>0.94794699999999987</v>
      </c>
      <c r="AG128" s="323"/>
      <c r="AH128" s="323"/>
      <c r="AI128" s="323"/>
      <c r="AJ128" s="323"/>
    </row>
    <row r="129" spans="1:36">
      <c r="A129" s="306" t="s">
        <v>544</v>
      </c>
      <c r="B129" s="325" t="s">
        <v>90</v>
      </c>
      <c r="C129" s="340" t="s">
        <v>270</v>
      </c>
      <c r="D129" s="325">
        <v>5683</v>
      </c>
      <c r="E129" s="325" t="s">
        <v>10</v>
      </c>
      <c r="F129" s="326"/>
      <c r="G129" s="336">
        <v>68</v>
      </c>
      <c r="H129" s="312"/>
      <c r="I129" s="312"/>
      <c r="J129" s="312"/>
      <c r="K129" s="329" t="s">
        <v>592</v>
      </c>
      <c r="L129" s="313">
        <v>12.772</v>
      </c>
      <c r="M129" s="313">
        <v>12.772</v>
      </c>
      <c r="N129" s="311">
        <f>(M129-L129)/L129</f>
        <v>0</v>
      </c>
      <c r="O129" s="314" t="s">
        <v>474</v>
      </c>
      <c r="P129" s="315" t="s">
        <v>383</v>
      </c>
      <c r="Q129" s="316">
        <f>Forudsætninger!B20</f>
        <v>0.14299999999999999</v>
      </c>
      <c r="R129" s="312"/>
      <c r="S129" s="330"/>
      <c r="T129" s="311"/>
      <c r="U129" s="312"/>
      <c r="V129" s="312"/>
      <c r="W129" s="312"/>
      <c r="X129" s="335"/>
      <c r="Y129" s="311"/>
      <c r="Z129" s="331"/>
      <c r="AA129" s="321"/>
      <c r="AB129" s="321"/>
      <c r="AC129" s="322"/>
      <c r="AD129" s="322"/>
      <c r="AE129" s="323"/>
      <c r="AF129" s="323">
        <f>(Bygninger!M129*Q129*1000)/1000</f>
        <v>1.8263959999999999</v>
      </c>
      <c r="AG129" s="323"/>
      <c r="AH129" s="323"/>
      <c r="AI129" s="323"/>
      <c r="AJ129" s="323"/>
    </row>
    <row r="130" spans="1:36" collapsed="1">
      <c r="A130" s="288" t="s">
        <v>388</v>
      </c>
      <c r="B130" s="289"/>
      <c r="C130" s="290"/>
      <c r="D130" s="291"/>
      <c r="E130" s="289"/>
      <c r="F130" s="292"/>
      <c r="G130" s="293">
        <f>A_materialegårde</f>
        <v>4484</v>
      </c>
      <c r="H130" s="293">
        <f>H131</f>
        <v>124049</v>
      </c>
      <c r="I130" s="293">
        <f t="shared" ref="I130:AJ130" si="13">I131</f>
        <v>113244</v>
      </c>
      <c r="J130" s="293"/>
      <c r="K130" s="293"/>
      <c r="L130" s="293">
        <f t="shared" si="13"/>
        <v>121.669</v>
      </c>
      <c r="M130" s="293">
        <f t="shared" si="13"/>
        <v>117.35</v>
      </c>
      <c r="N130" s="293"/>
      <c r="O130" s="293"/>
      <c r="P130" s="293"/>
      <c r="Q130" s="293"/>
      <c r="R130" s="293">
        <f t="shared" si="13"/>
        <v>11114</v>
      </c>
      <c r="S130" s="293">
        <f t="shared" si="13"/>
        <v>10661</v>
      </c>
      <c r="T130" s="293">
        <f t="shared" si="13"/>
        <v>0</v>
      </c>
      <c r="U130" s="293">
        <f t="shared" si="13"/>
        <v>0</v>
      </c>
      <c r="V130" s="293">
        <f t="shared" si="13"/>
        <v>4314</v>
      </c>
      <c r="W130" s="293">
        <f t="shared" si="13"/>
        <v>3233</v>
      </c>
      <c r="X130" s="411"/>
      <c r="Y130" s="293"/>
      <c r="Z130" s="293">
        <f t="shared" si="13"/>
        <v>267157.33333333331</v>
      </c>
      <c r="AA130" s="293">
        <f t="shared" si="13"/>
        <v>27.664808206958075</v>
      </c>
      <c r="AB130" s="293">
        <f t="shared" si="13"/>
        <v>59.580136782634547</v>
      </c>
      <c r="AC130" s="293">
        <f t="shared" si="13"/>
        <v>0</v>
      </c>
      <c r="AD130" s="293">
        <f t="shared" si="13"/>
        <v>0</v>
      </c>
      <c r="AE130" s="293">
        <f t="shared" si="13"/>
        <v>49.600872000000003</v>
      </c>
      <c r="AF130" s="293">
        <f t="shared" si="13"/>
        <v>0</v>
      </c>
      <c r="AG130" s="293">
        <f t="shared" si="13"/>
        <v>23.933945000000001</v>
      </c>
      <c r="AH130" s="293">
        <f t="shared" si="13"/>
        <v>8.5674499999999991</v>
      </c>
      <c r="AI130" s="293">
        <f t="shared" si="13"/>
        <v>32.501395000000002</v>
      </c>
      <c r="AJ130" s="293">
        <f t="shared" si="13"/>
        <v>82.102267000000012</v>
      </c>
    </row>
    <row r="131" spans="1:36" s="305" customFormat="1">
      <c r="A131" s="294" t="s">
        <v>278</v>
      </c>
      <c r="B131" s="294"/>
      <c r="C131" s="295"/>
      <c r="D131" s="296"/>
      <c r="E131" s="294"/>
      <c r="F131" s="295"/>
      <c r="G131" s="297">
        <f>SUM(G132:G135)</f>
        <v>4484</v>
      </c>
      <c r="H131" s="297">
        <f>SUM(H132:H135)</f>
        <v>124049</v>
      </c>
      <c r="I131" s="297">
        <f>SUM(I132:I135)</f>
        <v>113244</v>
      </c>
      <c r="J131" s="298"/>
      <c r="K131" s="299"/>
      <c r="L131" s="297">
        <f>SUM(L132:L135)</f>
        <v>121.669</v>
      </c>
      <c r="M131" s="297">
        <f>SUM(M132:M135)</f>
        <v>117.35</v>
      </c>
      <c r="N131" s="298"/>
      <c r="O131" s="300"/>
      <c r="P131" s="301"/>
      <c r="Q131" s="297">
        <f>SUM(Q132:Q135)</f>
        <v>0</v>
      </c>
      <c r="R131" s="297">
        <f>SUM(R132:R135)</f>
        <v>11114</v>
      </c>
      <c r="S131" s="297">
        <f>SUM(S132:S135)</f>
        <v>10661</v>
      </c>
      <c r="T131" s="298"/>
      <c r="U131" s="297"/>
      <c r="V131" s="297">
        <f>SUM(V132:V135)</f>
        <v>4314</v>
      </c>
      <c r="W131" s="297">
        <f>SUM(W132:W135)</f>
        <v>3233</v>
      </c>
      <c r="X131" s="301"/>
      <c r="Y131" s="298"/>
      <c r="Z131" s="303">
        <f>M131*1000+S131*energiindhold_naturgas/3.6+W131*energiindhold_olie/3.6</f>
        <v>267157.33333333331</v>
      </c>
      <c r="AA131" s="303">
        <f>H131/G131</f>
        <v>27.664808206958075</v>
      </c>
      <c r="AB131" s="303">
        <f>Z131/G131</f>
        <v>59.580136782634547</v>
      </c>
      <c r="AC131" s="304"/>
      <c r="AD131" s="304"/>
      <c r="AE131" s="295">
        <f>(Bygninger!I131*CO2_el)/1000</f>
        <v>49.600872000000003</v>
      </c>
      <c r="AF131" s="295">
        <f>SUM(AF132:AF135)</f>
        <v>0</v>
      </c>
      <c r="AG131" s="295">
        <f>(Bygninger!S131*CO2_naturgas)/1000</f>
        <v>23.933945000000001</v>
      </c>
      <c r="AH131" s="295">
        <f>(Bygninger!W131*CO2_olie)/1000</f>
        <v>8.5674499999999991</v>
      </c>
      <c r="AI131" s="295">
        <f>SUM(AF131:AH131)</f>
        <v>32.501395000000002</v>
      </c>
      <c r="AJ131" s="295">
        <f>AE131+AI131</f>
        <v>82.102267000000012</v>
      </c>
    </row>
    <row r="132" spans="1:36">
      <c r="A132" s="325" t="s">
        <v>531</v>
      </c>
      <c r="B132" s="325" t="s">
        <v>76</v>
      </c>
      <c r="C132" s="326">
        <v>1</v>
      </c>
      <c r="D132" s="327">
        <v>5610</v>
      </c>
      <c r="E132" s="325" t="s">
        <v>12</v>
      </c>
      <c r="F132" s="326">
        <v>1693</v>
      </c>
      <c r="G132" s="332">
        <v>1352</v>
      </c>
      <c r="H132" s="312">
        <f>10527+688+13727</f>
        <v>24942</v>
      </c>
      <c r="I132" s="321">
        <f>13794+720+10925</f>
        <v>25439</v>
      </c>
      <c r="J132" s="311">
        <f>(I132-H132)/H132</f>
        <v>1.9926228850934168E-2</v>
      </c>
      <c r="K132" s="329" t="s">
        <v>459</v>
      </c>
      <c r="L132" s="313">
        <v>121.669</v>
      </c>
      <c r="M132" s="313">
        <v>117.35</v>
      </c>
      <c r="N132" s="311">
        <f>(M132-L132)/L132</f>
        <v>-3.5497949354395965E-2</v>
      </c>
      <c r="O132" s="314" t="s">
        <v>632</v>
      </c>
      <c r="P132" s="315" t="s">
        <v>380</v>
      </c>
      <c r="Q132" s="316">
        <f>Forudsætninger!B18</f>
        <v>0</v>
      </c>
      <c r="R132" s="321"/>
      <c r="S132" s="313"/>
      <c r="T132" s="311"/>
      <c r="U132" s="312"/>
      <c r="V132" s="321"/>
      <c r="W132" s="321"/>
      <c r="X132" s="335"/>
      <c r="Y132" s="311"/>
      <c r="Z132" s="331"/>
      <c r="AA132" s="336"/>
      <c r="AB132" s="336"/>
      <c r="AC132" s="398" t="s">
        <v>250</v>
      </c>
      <c r="AD132" s="398" t="s">
        <v>156</v>
      </c>
      <c r="AE132" s="323"/>
      <c r="AF132" s="323">
        <f>(Bygninger!M132*Q132*1000)/1000</f>
        <v>0</v>
      </c>
      <c r="AG132" s="323"/>
      <c r="AH132" s="323"/>
      <c r="AI132" s="323"/>
      <c r="AJ132" s="323"/>
    </row>
    <row r="133" spans="1:36">
      <c r="A133" s="399" t="s">
        <v>566</v>
      </c>
      <c r="B133" s="306" t="s">
        <v>75</v>
      </c>
      <c r="C133" s="328">
        <v>48</v>
      </c>
      <c r="D133" s="308">
        <v>5690</v>
      </c>
      <c r="E133" s="306" t="s">
        <v>7</v>
      </c>
      <c r="F133" s="328">
        <v>13795</v>
      </c>
      <c r="G133" s="312">
        <v>1168</v>
      </c>
      <c r="H133" s="312">
        <f>144+11974</f>
        <v>12118</v>
      </c>
      <c r="I133" s="321">
        <v>6519</v>
      </c>
      <c r="J133" s="311">
        <f>(I133-H133)/H133</f>
        <v>-0.46203994058425485</v>
      </c>
      <c r="K133" s="329" t="s">
        <v>459</v>
      </c>
      <c r="L133" s="313"/>
      <c r="M133" s="313"/>
      <c r="N133" s="311"/>
      <c r="O133" s="314"/>
      <c r="P133" s="335"/>
      <c r="Q133" s="316"/>
      <c r="R133" s="321">
        <v>1845</v>
      </c>
      <c r="S133" s="321">
        <v>513</v>
      </c>
      <c r="T133" s="311">
        <f>(S133-R133)/R133</f>
        <v>-0.7219512195121951</v>
      </c>
      <c r="U133" s="330" t="s">
        <v>635</v>
      </c>
      <c r="V133" s="321">
        <v>4314</v>
      </c>
      <c r="W133" s="321">
        <v>3233</v>
      </c>
      <c r="X133" s="335"/>
      <c r="Y133" s="311"/>
      <c r="Z133" s="331"/>
      <c r="AA133" s="321"/>
      <c r="AB133" s="321"/>
      <c r="AC133" s="322" t="s">
        <v>204</v>
      </c>
      <c r="AD133" s="322" t="s">
        <v>156</v>
      </c>
      <c r="AE133" s="323"/>
      <c r="AF133" s="323">
        <f>(Bygninger!M133*Q133*1000)/1000</f>
        <v>0</v>
      </c>
      <c r="AG133" s="323"/>
      <c r="AH133" s="323"/>
      <c r="AI133" s="323"/>
      <c r="AJ133" s="323"/>
    </row>
    <row r="134" spans="1:36">
      <c r="A134" s="306" t="s">
        <v>567</v>
      </c>
      <c r="B134" s="306" t="s">
        <v>85</v>
      </c>
      <c r="C134" s="328">
        <v>10</v>
      </c>
      <c r="D134" s="308">
        <v>5560</v>
      </c>
      <c r="E134" s="306" t="s">
        <v>5</v>
      </c>
      <c r="F134" s="328">
        <v>19297</v>
      </c>
      <c r="G134" s="312">
        <v>586</v>
      </c>
      <c r="H134" s="312">
        <v>20795</v>
      </c>
      <c r="I134" s="321">
        <v>19195</v>
      </c>
      <c r="J134" s="311">
        <f>(I134-H134)/H134</f>
        <v>-7.694157249338783E-2</v>
      </c>
      <c r="K134" s="329" t="s">
        <v>459</v>
      </c>
      <c r="L134" s="313"/>
      <c r="M134" s="313"/>
      <c r="N134" s="311"/>
      <c r="O134" s="314"/>
      <c r="P134" s="335"/>
      <c r="Q134" s="316"/>
      <c r="R134" s="321">
        <v>1275</v>
      </c>
      <c r="S134" s="321">
        <v>1196</v>
      </c>
      <c r="T134" s="311">
        <f>(S134-R134)/R134</f>
        <v>-6.1960784313725488E-2</v>
      </c>
      <c r="U134" s="330" t="s">
        <v>634</v>
      </c>
      <c r="V134" s="321"/>
      <c r="W134" s="321"/>
      <c r="X134" s="335"/>
      <c r="Y134" s="311"/>
      <c r="Z134" s="331"/>
      <c r="AA134" s="321"/>
      <c r="AB134" s="321"/>
      <c r="AC134" s="322" t="s">
        <v>251</v>
      </c>
      <c r="AD134" s="322" t="s">
        <v>235</v>
      </c>
      <c r="AE134" s="323"/>
      <c r="AF134" s="323">
        <f>(Bygninger!M134*Q134*1000)/1000</f>
        <v>0</v>
      </c>
      <c r="AG134" s="323"/>
      <c r="AH134" s="323"/>
      <c r="AI134" s="323"/>
      <c r="AJ134" s="323"/>
    </row>
    <row r="135" spans="1:36">
      <c r="A135" s="325" t="s">
        <v>131</v>
      </c>
      <c r="B135" s="325" t="s">
        <v>4</v>
      </c>
      <c r="C135" s="326">
        <v>22</v>
      </c>
      <c r="D135" s="327">
        <v>5560</v>
      </c>
      <c r="E135" s="325" t="s">
        <v>5</v>
      </c>
      <c r="F135" s="326">
        <v>19221</v>
      </c>
      <c r="G135" s="332">
        <v>1378</v>
      </c>
      <c r="H135" s="312">
        <v>66194</v>
      </c>
      <c r="I135" s="321">
        <v>62091</v>
      </c>
      <c r="J135" s="311">
        <f>(I135-H135)/H135</f>
        <v>-6.1984469891530954E-2</v>
      </c>
      <c r="K135" s="329" t="s">
        <v>590</v>
      </c>
      <c r="L135" s="313"/>
      <c r="M135" s="313"/>
      <c r="N135" s="311"/>
      <c r="O135" s="314"/>
      <c r="P135" s="335"/>
      <c r="Q135" s="316"/>
      <c r="R135" s="321">
        <v>7994</v>
      </c>
      <c r="S135" s="321">
        <v>8952</v>
      </c>
      <c r="T135" s="311">
        <f>(S135-R135)/R135</f>
        <v>0.11983987990993245</v>
      </c>
      <c r="U135" s="330" t="s">
        <v>634</v>
      </c>
      <c r="V135" s="321"/>
      <c r="W135" s="321"/>
      <c r="X135" s="335"/>
      <c r="Y135" s="311"/>
      <c r="Z135" s="331"/>
      <c r="AA135" s="336"/>
      <c r="AB135" s="336"/>
      <c r="AC135" s="355" t="s">
        <v>252</v>
      </c>
      <c r="AD135" s="355" t="s">
        <v>181</v>
      </c>
      <c r="AE135" s="323"/>
      <c r="AF135" s="323">
        <f>(Bygninger!M135*Q135*1000)/1000</f>
        <v>0</v>
      </c>
      <c r="AG135" s="323"/>
      <c r="AH135" s="323"/>
      <c r="AI135" s="323"/>
      <c r="AJ135" s="323"/>
    </row>
    <row r="136" spans="1:36" collapsed="1">
      <c r="A136" s="288" t="s">
        <v>389</v>
      </c>
      <c r="B136" s="289"/>
      <c r="C136" s="290"/>
      <c r="D136" s="291"/>
      <c r="E136" s="289"/>
      <c r="F136" s="292"/>
      <c r="G136" s="293">
        <f t="shared" ref="G136:Y136" si="14">SUM(G138:G143)</f>
        <v>1575</v>
      </c>
      <c r="H136" s="293">
        <f t="shared" si="14"/>
        <v>49378</v>
      </c>
      <c r="I136" s="293">
        <f t="shared" si="14"/>
        <v>41451</v>
      </c>
      <c r="J136" s="293"/>
      <c r="K136" s="293"/>
      <c r="L136" s="293">
        <f t="shared" si="14"/>
        <v>0</v>
      </c>
      <c r="M136" s="293">
        <f t="shared" si="14"/>
        <v>0</v>
      </c>
      <c r="N136" s="293">
        <f t="shared" si="14"/>
        <v>0</v>
      </c>
      <c r="O136" s="293"/>
      <c r="P136" s="293">
        <f t="shared" si="14"/>
        <v>0</v>
      </c>
      <c r="Q136" s="293">
        <f t="shared" si="14"/>
        <v>0</v>
      </c>
      <c r="R136" s="293">
        <f t="shared" si="14"/>
        <v>6025</v>
      </c>
      <c r="S136" s="293">
        <f t="shared" si="14"/>
        <v>6987</v>
      </c>
      <c r="T136" s="293">
        <f t="shared" si="14"/>
        <v>0.22023809523809523</v>
      </c>
      <c r="U136" s="417"/>
      <c r="V136" s="293">
        <f t="shared" si="14"/>
        <v>6225</v>
      </c>
      <c r="W136" s="293">
        <f t="shared" si="14"/>
        <v>7970</v>
      </c>
      <c r="X136" s="293">
        <f t="shared" si="14"/>
        <v>0</v>
      </c>
      <c r="Y136" s="293">
        <f t="shared" si="14"/>
        <v>0.89915468749435801</v>
      </c>
      <c r="Z136" s="293">
        <f>Z137</f>
        <v>156529.69444444444</v>
      </c>
      <c r="AA136" s="293">
        <f t="shared" ref="AA136:AJ136" si="15">AA137</f>
        <v>31.351111111111113</v>
      </c>
      <c r="AB136" s="293">
        <f t="shared" si="15"/>
        <v>99.383932980599639</v>
      </c>
      <c r="AC136" s="293">
        <f t="shared" si="15"/>
        <v>0</v>
      </c>
      <c r="AD136" s="293">
        <f t="shared" si="15"/>
        <v>0</v>
      </c>
      <c r="AE136" s="293">
        <f t="shared" si="15"/>
        <v>18.155538</v>
      </c>
      <c r="AF136" s="293">
        <f t="shared" si="15"/>
        <v>0</v>
      </c>
      <c r="AG136" s="293">
        <f t="shared" si="15"/>
        <v>15.685815</v>
      </c>
      <c r="AH136" s="293">
        <f t="shared" si="15"/>
        <v>21.1205</v>
      </c>
      <c r="AI136" s="293">
        <f t="shared" si="15"/>
        <v>36.806314999999998</v>
      </c>
      <c r="AJ136" s="293">
        <f t="shared" si="15"/>
        <v>54.961852999999998</v>
      </c>
    </row>
    <row r="137" spans="1:36" s="426" customFormat="1">
      <c r="A137" s="427" t="s">
        <v>336</v>
      </c>
      <c r="B137" s="420"/>
      <c r="C137" s="421"/>
      <c r="D137" s="422"/>
      <c r="E137" s="420"/>
      <c r="F137" s="423"/>
      <c r="G137" s="424">
        <f>G138+G139+G140+G141+G142+G143</f>
        <v>1575</v>
      </c>
      <c r="H137" s="424">
        <f t="shared" ref="H137:I137" si="16">H138+H139+H140+H141+H142+H143</f>
        <v>49378</v>
      </c>
      <c r="I137" s="424">
        <f t="shared" si="16"/>
        <v>41451</v>
      </c>
      <c r="J137" s="424">
        <f t="shared" ref="J137" si="17">J138+J139+J140+J141+J142+J143</f>
        <v>-1.3187750321595222</v>
      </c>
      <c r="K137" s="424" t="e">
        <f t="shared" ref="K137" si="18">K138+K139+K140+K141+K142+K143</f>
        <v>#VALUE!</v>
      </c>
      <c r="L137" s="424">
        <f t="shared" ref="L137" si="19">L138+L139+L140+L141+L142+L143</f>
        <v>0</v>
      </c>
      <c r="M137" s="424">
        <f t="shared" ref="M137" si="20">M138+M139+M140+M141+M142+M143</f>
        <v>0</v>
      </c>
      <c r="N137" s="424">
        <f t="shared" ref="N137" si="21">N138+N139+N140+N141+N142+N143</f>
        <v>0</v>
      </c>
      <c r="O137" s="424">
        <f t="shared" ref="O137" si="22">O138+O139+O140+O141+O142+O143</f>
        <v>0</v>
      </c>
      <c r="P137" s="424">
        <f t="shared" ref="P137" si="23">P138+P139+P140+P141+P142+P143</f>
        <v>0</v>
      </c>
      <c r="Q137" s="424">
        <f t="shared" ref="Q137" si="24">Q138+Q139+Q140+Q141+Q142+Q143</f>
        <v>0</v>
      </c>
      <c r="R137" s="424">
        <f t="shared" ref="R137" si="25">R138+R139+R140+R141+R142+R143</f>
        <v>6025</v>
      </c>
      <c r="S137" s="424">
        <f t="shared" ref="S137" si="26">S138+S139+S140+S141+S142+S143</f>
        <v>6987</v>
      </c>
      <c r="T137" s="424">
        <f t="shared" ref="T137" si="27">T138+T139+T140+T141+T142+T143</f>
        <v>0.22023809523809523</v>
      </c>
      <c r="U137" s="424" t="e">
        <f t="shared" ref="U137" si="28">U138+U139+U140+U141+U142+U143</f>
        <v>#VALUE!</v>
      </c>
      <c r="V137" s="424">
        <f t="shared" ref="V137" si="29">V138+V139+V140+V141+V142+V143</f>
        <v>6225</v>
      </c>
      <c r="W137" s="424">
        <f t="shared" ref="W137" si="30">W138+W139+W140+W141+W142+W143</f>
        <v>7970</v>
      </c>
      <c r="X137" s="425"/>
      <c r="Y137" s="424"/>
      <c r="Z137" s="303">
        <f>M137*1000+S137*energiindhold_naturgas/3.6+W137*energiindhold_olie/3.6</f>
        <v>156529.69444444444</v>
      </c>
      <c r="AA137" s="303">
        <f>H137/G137</f>
        <v>31.351111111111113</v>
      </c>
      <c r="AB137" s="303">
        <f>Z137/G137</f>
        <v>99.383932980599639</v>
      </c>
      <c r="AC137" s="424"/>
      <c r="AD137" s="424"/>
      <c r="AE137" s="295">
        <f>(Bygninger!I137*CO2_el)/1000</f>
        <v>18.155538</v>
      </c>
      <c r="AF137" s="424"/>
      <c r="AG137" s="295">
        <f>(Bygninger!S137*CO2_naturgas)/1000</f>
        <v>15.685815</v>
      </c>
      <c r="AH137" s="295">
        <f>(Bygninger!W137*CO2_olie)/1000</f>
        <v>21.1205</v>
      </c>
      <c r="AI137" s="295">
        <f>SUM(AF137:AH137)</f>
        <v>36.806314999999998</v>
      </c>
      <c r="AJ137" s="295">
        <f>AE137+AI137</f>
        <v>54.961852999999998</v>
      </c>
    </row>
    <row r="138" spans="1:36">
      <c r="A138" s="325" t="s">
        <v>78</v>
      </c>
      <c r="B138" s="325" t="s">
        <v>79</v>
      </c>
      <c r="C138" s="326">
        <v>24</v>
      </c>
      <c r="D138" s="327">
        <v>5610</v>
      </c>
      <c r="E138" s="325" t="s">
        <v>12</v>
      </c>
      <c r="F138" s="326">
        <v>3264</v>
      </c>
      <c r="G138" s="332">
        <v>391</v>
      </c>
      <c r="H138" s="312">
        <v>21049</v>
      </c>
      <c r="I138" s="321">
        <v>19970</v>
      </c>
      <c r="J138" s="311">
        <f t="shared" ref="J138:J143" si="31">(I138-H138)/H138</f>
        <v>-5.1261342581595322E-2</v>
      </c>
      <c r="K138" s="329" t="s">
        <v>584</v>
      </c>
      <c r="L138" s="313"/>
      <c r="M138" s="313"/>
      <c r="N138" s="311"/>
      <c r="O138" s="314"/>
      <c r="P138" s="335"/>
      <c r="Q138" s="316"/>
      <c r="R138" s="321"/>
      <c r="S138" s="321"/>
      <c r="T138" s="311"/>
      <c r="U138" s="312"/>
      <c r="V138" s="321">
        <v>2106</v>
      </c>
      <c r="W138" s="321">
        <v>4238</v>
      </c>
      <c r="X138" s="415"/>
      <c r="Y138" s="311">
        <f t="shared" ref="Y138:Y143" si="32">(W138-V138)/V138</f>
        <v>1.0123456790123457</v>
      </c>
      <c r="Z138" s="331"/>
      <c r="AA138" s="321"/>
      <c r="AB138" s="321"/>
      <c r="AC138" s="322" t="s">
        <v>253</v>
      </c>
      <c r="AD138" s="322" t="s">
        <v>156</v>
      </c>
      <c r="AE138" s="323"/>
      <c r="AF138" s="323">
        <f>(Bygninger!M138*Q138*1000)/1000</f>
        <v>0</v>
      </c>
      <c r="AG138" s="323"/>
      <c r="AH138" s="323"/>
      <c r="AI138" s="323"/>
      <c r="AJ138" s="323"/>
    </row>
    <row r="139" spans="1:36">
      <c r="A139" s="325" t="s">
        <v>527</v>
      </c>
      <c r="B139" s="325" t="s">
        <v>81</v>
      </c>
      <c r="C139" s="326">
        <v>5</v>
      </c>
      <c r="D139" s="327">
        <v>5620</v>
      </c>
      <c r="E139" s="325" t="s">
        <v>13</v>
      </c>
      <c r="F139" s="326">
        <v>5654</v>
      </c>
      <c r="G139" s="332">
        <v>39</v>
      </c>
      <c r="H139" s="312">
        <v>5824</v>
      </c>
      <c r="I139" s="321">
        <v>2329</v>
      </c>
      <c r="J139" s="311">
        <f t="shared" si="31"/>
        <v>-0.60010302197802201</v>
      </c>
      <c r="K139" s="329" t="s">
        <v>459</v>
      </c>
      <c r="L139" s="313"/>
      <c r="M139" s="313"/>
      <c r="N139" s="311"/>
      <c r="O139" s="314"/>
      <c r="P139" s="335"/>
      <c r="Q139" s="316"/>
      <c r="R139" s="321">
        <v>1657</v>
      </c>
      <c r="S139" s="321">
        <v>1657</v>
      </c>
      <c r="T139" s="311">
        <f>(S139-R139)/R139</f>
        <v>0</v>
      </c>
      <c r="U139" s="330"/>
      <c r="V139" s="321"/>
      <c r="W139" s="321"/>
      <c r="X139" s="335"/>
      <c r="Y139" s="311"/>
      <c r="Z139" s="331"/>
      <c r="AA139" s="321"/>
      <c r="AB139" s="321"/>
      <c r="AC139" s="322" t="s">
        <v>256</v>
      </c>
      <c r="AD139" s="322" t="s">
        <v>156</v>
      </c>
      <c r="AE139" s="323"/>
      <c r="AF139" s="323">
        <f>(Bygninger!M139*Q139*1000)/1000</f>
        <v>0</v>
      </c>
      <c r="AG139" s="323"/>
      <c r="AH139" s="323"/>
      <c r="AI139" s="323"/>
      <c r="AJ139" s="323"/>
    </row>
    <row r="140" spans="1:36">
      <c r="A140" s="325" t="s">
        <v>591</v>
      </c>
      <c r="B140" s="325" t="s">
        <v>75</v>
      </c>
      <c r="C140" s="326">
        <v>50</v>
      </c>
      <c r="D140" s="327">
        <v>5690</v>
      </c>
      <c r="E140" s="325" t="s">
        <v>7</v>
      </c>
      <c r="F140" s="326">
        <v>13765</v>
      </c>
      <c r="G140" s="332">
        <v>280</v>
      </c>
      <c r="H140" s="312">
        <v>4357</v>
      </c>
      <c r="I140" s="321">
        <v>4154</v>
      </c>
      <c r="J140" s="311">
        <f t="shared" si="31"/>
        <v>-4.6591691530869866E-2</v>
      </c>
      <c r="K140" s="329" t="s">
        <v>459</v>
      </c>
      <c r="L140" s="313"/>
      <c r="M140" s="313"/>
      <c r="N140" s="311"/>
      <c r="O140" s="314"/>
      <c r="P140" s="335"/>
      <c r="Q140" s="316"/>
      <c r="R140" s="321"/>
      <c r="S140" s="321"/>
      <c r="T140" s="311"/>
      <c r="U140" s="312"/>
      <c r="V140" s="400">
        <v>700</v>
      </c>
      <c r="W140" s="321">
        <v>700</v>
      </c>
      <c r="X140" s="335"/>
      <c r="Y140" s="401">
        <f t="shared" si="32"/>
        <v>0</v>
      </c>
      <c r="Z140" s="331"/>
      <c r="AA140" s="321"/>
      <c r="AB140" s="321"/>
      <c r="AC140" s="322" t="s">
        <v>204</v>
      </c>
      <c r="AD140" s="322" t="s">
        <v>156</v>
      </c>
      <c r="AE140" s="323"/>
      <c r="AF140" s="323">
        <f>(Bygninger!M140*Q140*1000)/1000</f>
        <v>0</v>
      </c>
      <c r="AG140" s="323"/>
      <c r="AH140" s="323"/>
      <c r="AI140" s="323"/>
      <c r="AJ140" s="323"/>
    </row>
    <row r="141" spans="1:36">
      <c r="A141" s="306" t="s">
        <v>530</v>
      </c>
      <c r="B141" s="306" t="s">
        <v>35</v>
      </c>
      <c r="C141" s="326">
        <v>61</v>
      </c>
      <c r="D141" s="308">
        <v>5560</v>
      </c>
      <c r="E141" s="306" t="s">
        <v>5</v>
      </c>
      <c r="F141" s="328" t="s">
        <v>150</v>
      </c>
      <c r="G141" s="312">
        <v>156</v>
      </c>
      <c r="H141" s="312">
        <v>1372</v>
      </c>
      <c r="I141" s="321">
        <v>1380</v>
      </c>
      <c r="J141" s="311">
        <f t="shared" si="31"/>
        <v>5.8309037900874635E-3</v>
      </c>
      <c r="K141" s="329" t="s">
        <v>459</v>
      </c>
      <c r="L141" s="313"/>
      <c r="M141" s="313"/>
      <c r="N141" s="311"/>
      <c r="O141" s="314"/>
      <c r="P141" s="335"/>
      <c r="Q141" s="316"/>
      <c r="R141" s="321"/>
      <c r="S141" s="321"/>
      <c r="T141" s="311"/>
      <c r="U141" s="312"/>
      <c r="V141" s="321"/>
      <c r="W141" s="321"/>
      <c r="X141" s="335"/>
      <c r="Y141" s="311"/>
      <c r="Z141" s="331"/>
      <c r="AA141" s="321"/>
      <c r="AB141" s="321"/>
      <c r="AC141" s="322" t="s">
        <v>191</v>
      </c>
      <c r="AD141" s="322" t="s">
        <v>156</v>
      </c>
      <c r="AE141" s="323"/>
      <c r="AF141" s="323">
        <f>(Bygninger!M141*Q141*1000)/1000</f>
        <v>0</v>
      </c>
      <c r="AG141" s="323"/>
      <c r="AH141" s="323"/>
      <c r="AI141" s="323"/>
      <c r="AJ141" s="323"/>
    </row>
    <row r="142" spans="1:36">
      <c r="A142" s="325" t="s">
        <v>70</v>
      </c>
      <c r="B142" s="325" t="s">
        <v>29</v>
      </c>
      <c r="C142" s="326">
        <v>13</v>
      </c>
      <c r="D142" s="327">
        <v>5560</v>
      </c>
      <c r="E142" s="325" t="s">
        <v>5</v>
      </c>
      <c r="F142" s="326" t="s">
        <v>268</v>
      </c>
      <c r="G142" s="332">
        <v>528</v>
      </c>
      <c r="H142" s="312">
        <v>11856</v>
      </c>
      <c r="I142" s="321">
        <v>11728</v>
      </c>
      <c r="J142" s="311">
        <f t="shared" si="31"/>
        <v>-1.0796221322537112E-2</v>
      </c>
      <c r="K142" s="329" t="s">
        <v>616</v>
      </c>
      <c r="L142" s="313"/>
      <c r="M142" s="313"/>
      <c r="N142" s="311"/>
      <c r="O142" s="314"/>
      <c r="P142" s="335"/>
      <c r="Q142" s="316"/>
      <c r="R142" s="321">
        <v>4368</v>
      </c>
      <c r="S142" s="321">
        <v>5330</v>
      </c>
      <c r="T142" s="311">
        <f>(S142-R142)/R142</f>
        <v>0.22023809523809523</v>
      </c>
      <c r="U142" s="330" t="s">
        <v>634</v>
      </c>
      <c r="V142" s="321"/>
      <c r="W142" s="321"/>
      <c r="X142" s="335"/>
      <c r="Y142" s="311"/>
      <c r="Z142" s="331"/>
      <c r="AA142" s="321"/>
      <c r="AB142" s="321"/>
      <c r="AC142" s="322" t="s">
        <v>261</v>
      </c>
      <c r="AD142" s="322" t="s">
        <v>262</v>
      </c>
      <c r="AE142" s="323"/>
      <c r="AF142" s="323">
        <f>(Bygninger!M142*Q142*1000)/1000</f>
        <v>0</v>
      </c>
      <c r="AG142" s="323"/>
      <c r="AH142" s="323"/>
      <c r="AI142" s="323"/>
      <c r="AJ142" s="323"/>
    </row>
    <row r="143" spans="1:36" s="353" customFormat="1">
      <c r="A143" s="345" t="s">
        <v>80</v>
      </c>
      <c r="B143" s="345" t="s">
        <v>68</v>
      </c>
      <c r="C143" s="346">
        <v>35</v>
      </c>
      <c r="D143" s="347">
        <v>5610</v>
      </c>
      <c r="E143" s="345" t="s">
        <v>12</v>
      </c>
      <c r="F143" s="346">
        <v>4890</v>
      </c>
      <c r="G143" s="348">
        <v>181</v>
      </c>
      <c r="H143" s="333">
        <v>4920</v>
      </c>
      <c r="I143" s="321">
        <v>1890</v>
      </c>
      <c r="J143" s="311">
        <f t="shared" si="31"/>
        <v>-0.61585365853658536</v>
      </c>
      <c r="K143" s="366" t="s">
        <v>459</v>
      </c>
      <c r="L143" s="367"/>
      <c r="M143" s="367"/>
      <c r="N143" s="311"/>
      <c r="O143" s="351"/>
      <c r="P143" s="402"/>
      <c r="Q143" s="352"/>
      <c r="R143" s="333"/>
      <c r="S143" s="333"/>
      <c r="T143" s="311"/>
      <c r="U143" s="333"/>
      <c r="V143" s="403">
        <v>3419</v>
      </c>
      <c r="W143" s="321">
        <v>3032</v>
      </c>
      <c r="X143" s="335"/>
      <c r="Y143" s="404">
        <f t="shared" si="32"/>
        <v>-0.11319099151798771</v>
      </c>
      <c r="Z143" s="331"/>
      <c r="AA143" s="321"/>
      <c r="AB143" s="321"/>
      <c r="AC143" s="322" t="s">
        <v>254</v>
      </c>
      <c r="AD143" s="322" t="s">
        <v>156</v>
      </c>
      <c r="AE143" s="323"/>
      <c r="AF143" s="323">
        <f>(Bygninger!M143*Q143*1000)/1000</f>
        <v>0</v>
      </c>
      <c r="AG143" s="323"/>
      <c r="AH143" s="323"/>
      <c r="AI143" s="323"/>
      <c r="AJ143" s="323"/>
    </row>
    <row r="144" spans="1:36">
      <c r="A144" s="325"/>
      <c r="B144" s="325"/>
      <c r="C144" s="326"/>
      <c r="D144" s="327"/>
      <c r="E144" s="325"/>
      <c r="F144" s="326"/>
      <c r="G144" s="336"/>
      <c r="H144" s="386"/>
      <c r="I144" s="405"/>
      <c r="J144" s="311"/>
      <c r="K144" s="405"/>
      <c r="L144" s="315"/>
      <c r="M144" s="315"/>
      <c r="N144" s="311"/>
      <c r="O144" s="330"/>
      <c r="P144" s="406"/>
      <c r="Q144" s="336"/>
      <c r="R144" s="335"/>
      <c r="S144" s="335"/>
      <c r="T144" s="311"/>
      <c r="U144" s="330"/>
      <c r="V144" s="335"/>
      <c r="W144" s="406"/>
      <c r="X144" s="406"/>
      <c r="Y144" s="311"/>
      <c r="Z144" s="406"/>
      <c r="AA144" s="405"/>
      <c r="AB144" s="405"/>
      <c r="AC144" s="355"/>
      <c r="AD144" s="355"/>
      <c r="AE144" s="327"/>
      <c r="AF144" s="327"/>
      <c r="AG144" s="327"/>
      <c r="AH144" s="327"/>
      <c r="AI144" s="327"/>
      <c r="AJ144" s="327"/>
    </row>
    <row r="145" spans="1:36" collapsed="1">
      <c r="A145" s="288" t="s">
        <v>568</v>
      </c>
      <c r="B145" s="289"/>
      <c r="C145" s="290"/>
      <c r="D145" s="291"/>
      <c r="E145" s="289"/>
      <c r="F145" s="292"/>
      <c r="G145" s="293"/>
      <c r="H145" s="293"/>
      <c r="I145" s="293"/>
      <c r="J145" s="293"/>
      <c r="K145" s="293"/>
      <c r="L145" s="293"/>
      <c r="M145" s="293"/>
      <c r="N145" s="293"/>
      <c r="O145" s="293"/>
      <c r="P145" s="293"/>
      <c r="Q145" s="293"/>
      <c r="R145" s="293"/>
      <c r="S145" s="293"/>
      <c r="T145" s="293"/>
      <c r="U145" s="293"/>
      <c r="V145" s="293"/>
      <c r="W145" s="293"/>
      <c r="X145" s="411"/>
      <c r="Y145" s="293"/>
      <c r="Z145" s="293"/>
      <c r="AA145" s="293"/>
      <c r="AB145" s="293"/>
      <c r="AC145" s="293"/>
      <c r="AD145" s="293"/>
      <c r="AE145" s="293"/>
      <c r="AF145" s="293"/>
      <c r="AG145" s="293"/>
      <c r="AH145" s="293"/>
      <c r="AI145" s="293"/>
      <c r="AJ145" s="293"/>
    </row>
    <row r="146" spans="1:36">
      <c r="A146" s="325" t="s">
        <v>622</v>
      </c>
      <c r="B146" s="325" t="s">
        <v>84</v>
      </c>
      <c r="C146" s="326">
        <v>11</v>
      </c>
      <c r="D146" s="327">
        <v>5690</v>
      </c>
      <c r="E146" s="325" t="s">
        <v>7</v>
      </c>
      <c r="F146" s="326">
        <v>11677</v>
      </c>
      <c r="G146" s="332">
        <v>155</v>
      </c>
      <c r="H146" s="312">
        <v>1</v>
      </c>
      <c r="I146" s="312">
        <v>0</v>
      </c>
      <c r="J146" s="311">
        <f t="shared" ref="J146:J151" si="33">(I146-H146)/H146</f>
        <v>-1</v>
      </c>
      <c r="K146" s="329"/>
      <c r="L146" s="313">
        <v>17.690000000000001</v>
      </c>
      <c r="M146" s="354">
        <v>0</v>
      </c>
      <c r="N146" s="311"/>
      <c r="O146" s="314"/>
      <c r="P146" s="315"/>
      <c r="Q146" s="316"/>
      <c r="R146" s="321"/>
      <c r="S146" s="321"/>
      <c r="T146" s="311"/>
      <c r="U146" s="312"/>
      <c r="V146" s="321"/>
      <c r="W146" s="321"/>
      <c r="X146" s="335"/>
      <c r="Y146" s="311"/>
      <c r="Z146" s="331"/>
      <c r="AA146" s="336"/>
      <c r="AB146" s="336"/>
      <c r="AC146" s="355">
        <v>1966</v>
      </c>
      <c r="AD146" s="355" t="s">
        <v>156</v>
      </c>
      <c r="AE146" s="323"/>
      <c r="AF146" s="323">
        <f>(Bygninger!M146*Q146*1000)/1000</f>
        <v>0</v>
      </c>
      <c r="AG146" s="323"/>
      <c r="AH146" s="323"/>
      <c r="AI146" s="323"/>
      <c r="AJ146" s="323"/>
    </row>
    <row r="147" spans="1:36">
      <c r="A147" s="325" t="s">
        <v>623</v>
      </c>
      <c r="B147" s="325" t="s">
        <v>50</v>
      </c>
      <c r="C147" s="326">
        <v>8</v>
      </c>
      <c r="D147" s="327">
        <v>5610</v>
      </c>
      <c r="E147" s="325" t="s">
        <v>12</v>
      </c>
      <c r="F147" s="326">
        <v>1714</v>
      </c>
      <c r="G147" s="332">
        <v>1225</v>
      </c>
      <c r="H147" s="312">
        <v>9525</v>
      </c>
      <c r="I147" s="312">
        <v>0</v>
      </c>
      <c r="J147" s="311">
        <f t="shared" si="33"/>
        <v>-1</v>
      </c>
      <c r="K147" s="329"/>
      <c r="L147" s="313"/>
      <c r="M147" s="313"/>
      <c r="N147" s="311"/>
      <c r="O147" s="314"/>
      <c r="P147" s="335"/>
      <c r="Q147" s="316"/>
      <c r="R147" s="321"/>
      <c r="S147" s="321"/>
      <c r="T147" s="311"/>
      <c r="U147" s="312"/>
      <c r="V147" s="321">
        <v>4565</v>
      </c>
      <c r="W147" s="321">
        <v>0</v>
      </c>
      <c r="X147" s="335"/>
      <c r="Y147" s="311"/>
      <c r="Z147" s="331"/>
      <c r="AA147" s="336"/>
      <c r="AB147" s="336"/>
      <c r="AC147" s="355" t="s">
        <v>197</v>
      </c>
      <c r="AD147" s="355" t="s">
        <v>198</v>
      </c>
      <c r="AE147" s="323"/>
      <c r="AF147" s="323">
        <f>(Bygninger!M147*Q147*1000)/1000</f>
        <v>0</v>
      </c>
      <c r="AG147" s="323"/>
      <c r="AH147" s="323"/>
      <c r="AI147" s="323"/>
      <c r="AJ147" s="323"/>
    </row>
    <row r="148" spans="1:36">
      <c r="A148" s="325" t="s">
        <v>624</v>
      </c>
      <c r="B148" s="325" t="s">
        <v>88</v>
      </c>
      <c r="C148" s="326">
        <v>1</v>
      </c>
      <c r="D148" s="327">
        <v>5690</v>
      </c>
      <c r="E148" s="325" t="s">
        <v>7</v>
      </c>
      <c r="F148" s="326">
        <v>11738</v>
      </c>
      <c r="G148" s="332">
        <v>597</v>
      </c>
      <c r="H148" s="312">
        <v>2220</v>
      </c>
      <c r="I148" s="312">
        <v>0</v>
      </c>
      <c r="J148" s="311">
        <f t="shared" si="33"/>
        <v>-1</v>
      </c>
      <c r="K148" s="329"/>
      <c r="L148" s="313"/>
      <c r="M148" s="313"/>
      <c r="N148" s="311"/>
      <c r="O148" s="314"/>
      <c r="P148" s="335"/>
      <c r="Q148" s="316"/>
      <c r="R148" s="321"/>
      <c r="S148" s="321"/>
      <c r="T148" s="311"/>
      <c r="U148" s="407"/>
      <c r="V148" s="321"/>
      <c r="W148" s="321"/>
      <c r="X148" s="335"/>
      <c r="Y148" s="311"/>
      <c r="Z148" s="331"/>
      <c r="AA148" s="336"/>
      <c r="AB148" s="336"/>
      <c r="AC148" s="355" t="s">
        <v>214</v>
      </c>
      <c r="AD148" s="355" t="s">
        <v>215</v>
      </c>
      <c r="AE148" s="323"/>
      <c r="AF148" s="323">
        <f>(Bygninger!M148*Q148*1000)/1000</f>
        <v>0</v>
      </c>
      <c r="AG148" s="323"/>
      <c r="AH148" s="323"/>
      <c r="AI148" s="323"/>
      <c r="AJ148" s="323"/>
    </row>
    <row r="149" spans="1:36">
      <c r="A149" s="325" t="s">
        <v>625</v>
      </c>
      <c r="B149" s="325" t="s">
        <v>57</v>
      </c>
      <c r="C149" s="326">
        <v>28</v>
      </c>
      <c r="D149" s="327">
        <v>5610</v>
      </c>
      <c r="E149" s="325" t="s">
        <v>12</v>
      </c>
      <c r="F149" s="326">
        <v>950</v>
      </c>
      <c r="G149" s="332">
        <v>574</v>
      </c>
      <c r="H149" s="312">
        <v>1200</v>
      </c>
      <c r="I149" s="312">
        <v>0</v>
      </c>
      <c r="J149" s="311">
        <f t="shared" si="33"/>
        <v>-1</v>
      </c>
      <c r="K149" s="329"/>
      <c r="L149" s="313"/>
      <c r="M149" s="313"/>
      <c r="N149" s="311"/>
      <c r="O149" s="314"/>
      <c r="P149" s="335"/>
      <c r="Q149" s="316"/>
      <c r="R149" s="321"/>
      <c r="S149" s="313"/>
      <c r="T149" s="311"/>
      <c r="U149" s="408"/>
      <c r="V149" s="321">
        <v>0</v>
      </c>
      <c r="W149" s="321">
        <v>0</v>
      </c>
      <c r="X149" s="335"/>
      <c r="Y149" s="311"/>
      <c r="Z149" s="331"/>
      <c r="AA149" s="336"/>
      <c r="AB149" s="336"/>
      <c r="AC149" s="355" t="s">
        <v>158</v>
      </c>
      <c r="AD149" s="355">
        <v>1998</v>
      </c>
      <c r="AE149" s="323"/>
      <c r="AF149" s="323">
        <f>(Bygninger!M149*Q149*1000)/1000</f>
        <v>0</v>
      </c>
      <c r="AG149" s="323"/>
      <c r="AH149" s="323"/>
      <c r="AI149" s="323"/>
      <c r="AJ149" s="323"/>
    </row>
    <row r="150" spans="1:36">
      <c r="A150" s="325" t="s">
        <v>626</v>
      </c>
      <c r="B150" s="325" t="s">
        <v>24</v>
      </c>
      <c r="C150" s="326" t="s">
        <v>232</v>
      </c>
      <c r="D150" s="327">
        <v>5560</v>
      </c>
      <c r="E150" s="325" t="s">
        <v>5</v>
      </c>
      <c r="F150" s="326">
        <v>19440</v>
      </c>
      <c r="G150" s="332">
        <v>491</v>
      </c>
      <c r="H150" s="312">
        <v>14584</v>
      </c>
      <c r="I150" s="312">
        <v>0</v>
      </c>
      <c r="J150" s="311">
        <f t="shared" si="33"/>
        <v>-1</v>
      </c>
      <c r="K150" s="329"/>
      <c r="L150" s="313"/>
      <c r="M150" s="313"/>
      <c r="N150" s="311"/>
      <c r="O150" s="314"/>
      <c r="P150" s="335"/>
      <c r="Q150" s="316"/>
      <c r="R150" s="321"/>
      <c r="S150" s="313"/>
      <c r="T150" s="311"/>
      <c r="U150" s="312"/>
      <c r="V150" s="321">
        <v>3038</v>
      </c>
      <c r="W150" s="321">
        <v>0</v>
      </c>
      <c r="X150" s="335"/>
      <c r="Y150" s="311"/>
      <c r="Z150" s="331"/>
      <c r="AA150" s="336"/>
      <c r="AB150" s="336"/>
      <c r="AC150" s="355" t="s">
        <v>210</v>
      </c>
      <c r="AD150" s="355" t="s">
        <v>233</v>
      </c>
      <c r="AE150" s="323"/>
      <c r="AF150" s="323">
        <f>(Bygninger!M150*Q150*1000)/1000</f>
        <v>0</v>
      </c>
      <c r="AG150" s="323"/>
      <c r="AH150" s="323"/>
      <c r="AI150" s="323"/>
      <c r="AJ150" s="323"/>
    </row>
    <row r="151" spans="1:36">
      <c r="A151" s="325" t="s">
        <v>641</v>
      </c>
      <c r="B151" s="325" t="s">
        <v>19</v>
      </c>
      <c r="C151" s="326">
        <v>2</v>
      </c>
      <c r="D151" s="327">
        <v>5683</v>
      </c>
      <c r="E151" s="325" t="s">
        <v>10</v>
      </c>
      <c r="F151" s="326">
        <v>9218</v>
      </c>
      <c r="G151" s="332">
        <v>225</v>
      </c>
      <c r="H151" s="312">
        <v>2985</v>
      </c>
      <c r="I151" s="321">
        <v>0</v>
      </c>
      <c r="J151" s="311">
        <f t="shared" si="33"/>
        <v>-1</v>
      </c>
      <c r="K151" s="329" t="s">
        <v>459</v>
      </c>
      <c r="L151" s="313">
        <v>16.018000000000001</v>
      </c>
      <c r="M151" s="354">
        <f>114.232-114.205</f>
        <v>2.7000000000001023E-2</v>
      </c>
      <c r="N151" s="311">
        <f>(M151-L151)/L151</f>
        <v>-0.99831439630415775</v>
      </c>
      <c r="O151" s="314"/>
      <c r="P151" s="315" t="s">
        <v>383</v>
      </c>
      <c r="Q151" s="352">
        <f>Forudsætninger!B26</f>
        <v>0</v>
      </c>
      <c r="R151" s="321"/>
      <c r="S151" s="321"/>
      <c r="T151" s="311"/>
      <c r="U151" s="312"/>
      <c r="V151" s="321"/>
      <c r="W151" s="321"/>
      <c r="X151" s="335"/>
      <c r="Y151" s="311"/>
      <c r="Z151" s="331"/>
      <c r="AA151" s="336"/>
      <c r="AB151" s="336"/>
      <c r="AC151" s="355">
        <v>1870</v>
      </c>
      <c r="AD151" s="355">
        <v>2006</v>
      </c>
      <c r="AE151" s="323"/>
      <c r="AF151" s="323">
        <f>(Bygninger!M151*Q151*1000)/1000</f>
        <v>0</v>
      </c>
      <c r="AG151" s="323"/>
      <c r="AH151" s="323"/>
      <c r="AI151" s="323"/>
      <c r="AJ151" s="323"/>
    </row>
  </sheetData>
  <phoneticPr fontId="0" type="noConversion"/>
  <pageMargins left="0" right="0" top="3.937007874015748E-2" bottom="3.937007874015748E-2" header="0" footer="0"/>
  <pageSetup paperSize="8" scale="53" fitToHeight="0" orientation="landscape" r:id="rId1"/>
  <headerFooter alignWithMargins="0">
    <oddFooter>&amp;L&amp;F&amp;C&amp;D&amp;R&amp;P</oddFooter>
  </headerFooter>
  <rowBreaks count="1" manualBreakCount="1">
    <brk id="127" max="29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57"/>
  </sheetPr>
  <dimension ref="A1:Q58"/>
  <sheetViews>
    <sheetView tabSelected="1" view="pageBreakPreview" topLeftCell="A10" zoomScale="115" zoomScaleNormal="70" zoomScaleSheetLayoutView="115" workbookViewId="0">
      <selection activeCell="D31" activeCellId="1" sqref="D22 D31"/>
    </sheetView>
  </sheetViews>
  <sheetFormatPr defaultRowHeight="14.25"/>
  <cols>
    <col min="1" max="1" width="4.85546875" style="25" customWidth="1"/>
    <col min="2" max="2" width="11.42578125" style="5" customWidth="1"/>
    <col min="3" max="3" width="39.85546875" style="5" bestFit="1" customWidth="1"/>
    <col min="4" max="6" width="16.7109375" style="9" customWidth="1"/>
    <col min="7" max="7" width="4.7109375" style="25" customWidth="1"/>
    <col min="8" max="8" width="17" style="5" customWidth="1"/>
    <col min="9" max="9" width="25.42578125" style="5" bestFit="1" customWidth="1"/>
    <col min="10" max="10" width="7.5703125" style="5" bestFit="1" customWidth="1"/>
    <col min="11" max="11" width="9.140625" style="5"/>
    <col min="12" max="12" width="6.85546875" style="5" bestFit="1" customWidth="1"/>
    <col min="13" max="16" width="9.140625" style="5"/>
    <col min="18" max="16384" width="9.140625" style="5"/>
  </cols>
  <sheetData>
    <row r="1" spans="1:7" s="4" customFormat="1" ht="24.95" customHeight="1">
      <c r="A1" s="27"/>
      <c r="B1" s="30" t="s">
        <v>585</v>
      </c>
      <c r="C1" s="27"/>
      <c r="D1" s="27"/>
      <c r="E1" s="27"/>
      <c r="F1" s="27"/>
      <c r="G1" s="27"/>
    </row>
    <row r="2" spans="1:7" s="4" customFormat="1" ht="15">
      <c r="A2" s="27"/>
      <c r="B2" s="25" t="str">
        <f>"Indbyggere: "&amp;Antal_borgere</f>
        <v>Indbyggere: 41443</v>
      </c>
      <c r="C2" s="241"/>
      <c r="D2" s="27"/>
      <c r="E2" s="27"/>
      <c r="F2" s="27"/>
      <c r="G2" s="27"/>
    </row>
    <row r="3" spans="1:7" s="4" customFormat="1" ht="15">
      <c r="A3" s="27"/>
      <c r="B3" s="25"/>
      <c r="C3" s="27"/>
      <c r="D3" s="27"/>
      <c r="E3" s="27"/>
      <c r="F3" s="27"/>
      <c r="G3" s="27"/>
    </row>
    <row r="4" spans="1:7" s="4" customFormat="1" ht="14.25" customHeight="1">
      <c r="A4" s="27"/>
      <c r="B4" s="445" t="s">
        <v>406</v>
      </c>
      <c r="C4" s="446"/>
      <c r="D4" s="146" t="s">
        <v>403</v>
      </c>
      <c r="E4" s="146" t="s">
        <v>405</v>
      </c>
      <c r="F4" s="146" t="s">
        <v>404</v>
      </c>
      <c r="G4" s="27"/>
    </row>
    <row r="5" spans="1:7" s="4" customFormat="1" ht="17.25">
      <c r="A5" s="27"/>
      <c r="B5" s="447"/>
      <c r="C5" s="448"/>
      <c r="D5" s="147" t="s">
        <v>320</v>
      </c>
      <c r="E5" s="148" t="s">
        <v>402</v>
      </c>
      <c r="F5" s="148" t="s">
        <v>349</v>
      </c>
      <c r="G5" s="27"/>
    </row>
    <row r="6" spans="1:7" ht="15.75" customHeight="1">
      <c r="B6" s="152" t="s">
        <v>340</v>
      </c>
      <c r="C6" s="153"/>
      <c r="D6" s="164">
        <f>SUM(D7:D12)</f>
        <v>3557.2522418000003</v>
      </c>
      <c r="E6" s="164">
        <f>SUM(E7:E12)</f>
        <v>108.82355880461381</v>
      </c>
      <c r="F6" s="189">
        <f>SUM(F7:F12)</f>
        <v>85.834815090606369</v>
      </c>
      <c r="G6" s="125"/>
    </row>
    <row r="7" spans="1:7">
      <c r="B7" s="149"/>
      <c r="C7" s="150" t="s">
        <v>275</v>
      </c>
      <c r="D7" s="166">
        <f>Bygninger!AJ9</f>
        <v>216.40685850000003</v>
      </c>
      <c r="E7" s="234">
        <f>D7*1000/A_administrationsbygninger</f>
        <v>14.107357138200785</v>
      </c>
      <c r="F7" s="190">
        <f t="shared" ref="F7:F12" si="0">D7*1000/Antal_borgere</f>
        <v>5.2217952006370201</v>
      </c>
      <c r="G7" s="28"/>
    </row>
    <row r="8" spans="1:7">
      <c r="B8" s="149"/>
      <c r="C8" s="150" t="s">
        <v>368</v>
      </c>
      <c r="D8" s="166">
        <f>Bygninger!AJ15</f>
        <v>1588.6048002000002</v>
      </c>
      <c r="E8" s="234">
        <f>D8*1000/Bygninger!G15</f>
        <v>15.981939639839036</v>
      </c>
      <c r="F8" s="190">
        <f t="shared" si="0"/>
        <v>38.332282899404007</v>
      </c>
      <c r="G8" s="28"/>
    </row>
    <row r="9" spans="1:7">
      <c r="B9" s="149"/>
      <c r="C9" s="150" t="s">
        <v>277</v>
      </c>
      <c r="D9" s="166">
        <f>Bygninger!AJ35</f>
        <v>511.53182620000007</v>
      </c>
      <c r="E9" s="234">
        <f>D9*1000/A_daginstitutioner</f>
        <v>29.195355641801271</v>
      </c>
      <c r="F9" s="190">
        <f t="shared" si="0"/>
        <v>12.343021166421352</v>
      </c>
      <c r="G9" s="28"/>
    </row>
    <row r="10" spans="1:7">
      <c r="B10" s="149"/>
      <c r="C10" s="150" t="s">
        <v>284</v>
      </c>
      <c r="D10" s="166">
        <f>Bygninger!AJ65</f>
        <v>293.44412799999998</v>
      </c>
      <c r="E10" s="234">
        <f>D10*1000/Bygninger!G65</f>
        <v>18.111599061844213</v>
      </c>
      <c r="F10" s="190">
        <f t="shared" si="0"/>
        <v>7.0806680983519525</v>
      </c>
      <c r="G10" s="28"/>
    </row>
    <row r="11" spans="1:7">
      <c r="B11" s="149"/>
      <c r="C11" s="150" t="s">
        <v>285</v>
      </c>
      <c r="D11" s="166">
        <f>Bygninger!AJ75</f>
        <v>93.369920499999992</v>
      </c>
      <c r="E11" s="234">
        <f>D11*1000/A_kulturinstitutioner</f>
        <v>14.172726244687309</v>
      </c>
      <c r="F11" s="190">
        <f t="shared" si="0"/>
        <v>2.2529720459426197</v>
      </c>
      <c r="G11" s="28"/>
    </row>
    <row r="12" spans="1:7">
      <c r="B12" s="149"/>
      <c r="C12" s="150" t="s">
        <v>286</v>
      </c>
      <c r="D12" s="166">
        <f>Bygninger!AJ90</f>
        <v>853.89470840000001</v>
      </c>
      <c r="E12" s="234">
        <f>D12*1000/Bygninger!G90</f>
        <v>17.254581078241191</v>
      </c>
      <c r="F12" s="190">
        <f t="shared" si="0"/>
        <v>20.604075679849434</v>
      </c>
      <c r="G12" s="28"/>
    </row>
    <row r="13" spans="1:7" ht="15">
      <c r="B13" s="152" t="s">
        <v>287</v>
      </c>
      <c r="C13" s="153"/>
      <c r="D13" s="163">
        <f>SUM(D14:D16)</f>
        <v>986.4967286805288</v>
      </c>
      <c r="E13" s="164" t="s">
        <v>283</v>
      </c>
      <c r="F13" s="189">
        <f>SUM(F14:F16)</f>
        <v>23.803699748583085</v>
      </c>
      <c r="G13" s="125"/>
    </row>
    <row r="14" spans="1:7">
      <c r="B14" s="149"/>
      <c r="C14" s="150" t="s">
        <v>288</v>
      </c>
      <c r="D14" s="166">
        <f>Transport!K3</f>
        <v>177.62174390243902</v>
      </c>
      <c r="E14" s="167" t="s">
        <v>283</v>
      </c>
      <c r="F14" s="191">
        <f>D14*1000/Antal_borgere</f>
        <v>4.2859287190222481</v>
      </c>
      <c r="G14" s="28"/>
    </row>
    <row r="15" spans="1:7">
      <c r="B15" s="149"/>
      <c r="C15" s="150" t="s">
        <v>615</v>
      </c>
      <c r="D15" s="166">
        <f>Transport!K9</f>
        <v>521.98260099999993</v>
      </c>
      <c r="E15" s="167" t="s">
        <v>283</v>
      </c>
      <c r="F15" s="191">
        <f>D15*1000/Antal_borgere</f>
        <v>12.595193422290855</v>
      </c>
      <c r="G15" s="28"/>
    </row>
    <row r="16" spans="1:7">
      <c r="B16" s="149"/>
      <c r="C16" s="151" t="s">
        <v>290</v>
      </c>
      <c r="D16" s="166">
        <f>Transport!K15</f>
        <v>286.89238377808988</v>
      </c>
      <c r="E16" s="167" t="s">
        <v>283</v>
      </c>
      <c r="F16" s="191">
        <f>D16*1000/Antal_borgere</f>
        <v>6.9225776072699823</v>
      </c>
      <c r="G16" s="28"/>
    </row>
    <row r="17" spans="2:7" ht="15">
      <c r="B17" s="152" t="s">
        <v>291</v>
      </c>
      <c r="C17" s="153"/>
      <c r="D17" s="163">
        <f>SUM(D18:D21)</f>
        <v>0</v>
      </c>
      <c r="E17" s="164" t="s">
        <v>283</v>
      </c>
      <c r="F17" s="189">
        <f>SUM(F18:F21)</f>
        <v>0</v>
      </c>
      <c r="G17" s="125"/>
    </row>
    <row r="18" spans="2:7">
      <c r="B18" s="149"/>
      <c r="C18" s="150" t="s">
        <v>292</v>
      </c>
      <c r="D18" s="166"/>
      <c r="E18" s="167" t="s">
        <v>283</v>
      </c>
      <c r="F18" s="191"/>
      <c r="G18" s="28"/>
    </row>
    <row r="19" spans="2:7">
      <c r="B19" s="149"/>
      <c r="C19" s="150" t="s">
        <v>293</v>
      </c>
      <c r="D19" s="166"/>
      <c r="E19" s="167" t="s">
        <v>283</v>
      </c>
      <c r="F19" s="191"/>
      <c r="G19" s="28"/>
    </row>
    <row r="20" spans="2:7">
      <c r="B20" s="149"/>
      <c r="C20" s="150" t="s">
        <v>294</v>
      </c>
      <c r="D20" s="166"/>
      <c r="E20" s="167" t="s">
        <v>283</v>
      </c>
      <c r="F20" s="191"/>
      <c r="G20" s="28"/>
    </row>
    <row r="21" spans="2:7">
      <c r="B21" s="149"/>
      <c r="C21" s="150" t="s">
        <v>295</v>
      </c>
      <c r="D21" s="166"/>
      <c r="E21" s="167" t="s">
        <v>283</v>
      </c>
      <c r="F21" s="191"/>
      <c r="G21" s="28"/>
    </row>
    <row r="22" spans="2:7" ht="15">
      <c r="B22" s="152" t="s">
        <v>344</v>
      </c>
      <c r="C22" s="153"/>
      <c r="D22" s="163">
        <f>Vejbelysning!D3</f>
        <v>1038.2168039999999</v>
      </c>
      <c r="E22" s="164" t="s">
        <v>283</v>
      </c>
      <c r="F22" s="189">
        <f>D22*1000/Antal_borgere</f>
        <v>25.05168071809473</v>
      </c>
      <c r="G22" s="125"/>
    </row>
    <row r="23" spans="2:7" ht="15">
      <c r="B23" s="152" t="s">
        <v>297</v>
      </c>
      <c r="C23" s="153"/>
      <c r="D23" s="163">
        <f>Bygninger!AJ136</f>
        <v>54.961852999999998</v>
      </c>
      <c r="E23" s="164">
        <f>SUM(E24:E26)</f>
        <v>34.896414603174598</v>
      </c>
      <c r="F23" s="189">
        <f>SUM(F24:F26)</f>
        <v>1.326203532562797</v>
      </c>
      <c r="G23" s="125"/>
    </row>
    <row r="24" spans="2:7">
      <c r="B24" s="149"/>
      <c r="C24" s="150" t="s">
        <v>396</v>
      </c>
      <c r="D24" s="166">
        <f>Bygninger!AJ136</f>
        <v>54.961852999999998</v>
      </c>
      <c r="E24" s="167">
        <f>D24*1000/Bygninger!G136</f>
        <v>34.896414603174598</v>
      </c>
      <c r="F24" s="191">
        <f>D24*1000/Antal_borgere</f>
        <v>1.326203532562797</v>
      </c>
      <c r="G24" s="28"/>
    </row>
    <row r="25" spans="2:7">
      <c r="B25" s="149"/>
      <c r="C25" s="150" t="s">
        <v>298</v>
      </c>
      <c r="D25" s="166">
        <v>0</v>
      </c>
      <c r="E25" s="167"/>
      <c r="F25" s="191">
        <f>D25*1000/Antal_borgere</f>
        <v>0</v>
      </c>
      <c r="G25" s="28"/>
    </row>
    <row r="26" spans="2:7">
      <c r="B26" s="149"/>
      <c r="C26" s="150" t="s">
        <v>295</v>
      </c>
      <c r="D26" s="166">
        <v>0</v>
      </c>
      <c r="E26" s="167"/>
      <c r="F26" s="191">
        <f>D26*1000/Antal_borgere</f>
        <v>0</v>
      </c>
      <c r="G26" s="28"/>
    </row>
    <row r="27" spans="2:7" ht="15">
      <c r="B27" s="152" t="s">
        <v>343</v>
      </c>
      <c r="C27" s="153"/>
      <c r="D27" s="163">
        <f>SUM(D28:D29)</f>
        <v>0</v>
      </c>
      <c r="E27" s="164" t="s">
        <v>283</v>
      </c>
      <c r="F27" s="189">
        <f>SUM(F28:F29)</f>
        <v>0</v>
      </c>
      <c r="G27" s="125"/>
    </row>
    <row r="28" spans="2:7" ht="15">
      <c r="B28" s="149"/>
      <c r="C28" s="150" t="s">
        <v>299</v>
      </c>
      <c r="D28" s="166"/>
      <c r="E28" s="168" t="s">
        <v>283</v>
      </c>
      <c r="F28" s="191"/>
      <c r="G28" s="125"/>
    </row>
    <row r="29" spans="2:7">
      <c r="B29" s="149"/>
      <c r="C29" s="150" t="s">
        <v>300</v>
      </c>
      <c r="D29" s="166"/>
      <c r="E29" s="168" t="s">
        <v>283</v>
      </c>
      <c r="F29" s="191"/>
      <c r="G29" s="28"/>
    </row>
    <row r="30" spans="2:7">
      <c r="B30" s="149"/>
      <c r="C30" s="150" t="s">
        <v>295</v>
      </c>
      <c r="D30" s="166"/>
      <c r="E30" s="168" t="s">
        <v>283</v>
      </c>
      <c r="F30" s="191"/>
      <c r="G30" s="28"/>
    </row>
    <row r="31" spans="2:7" ht="15">
      <c r="B31" s="152" t="s">
        <v>301</v>
      </c>
      <c r="C31" s="153"/>
      <c r="D31" s="163">
        <f>SUM(D32:D37)</f>
        <v>82.102267000000012</v>
      </c>
      <c r="E31" s="164">
        <f>SUM(E32:E37)</f>
        <v>18.310050624442464</v>
      </c>
      <c r="F31" s="189">
        <f>SUM(F32:F37)</f>
        <v>1.9810888931785828</v>
      </c>
      <c r="G31" s="28"/>
    </row>
    <row r="32" spans="2:7" ht="15">
      <c r="B32" s="149"/>
      <c r="C32" s="150" t="s">
        <v>278</v>
      </c>
      <c r="D32" s="166">
        <f>Bygninger!AJ131</f>
        <v>82.102267000000012</v>
      </c>
      <c r="E32" s="167">
        <f>D32*1000/A_materialegårde</f>
        <v>18.310050624442464</v>
      </c>
      <c r="F32" s="191">
        <f>D32*1000/Antal_borgere</f>
        <v>1.9810888931785828</v>
      </c>
      <c r="G32" s="125"/>
    </row>
    <row r="33" spans="2:8" ht="15">
      <c r="B33" s="149"/>
      <c r="C33" s="150" t="s">
        <v>302</v>
      </c>
      <c r="D33" s="166"/>
      <c r="E33" s="167" t="s">
        <v>283</v>
      </c>
      <c r="F33" s="191"/>
      <c r="G33" s="125"/>
    </row>
    <row r="34" spans="2:8">
      <c r="B34" s="149"/>
      <c r="C34" s="150" t="s">
        <v>303</v>
      </c>
      <c r="D34" s="166"/>
      <c r="E34" s="167" t="s">
        <v>283</v>
      </c>
      <c r="F34" s="191"/>
      <c r="G34" s="28"/>
    </row>
    <row r="35" spans="2:8">
      <c r="B35" s="149"/>
      <c r="C35" s="150" t="s">
        <v>304</v>
      </c>
      <c r="D35" s="166"/>
      <c r="E35" s="167" t="s">
        <v>283</v>
      </c>
      <c r="F35" s="190"/>
      <c r="G35" s="28"/>
    </row>
    <row r="36" spans="2:8">
      <c r="B36" s="149"/>
      <c r="C36" s="150" t="s">
        <v>332</v>
      </c>
      <c r="D36" s="166"/>
      <c r="E36" s="167" t="s">
        <v>283</v>
      </c>
      <c r="F36" s="191"/>
      <c r="G36" s="28"/>
    </row>
    <row r="37" spans="2:8">
      <c r="B37" s="149"/>
      <c r="C37" s="150" t="s">
        <v>295</v>
      </c>
      <c r="D37" s="166"/>
      <c r="E37" s="167" t="s">
        <v>283</v>
      </c>
      <c r="F37" s="191"/>
      <c r="G37" s="28"/>
    </row>
    <row r="38" spans="2:8" ht="15">
      <c r="B38" s="152" t="s">
        <v>339</v>
      </c>
      <c r="C38" s="153"/>
      <c r="D38" s="163">
        <f>D6+D13+D17+D22+D23+D27+D31</f>
        <v>5719.029894480529</v>
      </c>
      <c r="E38" s="164" t="s">
        <v>283</v>
      </c>
      <c r="F38" s="189">
        <f>F6+F13+F17+F22+F23+F27+F31</f>
        <v>137.99748798302559</v>
      </c>
      <c r="G38" s="28"/>
    </row>
    <row r="39" spans="2:8" ht="23.25">
      <c r="B39" s="30"/>
      <c r="C39" s="25"/>
      <c r="D39" s="31"/>
      <c r="E39" s="31"/>
      <c r="F39" s="31"/>
      <c r="G39" s="125"/>
      <c r="H39" s="11"/>
    </row>
    <row r="40" spans="2:8">
      <c r="B40" s="25"/>
      <c r="C40" s="25"/>
      <c r="D40" s="31"/>
      <c r="E40" s="31"/>
      <c r="F40" s="31"/>
    </row>
    <row r="41" spans="2:8">
      <c r="B41" s="445" t="s">
        <v>399</v>
      </c>
      <c r="C41" s="449"/>
      <c r="D41" s="154" t="s">
        <v>345</v>
      </c>
      <c r="E41" s="155" t="s">
        <v>346</v>
      </c>
      <c r="F41" s="154" t="s">
        <v>264</v>
      </c>
    </row>
    <row r="42" spans="2:8">
      <c r="B42" s="447"/>
      <c r="C42" s="450"/>
      <c r="D42" s="156" t="s">
        <v>400</v>
      </c>
      <c r="E42" s="140" t="s">
        <v>401</v>
      </c>
      <c r="F42" s="156" t="s">
        <v>401</v>
      </c>
    </row>
    <row r="43" spans="2:8" ht="15">
      <c r="B43" s="152" t="s">
        <v>340</v>
      </c>
      <c r="C43" s="153"/>
      <c r="D43" s="163">
        <f>SUM(D44:D49)</f>
        <v>204539</v>
      </c>
      <c r="E43" s="163">
        <f>(D44*E44+D45*E45+D46*E46+D47*E47+D48*E48+D49*E49)/D43</f>
        <v>26.039712719823601</v>
      </c>
      <c r="F43" s="165">
        <f>(D44*F44+D45*F45+D46*F46+D47*F47+D48*F48+D49*F49)/D43</f>
        <v>78.616532788367991</v>
      </c>
      <c r="H43" s="186"/>
    </row>
    <row r="44" spans="2:8">
      <c r="B44" s="161"/>
      <c r="C44" s="159" t="s">
        <v>275</v>
      </c>
      <c r="D44" s="169">
        <f>A_administrationsbygninger</f>
        <v>15340</v>
      </c>
      <c r="E44" s="169">
        <f>Bygninger!AA9</f>
        <v>28.8761408083442</v>
      </c>
      <c r="F44" s="169">
        <f>Bygninger!AB9</f>
        <v>36.622946544980444</v>
      </c>
      <c r="H44" s="186"/>
    </row>
    <row r="45" spans="2:8">
      <c r="B45" s="157"/>
      <c r="C45" s="158" t="s">
        <v>368</v>
      </c>
      <c r="D45" s="169">
        <f>Bygninger!G15</f>
        <v>99400</v>
      </c>
      <c r="E45" s="169">
        <f>Bygninger!AA15</f>
        <v>17.290241448692154</v>
      </c>
      <c r="F45" s="169">
        <f>Bygninger!AB15</f>
        <v>80.709734238765932</v>
      </c>
      <c r="H45" s="186"/>
    </row>
    <row r="46" spans="2:8">
      <c r="B46" s="157"/>
      <c r="C46" s="159" t="s">
        <v>277</v>
      </c>
      <c r="D46" s="169">
        <f>A_daginstitutioner</f>
        <v>17521</v>
      </c>
      <c r="E46" s="169">
        <f>Bygninger!AA35</f>
        <v>32.714114491182009</v>
      </c>
      <c r="F46" s="169">
        <f>Bygninger!AB35</f>
        <v>110.15692755994394</v>
      </c>
      <c r="H46" s="186"/>
    </row>
    <row r="47" spans="2:8">
      <c r="B47" s="157"/>
      <c r="C47" s="159" t="s">
        <v>284</v>
      </c>
      <c r="D47" s="169">
        <f>Bygninger!G65</f>
        <v>16202</v>
      </c>
      <c r="E47" s="169">
        <f>Bygninger!AA65</f>
        <v>29.132020738180472</v>
      </c>
      <c r="F47" s="169">
        <f>Bygninger!AB65</f>
        <v>118.69123839306535</v>
      </c>
      <c r="H47" s="186"/>
    </row>
    <row r="48" spans="2:8">
      <c r="B48" s="157"/>
      <c r="C48" s="159" t="s">
        <v>285</v>
      </c>
      <c r="D48" s="169">
        <f>A_kulturinstitutioner</f>
        <v>6588</v>
      </c>
      <c r="E48" s="169">
        <f>Bygninger!AA75</f>
        <v>20.083788706739526</v>
      </c>
      <c r="F48" s="169">
        <f>Bygninger!AB75</f>
        <v>56.509954968629827</v>
      </c>
      <c r="H48" s="186"/>
    </row>
    <row r="49" spans="2:8">
      <c r="B49" s="160"/>
      <c r="C49" s="159" t="s">
        <v>341</v>
      </c>
      <c r="D49" s="169">
        <f>Bygninger!G90</f>
        <v>49488</v>
      </c>
      <c r="E49" s="169">
        <f>Bygninger!AA90</f>
        <v>40.151830746847722</v>
      </c>
      <c r="F49" s="169">
        <f>Bygninger!AB90</f>
        <v>66.085128942594366</v>
      </c>
      <c r="H49" s="186"/>
    </row>
    <row r="50" spans="2:8" ht="15">
      <c r="B50" s="152" t="s">
        <v>297</v>
      </c>
      <c r="C50" s="153"/>
      <c r="D50" s="163">
        <f>SUM(D51:D53)</f>
        <v>1575</v>
      </c>
      <c r="E50" s="164">
        <f>(D51*E51+D52*E52+D53*E53)/D50</f>
        <v>31.351111111111113</v>
      </c>
      <c r="F50" s="165">
        <f>(D51*F51+D52*F52+D53*F53)/D50</f>
        <v>99.383932980599639</v>
      </c>
      <c r="H50" s="186"/>
    </row>
    <row r="51" spans="2:8">
      <c r="B51" s="161"/>
      <c r="C51" s="158" t="s">
        <v>396</v>
      </c>
      <c r="D51" s="170">
        <f>Bygninger!G136</f>
        <v>1575</v>
      </c>
      <c r="E51" s="169">
        <f>Bygninger!AA136</f>
        <v>31.351111111111113</v>
      </c>
      <c r="F51" s="169">
        <f>Bygninger!AB136</f>
        <v>99.383932980599639</v>
      </c>
      <c r="H51" s="186"/>
    </row>
    <row r="52" spans="2:8">
      <c r="B52" s="157"/>
      <c r="C52" s="162" t="s">
        <v>298</v>
      </c>
      <c r="D52" s="171">
        <v>0</v>
      </c>
      <c r="E52" s="172">
        <v>0</v>
      </c>
      <c r="F52" s="172">
        <v>0</v>
      </c>
      <c r="H52" s="186"/>
    </row>
    <row r="53" spans="2:8">
      <c r="B53" s="157"/>
      <c r="C53" s="162" t="s">
        <v>295</v>
      </c>
      <c r="D53" s="172">
        <v>0</v>
      </c>
      <c r="E53" s="172">
        <v>0</v>
      </c>
      <c r="F53" s="172">
        <v>0</v>
      </c>
      <c r="H53" s="186"/>
    </row>
    <row r="54" spans="2:8" ht="15">
      <c r="B54" s="152" t="s">
        <v>301</v>
      </c>
      <c r="C54" s="153"/>
      <c r="D54" s="163">
        <f>SUM(D55:D56)</f>
        <v>4484</v>
      </c>
      <c r="E54" s="164">
        <f>(D55*E55+D56*E56)/D54</f>
        <v>27.664808206958075</v>
      </c>
      <c r="F54" s="165">
        <f>(D55*F55+D56*F56)/D54</f>
        <v>59.580136782634547</v>
      </c>
      <c r="H54" s="186"/>
    </row>
    <row r="55" spans="2:8">
      <c r="B55" s="160"/>
      <c r="C55" s="158" t="s">
        <v>278</v>
      </c>
      <c r="D55" s="170">
        <f>A_materialegårde</f>
        <v>4484</v>
      </c>
      <c r="E55" s="170">
        <f>Bygninger!AA131</f>
        <v>27.664808206958075</v>
      </c>
      <c r="F55" s="170">
        <f>Bygninger!AB131</f>
        <v>59.580136782634547</v>
      </c>
      <c r="H55" s="186"/>
    </row>
    <row r="56" spans="2:8">
      <c r="B56" s="160"/>
      <c r="C56" s="158" t="s">
        <v>295</v>
      </c>
      <c r="D56" s="170"/>
      <c r="E56" s="170"/>
      <c r="F56" s="170"/>
      <c r="H56" s="186"/>
    </row>
    <row r="57" spans="2:8" ht="15">
      <c r="B57" s="152" t="s">
        <v>339</v>
      </c>
      <c r="C57" s="153"/>
      <c r="D57" s="163">
        <f>D43+D50+D54</f>
        <v>210598</v>
      </c>
      <c r="E57" s="164">
        <f>($D$43*E43+$D$50*E50+D54*E54)/($D$57)</f>
        <v>26.114036220666861</v>
      </c>
      <c r="F57" s="165">
        <f>($D$43*F43+$D$50*F50+D54*F54)/($D$57)</f>
        <v>78.366527829218597</v>
      </c>
      <c r="H57" s="186"/>
    </row>
    <row r="58" spans="2:8">
      <c r="B58" s="25"/>
      <c r="C58" s="25"/>
      <c r="D58" s="31"/>
      <c r="E58" s="31"/>
      <c r="F58" s="31"/>
    </row>
  </sheetData>
  <mergeCells count="2">
    <mergeCell ref="B4:C5"/>
    <mergeCell ref="B41:C42"/>
  </mergeCells>
  <phoneticPr fontId="0" type="noConversion"/>
  <pageMargins left="0.75" right="0.75" top="1" bottom="1" header="0" footer="0"/>
  <pageSetup paperSize="9" scale="6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9"/>
    <pageSetUpPr fitToPage="1"/>
  </sheetPr>
  <dimension ref="A1:F64"/>
  <sheetViews>
    <sheetView workbookViewId="0">
      <selection activeCell="H32" sqref="H32"/>
    </sheetView>
  </sheetViews>
  <sheetFormatPr defaultRowHeight="12.75"/>
  <cols>
    <col min="2" max="2" width="34.28515625" customWidth="1"/>
    <col min="3" max="3" width="37" customWidth="1"/>
    <col min="4" max="4" width="16.140625" bestFit="1" customWidth="1"/>
    <col min="5" max="5" width="14.85546875" customWidth="1"/>
    <col min="6" max="6" width="16.140625" bestFit="1" customWidth="1"/>
  </cols>
  <sheetData>
    <row r="1" spans="1:6" ht="23.25">
      <c r="A1" s="192"/>
      <c r="B1" s="30" t="s">
        <v>451</v>
      </c>
      <c r="C1" s="192"/>
      <c r="D1" s="193"/>
      <c r="E1" s="193"/>
      <c r="F1" s="193"/>
    </row>
    <row r="2" spans="1:6" ht="15">
      <c r="A2" s="192"/>
      <c r="C2" s="194"/>
      <c r="D2" s="451"/>
      <c r="E2" s="451"/>
      <c r="F2" s="451"/>
    </row>
    <row r="3" spans="1:6" ht="23.25">
      <c r="A3" s="27"/>
      <c r="B3" s="195" t="s">
        <v>453</v>
      </c>
      <c r="C3" s="196"/>
      <c r="D3" s="197">
        <v>2011</v>
      </c>
      <c r="E3" s="197">
        <v>2012</v>
      </c>
      <c r="F3" s="197" t="s">
        <v>428</v>
      </c>
    </row>
    <row r="4" spans="1:6" ht="15">
      <c r="A4" s="54"/>
      <c r="B4" s="198" t="s">
        <v>340</v>
      </c>
      <c r="C4" s="199"/>
      <c r="D4" s="163">
        <f>SUM(D5:D10)</f>
        <v>3967.1469999999999</v>
      </c>
      <c r="E4" s="163">
        <f>SUM(E5:E10)</f>
        <v>3557.2522418000003</v>
      </c>
      <c r="F4" s="201">
        <f>(E4-D4)/D4</f>
        <v>-0.10332230144232105</v>
      </c>
    </row>
    <row r="5" spans="1:6" ht="15">
      <c r="A5" s="54"/>
      <c r="B5" s="149"/>
      <c r="C5" s="202" t="s">
        <v>275</v>
      </c>
      <c r="D5" s="434">
        <v>258.07299999999998</v>
      </c>
      <c r="E5" s="232">
        <f>Bygninger!AJ9</f>
        <v>216.40685850000003</v>
      </c>
      <c r="F5" s="201">
        <f t="shared" ref="F5:F10" si="0">(E5-D5)/D5</f>
        <v>-0.16145099061118348</v>
      </c>
    </row>
    <row r="6" spans="1:6" ht="15">
      <c r="A6" s="54"/>
      <c r="B6" s="149"/>
      <c r="C6" s="202" t="s">
        <v>368</v>
      </c>
      <c r="D6" s="232">
        <v>1763.414</v>
      </c>
      <c r="E6" s="232">
        <f>Bygninger!AJ15</f>
        <v>1588.6048002000002</v>
      </c>
      <c r="F6" s="201">
        <f t="shared" si="0"/>
        <v>-9.9131117139820688E-2</v>
      </c>
    </row>
    <row r="7" spans="1:6" ht="15">
      <c r="A7" s="54"/>
      <c r="B7" s="149"/>
      <c r="C7" s="202" t="s">
        <v>277</v>
      </c>
      <c r="D7" s="232">
        <v>518.10500000000002</v>
      </c>
      <c r="E7" s="232">
        <f>Bygninger!AJ35</f>
        <v>511.53182620000007</v>
      </c>
      <c r="F7" s="201">
        <f t="shared" si="0"/>
        <v>-1.2686953030756216E-2</v>
      </c>
    </row>
    <row r="8" spans="1:6" ht="15">
      <c r="A8" s="54"/>
      <c r="B8" s="149"/>
      <c r="C8" s="202" t="s">
        <v>284</v>
      </c>
      <c r="D8" s="232">
        <v>1031.309</v>
      </c>
      <c r="E8" s="232">
        <f>Bygninger!AJ65</f>
        <v>293.44412799999998</v>
      </c>
      <c r="F8" s="201">
        <f t="shared" si="0"/>
        <v>-0.71546439718842758</v>
      </c>
    </row>
    <row r="9" spans="1:6" ht="15">
      <c r="A9" s="54"/>
      <c r="B9" s="149"/>
      <c r="C9" s="202" t="s">
        <v>285</v>
      </c>
      <c r="D9" s="232">
        <v>66.269000000000005</v>
      </c>
      <c r="E9" s="232">
        <f>Bygninger!AJ75</f>
        <v>93.369920499999992</v>
      </c>
      <c r="F9" s="201">
        <f t="shared" si="0"/>
        <v>0.40895321341803836</v>
      </c>
    </row>
    <row r="10" spans="1:6" ht="15">
      <c r="A10" s="54"/>
      <c r="B10" s="149"/>
      <c r="C10" s="202" t="s">
        <v>286</v>
      </c>
      <c r="D10" s="232">
        <v>329.97699999999998</v>
      </c>
      <c r="E10" s="232">
        <f>Bygninger!AJ90</f>
        <v>853.89470840000001</v>
      </c>
      <c r="F10" s="201">
        <f t="shared" si="0"/>
        <v>1.5877400800661867</v>
      </c>
    </row>
    <row r="11" spans="1:6" ht="15">
      <c r="A11" s="192"/>
      <c r="B11" s="198" t="s">
        <v>287</v>
      </c>
      <c r="C11" s="199"/>
      <c r="D11" s="163">
        <v>893</v>
      </c>
      <c r="E11" s="163">
        <f>SUM(E12:E14)</f>
        <v>986.4967286805288</v>
      </c>
      <c r="F11" s="201">
        <f t="shared" ref="F11:F34" si="1">(E11-D11)/D11</f>
        <v>0.10469958418872206</v>
      </c>
    </row>
    <row r="12" spans="1:6" ht="15">
      <c r="A12" s="192"/>
      <c r="B12" s="149"/>
      <c r="C12" s="202" t="s">
        <v>288</v>
      </c>
      <c r="D12" s="232">
        <v>133</v>
      </c>
      <c r="E12" s="232">
        <f>'Årlig CO2-opgørelse'!D14</f>
        <v>177.62174390243902</v>
      </c>
      <c r="F12" s="201">
        <f t="shared" si="1"/>
        <v>0.33550183385292498</v>
      </c>
    </row>
    <row r="13" spans="1:6" ht="15">
      <c r="A13" s="192"/>
      <c r="B13" s="149"/>
      <c r="C13" s="202" t="s">
        <v>452</v>
      </c>
      <c r="D13" s="232">
        <v>527</v>
      </c>
      <c r="E13" s="232">
        <f>'Årlig CO2-opgørelse'!D15</f>
        <v>521.98260099999993</v>
      </c>
      <c r="F13" s="201">
        <f t="shared" si="1"/>
        <v>-9.520681214421383E-3</v>
      </c>
    </row>
    <row r="14" spans="1:6" ht="15">
      <c r="A14" s="192"/>
      <c r="B14" s="149"/>
      <c r="C14" s="203" t="s">
        <v>290</v>
      </c>
      <c r="D14" s="232">
        <v>233</v>
      </c>
      <c r="E14" s="232">
        <f>'Årlig CO2-opgørelse'!D16</f>
        <v>286.89238377808988</v>
      </c>
      <c r="F14" s="201">
        <f t="shared" si="1"/>
        <v>0.23129778445532137</v>
      </c>
    </row>
    <row r="15" spans="1:6" ht="15">
      <c r="A15" s="192"/>
      <c r="B15" s="198" t="s">
        <v>291</v>
      </c>
      <c r="C15" s="199"/>
      <c r="D15" s="200">
        <v>0</v>
      </c>
      <c r="E15" s="200">
        <v>0</v>
      </c>
      <c r="F15" s="201"/>
    </row>
    <row r="16" spans="1:6" ht="15">
      <c r="A16" s="192"/>
      <c r="B16" s="149"/>
      <c r="C16" s="202" t="s">
        <v>292</v>
      </c>
      <c r="D16" s="204"/>
      <c r="E16" s="204"/>
      <c r="F16" s="201"/>
    </row>
    <row r="17" spans="1:6" ht="15">
      <c r="B17" s="149"/>
      <c r="C17" s="202" t="s">
        <v>293</v>
      </c>
      <c r="D17" s="204"/>
      <c r="E17" s="204"/>
      <c r="F17" s="201"/>
    </row>
    <row r="18" spans="1:6" ht="15">
      <c r="B18" s="149"/>
      <c r="C18" s="202" t="s">
        <v>294</v>
      </c>
      <c r="D18" s="204"/>
      <c r="E18" s="204"/>
      <c r="F18" s="201"/>
    </row>
    <row r="19" spans="1:6" ht="15">
      <c r="B19" s="149"/>
      <c r="C19" s="202" t="s">
        <v>295</v>
      </c>
      <c r="D19" s="204"/>
      <c r="E19" s="204"/>
      <c r="F19" s="201"/>
    </row>
    <row r="20" spans="1:6" ht="15">
      <c r="B20" s="198" t="s">
        <v>296</v>
      </c>
      <c r="C20" s="199"/>
      <c r="D20" s="231">
        <v>1361</v>
      </c>
      <c r="E20" s="231">
        <f>'Årlig CO2-opgørelse'!D22</f>
        <v>1038.2168039999999</v>
      </c>
      <c r="F20" s="201">
        <f t="shared" si="1"/>
        <v>-0.23716619838354158</v>
      </c>
    </row>
    <row r="21" spans="1:6" ht="15">
      <c r="B21" s="198" t="s">
        <v>297</v>
      </c>
      <c r="C21" s="199"/>
      <c r="D21" s="163">
        <v>50</v>
      </c>
      <c r="E21" s="163">
        <f>SUM(E22:E22)</f>
        <v>54.961852999999998</v>
      </c>
      <c r="F21" s="201">
        <f t="shared" si="1"/>
        <v>9.923705999999996E-2</v>
      </c>
    </row>
    <row r="22" spans="1:6" ht="15">
      <c r="B22" s="149"/>
      <c r="C22" s="202" t="s">
        <v>396</v>
      </c>
      <c r="D22" s="166">
        <v>50</v>
      </c>
      <c r="E22" s="166">
        <f>Bygninger!AJ136</f>
        <v>54.961852999999998</v>
      </c>
      <c r="F22" s="201">
        <f t="shared" si="1"/>
        <v>9.923705999999996E-2</v>
      </c>
    </row>
    <row r="23" spans="1:6" ht="15">
      <c r="B23" s="198" t="s">
        <v>343</v>
      </c>
      <c r="C23" s="199"/>
      <c r="D23" s="200">
        <v>0</v>
      </c>
      <c r="E23" s="200">
        <v>0</v>
      </c>
      <c r="F23" s="201"/>
    </row>
    <row r="24" spans="1:6" ht="15">
      <c r="B24" s="149"/>
      <c r="C24" s="202" t="s">
        <v>299</v>
      </c>
      <c r="D24" s="204"/>
      <c r="E24" s="204"/>
      <c r="F24" s="201"/>
    </row>
    <row r="25" spans="1:6" ht="15">
      <c r="B25" s="149"/>
      <c r="C25" s="202" t="s">
        <v>300</v>
      </c>
      <c r="D25" s="204"/>
      <c r="E25" s="204"/>
      <c r="F25" s="201"/>
    </row>
    <row r="26" spans="1:6" ht="15">
      <c r="B26" s="149"/>
      <c r="C26" s="202" t="s">
        <v>295</v>
      </c>
      <c r="D26" s="204"/>
      <c r="E26" s="204"/>
      <c r="F26" s="201"/>
    </row>
    <row r="27" spans="1:6" ht="15">
      <c r="B27" s="198" t="s">
        <v>301</v>
      </c>
      <c r="C27" s="199"/>
      <c r="D27" s="163">
        <f>SUM(D28:D33)</f>
        <v>83</v>
      </c>
      <c r="E27" s="163">
        <f>SUM(E28:E33)</f>
        <v>82.102267000000012</v>
      </c>
      <c r="F27" s="201">
        <f t="shared" si="1"/>
        <v>-1.0816060240963713E-2</v>
      </c>
    </row>
    <row r="28" spans="1:6" ht="15">
      <c r="B28" s="205"/>
      <c r="C28" s="150" t="s">
        <v>278</v>
      </c>
      <c r="D28" s="166">
        <v>83</v>
      </c>
      <c r="E28" s="166">
        <f>Bygninger!AJ131</f>
        <v>82.102267000000012</v>
      </c>
      <c r="F28" s="201">
        <f t="shared" si="1"/>
        <v>-1.0816060240963713E-2</v>
      </c>
    </row>
    <row r="29" spans="1:6" ht="15">
      <c r="B29" s="149"/>
      <c r="C29" s="150" t="s">
        <v>302</v>
      </c>
      <c r="D29" s="166"/>
      <c r="E29" s="166"/>
      <c r="F29" s="201"/>
    </row>
    <row r="30" spans="1:6" ht="15">
      <c r="B30" s="149"/>
      <c r="C30" s="150" t="s">
        <v>303</v>
      </c>
      <c r="D30" s="166"/>
      <c r="E30" s="166"/>
      <c r="F30" s="201"/>
    </row>
    <row r="31" spans="1:6" ht="15">
      <c r="A31" s="192"/>
      <c r="B31" s="149"/>
      <c r="C31" s="150" t="s">
        <v>304</v>
      </c>
      <c r="D31" s="166"/>
      <c r="E31" s="166"/>
      <c r="F31" s="201"/>
    </row>
    <row r="32" spans="1:6" ht="15">
      <c r="A32" s="192"/>
      <c r="B32" s="149"/>
      <c r="C32" s="150" t="s">
        <v>332</v>
      </c>
      <c r="D32" s="166"/>
      <c r="E32" s="166"/>
      <c r="F32" s="201"/>
    </row>
    <row r="33" spans="1:6" ht="15">
      <c r="A33" s="192"/>
      <c r="B33" s="149"/>
      <c r="C33" s="205" t="s">
        <v>295</v>
      </c>
      <c r="D33" s="166"/>
      <c r="E33" s="166"/>
      <c r="F33" s="201"/>
    </row>
    <row r="34" spans="1:6" ht="15">
      <c r="A34" s="192"/>
      <c r="B34" s="206" t="s">
        <v>339</v>
      </c>
      <c r="C34" s="207"/>
      <c r="D34" s="200">
        <v>6355</v>
      </c>
      <c r="E34" s="200">
        <f>E4+E11+E15+E20+E21+E23+E27</f>
        <v>5719.029894480529</v>
      </c>
      <c r="F34" s="201">
        <f t="shared" si="1"/>
        <v>-0.10007397411793406</v>
      </c>
    </row>
    <row r="35" spans="1:6" ht="15">
      <c r="A35" s="192"/>
      <c r="B35" s="208"/>
      <c r="C35" s="209"/>
      <c r="D35" s="210"/>
      <c r="E35" s="210"/>
      <c r="F35" s="211"/>
    </row>
    <row r="36" spans="1:6" ht="23.25">
      <c r="A36" s="212"/>
      <c r="B36" s="213"/>
      <c r="C36" s="212"/>
      <c r="D36" s="214"/>
      <c r="E36" s="214"/>
      <c r="F36" s="214"/>
    </row>
    <row r="37" spans="1:6" ht="21">
      <c r="A37" s="212"/>
      <c r="B37" s="215" t="s">
        <v>454</v>
      </c>
      <c r="C37" s="52"/>
      <c r="D37" s="451"/>
      <c r="E37" s="451"/>
      <c r="F37" s="451"/>
    </row>
    <row r="38" spans="1:6" ht="18">
      <c r="A38" s="192"/>
      <c r="B38" s="216"/>
      <c r="C38" s="159"/>
      <c r="D38" s="236">
        <v>2011</v>
      </c>
      <c r="E38" s="217">
        <v>2012</v>
      </c>
      <c r="F38" s="217" t="s">
        <v>428</v>
      </c>
    </row>
    <row r="39" spans="1:6" ht="15">
      <c r="A39" s="192"/>
      <c r="B39" s="150" t="s">
        <v>333</v>
      </c>
      <c r="C39" s="218"/>
      <c r="D39" s="238">
        <v>95.725387614313632</v>
      </c>
      <c r="E39" s="230">
        <f>'Årlig CO2-opgørelse'!F6</f>
        <v>85.834815090606369</v>
      </c>
      <c r="F39" s="201">
        <f t="shared" ref="F39:F46" si="2">(E39-D39)/D39</f>
        <v>-0.10332235543988902</v>
      </c>
    </row>
    <row r="40" spans="1:6" ht="15">
      <c r="A40" s="192"/>
      <c r="B40" s="205" t="s">
        <v>334</v>
      </c>
      <c r="C40" s="218"/>
      <c r="D40" s="238">
        <v>21.556236963638103</v>
      </c>
      <c r="E40" s="230">
        <f>'Årlig CO2-opgørelse'!F13</f>
        <v>23.803699748583085</v>
      </c>
      <c r="F40" s="201">
        <f t="shared" si="2"/>
        <v>0.1042604415945181</v>
      </c>
    </row>
    <row r="41" spans="1:6" ht="15">
      <c r="A41" s="192"/>
      <c r="B41" s="150" t="s">
        <v>335</v>
      </c>
      <c r="C41" s="218"/>
      <c r="D41" s="237"/>
      <c r="E41" s="219"/>
      <c r="F41" s="201"/>
    </row>
    <row r="42" spans="1:6" ht="15">
      <c r="A42" s="192"/>
      <c r="B42" s="150" t="s">
        <v>296</v>
      </c>
      <c r="C42" s="218"/>
      <c r="D42" s="238">
        <v>32.836281784619842</v>
      </c>
      <c r="E42" s="230">
        <f>'Årlig CO2-opgørelse'!F22</f>
        <v>25.05168071809473</v>
      </c>
      <c r="F42" s="201">
        <f t="shared" si="2"/>
        <v>-0.23707315942730567</v>
      </c>
    </row>
    <row r="43" spans="1:6" ht="15">
      <c r="A43" s="192"/>
      <c r="B43" s="150" t="s">
        <v>336</v>
      </c>
      <c r="C43" s="218"/>
      <c r="D43" s="238">
        <v>1.1554803706295393</v>
      </c>
      <c r="E43" s="230">
        <f>'Årlig CO2-opgørelse'!F23</f>
        <v>1.326203532562797</v>
      </c>
      <c r="F43" s="201">
        <f t="shared" si="2"/>
        <v>0.14775081106764515</v>
      </c>
    </row>
    <row r="44" spans="1:6" ht="15">
      <c r="A44" s="192"/>
      <c r="B44" s="220" t="s">
        <v>337</v>
      </c>
      <c r="C44" s="218"/>
      <c r="D44" s="237"/>
      <c r="E44" s="219"/>
      <c r="F44" s="201"/>
    </row>
    <row r="45" spans="1:6" ht="15">
      <c r="A45" s="192"/>
      <c r="B45" s="220" t="s">
        <v>338</v>
      </c>
      <c r="C45" s="221"/>
      <c r="D45" s="238">
        <v>2.0010128610380522</v>
      </c>
      <c r="E45" s="230">
        <f>'Årlig CO2-opgørelse'!F31</f>
        <v>1.9810888931785828</v>
      </c>
      <c r="F45" s="201">
        <f t="shared" si="2"/>
        <v>-9.9569414307180155E-3</v>
      </c>
    </row>
    <row r="46" spans="1:6" ht="15">
      <c r="A46" s="192"/>
      <c r="B46" s="222" t="s">
        <v>339</v>
      </c>
      <c r="C46" s="207"/>
      <c r="D46" s="235">
        <v>153.27439959423916</v>
      </c>
      <c r="E46" s="200">
        <f>SUM(E39:E45)</f>
        <v>137.99748798302559</v>
      </c>
      <c r="F46" s="201">
        <f t="shared" si="2"/>
        <v>-9.9670340589530185E-2</v>
      </c>
    </row>
    <row r="47" spans="1:6">
      <c r="A47" s="192"/>
      <c r="B47" s="49"/>
      <c r="C47" s="212"/>
      <c r="D47" s="223"/>
      <c r="E47" s="223"/>
      <c r="F47" s="224"/>
    </row>
    <row r="48" spans="1:6" ht="23.25">
      <c r="A48" s="192"/>
      <c r="B48" s="213"/>
      <c r="C48" s="212"/>
      <c r="D48" s="214"/>
      <c r="E48" s="214"/>
      <c r="F48" s="214"/>
    </row>
    <row r="49" spans="1:6" ht="22.5">
      <c r="A49" s="55"/>
      <c r="B49" s="215" t="s">
        <v>455</v>
      </c>
      <c r="C49" s="52"/>
      <c r="D49" s="452"/>
      <c r="E49" s="452"/>
      <c r="F49" s="452"/>
    </row>
    <row r="50" spans="1:6" ht="18">
      <c r="A50" s="192"/>
      <c r="B50" s="225"/>
      <c r="C50" s="159"/>
      <c r="D50" s="236">
        <v>2011</v>
      </c>
      <c r="E50" s="217">
        <v>2012</v>
      </c>
      <c r="F50" s="217" t="s">
        <v>428</v>
      </c>
    </row>
    <row r="51" spans="1:6" ht="15">
      <c r="A51" s="192"/>
      <c r="B51" s="152" t="s">
        <v>340</v>
      </c>
      <c r="C51" s="226"/>
      <c r="D51" s="235">
        <v>118.49675571188197</v>
      </c>
      <c r="E51" s="200">
        <f>SUM(E52:E57)</f>
        <v>108.82355880461381</v>
      </c>
      <c r="F51" s="201">
        <f>(E51-D51)/D51</f>
        <v>-8.1632588581479676E-2</v>
      </c>
    </row>
    <row r="52" spans="1:6" ht="15">
      <c r="A52" s="192"/>
      <c r="B52" s="227"/>
      <c r="C52" s="218" t="s">
        <v>275</v>
      </c>
      <c r="D52" s="435">
        <v>13.940856039325842</v>
      </c>
      <c r="E52" s="167">
        <f>'Årlig CO2-opgørelse'!E7</f>
        <v>14.107357138200785</v>
      </c>
      <c r="F52" s="201">
        <f t="shared" ref="F52:F57" si="3">(E52-D52)/D52</f>
        <v>1.194339131006434E-2</v>
      </c>
    </row>
    <row r="53" spans="1:6" ht="15">
      <c r="A53" s="192"/>
      <c r="B53" s="228"/>
      <c r="C53" s="218" t="s">
        <v>368</v>
      </c>
      <c r="D53" s="435">
        <v>17.641194617847137</v>
      </c>
      <c r="E53" s="167">
        <f>'Årlig CO2-opgørelse'!E8</f>
        <v>15.981939639839036</v>
      </c>
      <c r="F53" s="201">
        <f t="shared" si="3"/>
        <v>-9.405570393342165E-2</v>
      </c>
    </row>
    <row r="54" spans="1:6" ht="15">
      <c r="A54" s="192"/>
      <c r="B54" s="228"/>
      <c r="C54" s="218" t="s">
        <v>277</v>
      </c>
      <c r="D54" s="435">
        <v>24.934087270802252</v>
      </c>
      <c r="E54" s="167">
        <f>'Årlig CO2-opgørelse'!E9</f>
        <v>29.195355641801271</v>
      </c>
      <c r="F54" s="201">
        <f t="shared" si="3"/>
        <v>0.17090131773096637</v>
      </c>
    </row>
    <row r="55" spans="1:6" ht="15">
      <c r="A55" s="192"/>
      <c r="B55" s="228"/>
      <c r="C55" s="218" t="s">
        <v>284</v>
      </c>
      <c r="D55" s="435">
        <v>28.446767942847686</v>
      </c>
      <c r="E55" s="167">
        <f>'Årlig CO2-opgørelse'!E10</f>
        <v>18.111599061844213</v>
      </c>
      <c r="F55" s="201">
        <f t="shared" si="3"/>
        <v>-0.36331610331858538</v>
      </c>
    </row>
    <row r="56" spans="1:6" ht="15">
      <c r="A56" s="192"/>
      <c r="B56" s="228"/>
      <c r="C56" s="218" t="s">
        <v>285</v>
      </c>
      <c r="D56" s="435">
        <v>18.372249514832269</v>
      </c>
      <c r="E56" s="167">
        <f>'Årlig CO2-opgørelse'!E11</f>
        <v>14.172726244687309</v>
      </c>
      <c r="F56" s="201">
        <f t="shared" si="3"/>
        <v>-0.22857969933157093</v>
      </c>
    </row>
    <row r="57" spans="1:6" ht="15">
      <c r="A57" s="192"/>
      <c r="B57" s="229"/>
      <c r="C57" s="218" t="s">
        <v>341</v>
      </c>
      <c r="D57" s="435">
        <v>15.161600326226797</v>
      </c>
      <c r="E57" s="167">
        <f>'Årlig CO2-opgørelse'!E12</f>
        <v>17.254581078241191</v>
      </c>
      <c r="F57" s="201">
        <f t="shared" si="3"/>
        <v>0.13804484401253611</v>
      </c>
    </row>
    <row r="58" spans="1:6" ht="15">
      <c r="A58" s="192"/>
      <c r="B58" s="198" t="s">
        <v>297</v>
      </c>
      <c r="C58" s="199"/>
      <c r="D58" s="239">
        <f>D59</f>
        <v>32</v>
      </c>
      <c r="E58" s="164">
        <f>SUM(E59:E59)</f>
        <v>34.896414603174598</v>
      </c>
      <c r="F58" s="201">
        <f>(E58-D58)/D58</f>
        <v>9.0512956349206197E-2</v>
      </c>
    </row>
    <row r="59" spans="1:6" ht="15">
      <c r="A59" s="192"/>
      <c r="B59" s="227"/>
      <c r="C59" s="218" t="s">
        <v>396</v>
      </c>
      <c r="D59" s="436">
        <v>32</v>
      </c>
      <c r="E59" s="167">
        <f>'Årlig CO2-opgørelse'!E24</f>
        <v>34.896414603174598</v>
      </c>
      <c r="F59" s="201">
        <f t="shared" ref="F59" si="4">(E59-D59)/D59</f>
        <v>9.0512956349206197E-2</v>
      </c>
    </row>
    <row r="60" spans="1:6" ht="15">
      <c r="A60" s="192"/>
      <c r="B60" s="198" t="s">
        <v>301</v>
      </c>
      <c r="C60" s="199"/>
      <c r="D60" s="239">
        <f>D61</f>
        <v>18.494199999999999</v>
      </c>
      <c r="E60" s="164">
        <f>SUM(E61:E62)</f>
        <v>18.310050624442464</v>
      </c>
      <c r="F60" s="201">
        <f>(E60-D60)/D60</f>
        <v>-9.9571419989799483E-3</v>
      </c>
    </row>
    <row r="61" spans="1:6" ht="15">
      <c r="B61" s="229"/>
      <c r="C61" s="218" t="s">
        <v>278</v>
      </c>
      <c r="D61" s="436">
        <v>18.494199999999999</v>
      </c>
      <c r="E61" s="167">
        <f>'Årlig CO2-opgørelse'!E32</f>
        <v>18.310050624442464</v>
      </c>
      <c r="F61" s="201">
        <f>(E61-D61)/D61</f>
        <v>-9.9571419989799483E-3</v>
      </c>
    </row>
    <row r="62" spans="1:6" ht="15">
      <c r="B62" s="229"/>
      <c r="C62" s="221" t="s">
        <v>295</v>
      </c>
      <c r="D62" s="240"/>
      <c r="E62" s="204"/>
      <c r="F62" s="201"/>
    </row>
    <row r="63" spans="1:6" ht="15">
      <c r="B63" s="206" t="s">
        <v>339</v>
      </c>
      <c r="C63" s="207"/>
      <c r="D63" s="235">
        <f>D51+D58+D60</f>
        <v>168.99095571188198</v>
      </c>
      <c r="E63" s="200">
        <f>E51+E58+E60</f>
        <v>162.03002403223087</v>
      </c>
      <c r="F63" s="201">
        <f>(E63-D63)/D63</f>
        <v>-4.1191149256052634E-2</v>
      </c>
    </row>
    <row r="64" spans="1:6">
      <c r="B64" s="192"/>
      <c r="C64" s="192"/>
      <c r="D64" s="193"/>
      <c r="E64" s="193"/>
      <c r="F64" s="193"/>
    </row>
  </sheetData>
  <sheetProtection selectLockedCells="1" selectUnlockedCells="1"/>
  <mergeCells count="3">
    <mergeCell ref="D2:F2"/>
    <mergeCell ref="D37:F37"/>
    <mergeCell ref="D49:F49"/>
  </mergeCells>
  <phoneticPr fontId="49" type="noConversion"/>
  <pageMargins left="0.75" right="0.75" top="1" bottom="1" header="0" footer="0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Regneark</vt:lpstr>
      </vt:variant>
      <vt:variant>
        <vt:i4>9</vt:i4>
      </vt:variant>
      <vt:variant>
        <vt:lpstr>Diagrammer</vt:lpstr>
      </vt:variant>
      <vt:variant>
        <vt:i4>2</vt:i4>
      </vt:variant>
      <vt:variant>
        <vt:lpstr>Navngivne områder</vt:lpstr>
      </vt:variant>
      <vt:variant>
        <vt:i4>22</vt:i4>
      </vt:variant>
    </vt:vector>
  </HeadingPairs>
  <TitlesOfParts>
    <vt:vector size="33" baseType="lpstr">
      <vt:lpstr>Vejledning</vt:lpstr>
      <vt:lpstr>Grafdata</vt:lpstr>
      <vt:lpstr>Forudsætninger</vt:lpstr>
      <vt:lpstr>Transport</vt:lpstr>
      <vt:lpstr>Offentlig transport</vt:lpstr>
      <vt:lpstr>Vejbelysning</vt:lpstr>
      <vt:lpstr>Bygninger</vt:lpstr>
      <vt:lpstr>Årlig CO2-opgørelse</vt:lpstr>
      <vt:lpstr>Sammenligning 2011 og 2012</vt:lpstr>
      <vt:lpstr>Figur_CO2-udledning</vt:lpstr>
      <vt:lpstr>Figur_CO2-udledning,bygninger</vt:lpstr>
      <vt:lpstr>A_administrationsbygninger</vt:lpstr>
      <vt:lpstr>A_daginstitutioner</vt:lpstr>
      <vt:lpstr>A_kulturinstitutioner</vt:lpstr>
      <vt:lpstr>A_materialegårde</vt:lpstr>
      <vt:lpstr>Antal_borgere</vt:lpstr>
      <vt:lpstr>CO2_el</vt:lpstr>
      <vt:lpstr>CO2_kmBenzin</vt:lpstr>
      <vt:lpstr>CO2_kmDiesel</vt:lpstr>
      <vt:lpstr>CO2_LiterBenzin</vt:lpstr>
      <vt:lpstr>CO2_LiterDiesel</vt:lpstr>
      <vt:lpstr>CO2_naturgas</vt:lpstr>
      <vt:lpstr>CO2_olie</vt:lpstr>
      <vt:lpstr>energiindhold_naturgas</vt:lpstr>
      <vt:lpstr>energiindhold_olie</vt:lpstr>
      <vt:lpstr>Bygninger!Udskriftsområde</vt:lpstr>
      <vt:lpstr>Forudsætninger!Udskriftsområde</vt:lpstr>
      <vt:lpstr>'Offentlig transport'!Udskriftsområde</vt:lpstr>
      <vt:lpstr>Transport!Udskriftsområde</vt:lpstr>
      <vt:lpstr>Vejbelysning!Udskriftsområde</vt:lpstr>
      <vt:lpstr>Vejledning!Udskriftsområde</vt:lpstr>
      <vt:lpstr>'Årlig CO2-opgørelse'!Udskriftsområde</vt:lpstr>
      <vt:lpstr>Bygninger!Udskriftstitler</vt:lpstr>
    </vt:vector>
  </TitlesOfParts>
  <Company>Assens Kommune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Assens Kommune</dc:creator>
  <cp:lastModifiedBy>Marc Eskelund</cp:lastModifiedBy>
  <cp:lastPrinted>2013-05-21T14:06:49Z</cp:lastPrinted>
  <dcterms:created xsi:type="dcterms:W3CDTF">2003-12-09T13:05:05Z</dcterms:created>
  <dcterms:modified xsi:type="dcterms:W3CDTF">2013-07-01T13:36:02Z</dcterms:modified>
</cp:coreProperties>
</file>