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0440" yWindow="-60" windowWidth="9285" windowHeight="8205"/>
  </bookViews>
  <sheets>
    <sheet name="CO2 fordelt på sektorer" sheetId="5" r:id="rId1"/>
    <sheet name="CO2 fordeling 2012" sheetId="6" r:id="rId2"/>
    <sheet name="Elforbrug fordelt på forbrugere" sheetId="1" r:id="rId3"/>
    <sheet name="Fjernvarme og individuel varme" sheetId="2" r:id="rId4"/>
    <sheet name="Varmeforbrug fordelt" sheetId="3" r:id="rId5"/>
    <sheet name="Varmeproduktion" sheetId="7" r:id="rId6"/>
    <sheet name="Transport &amp; andre mobile kilder" sheetId="4" r:id="rId7"/>
  </sheets>
  <calcPr calcId="125725"/>
</workbook>
</file>

<file path=xl/calcChain.xml><?xml version="1.0" encoding="utf-8"?>
<calcChain xmlns="http://schemas.openxmlformats.org/spreadsheetml/2006/main">
  <c r="E24" i="2"/>
  <c r="E10"/>
  <c r="G14" i="1"/>
  <c r="D13" i="2" l="1"/>
  <c r="G5" s="1"/>
  <c r="G16" i="5" s="1"/>
  <c r="G4" i="2"/>
  <c r="F16" i="5" s="1"/>
  <c r="C23"/>
  <c r="C22"/>
  <c r="C21"/>
  <c r="C20"/>
  <c r="C19"/>
  <c r="B23"/>
  <c r="B22"/>
  <c r="B21"/>
  <c r="B20"/>
  <c r="G10" i="2"/>
  <c r="G9"/>
  <c r="K16" i="5" s="1"/>
  <c r="G6" i="2"/>
  <c r="H16" i="5" s="1"/>
  <c r="H18"/>
  <c r="G18"/>
  <c r="F18"/>
  <c r="G17"/>
  <c r="H15"/>
  <c r="G15"/>
  <c r="F39" i="4"/>
  <c r="F38"/>
  <c r="F37"/>
  <c r="F36"/>
  <c r="F35"/>
  <c r="F34"/>
  <c r="F33"/>
  <c r="F32"/>
  <c r="F31"/>
  <c r="F30"/>
  <c r="F29"/>
  <c r="F28"/>
  <c r="C20"/>
  <c r="C19"/>
  <c r="C18"/>
  <c r="C16"/>
  <c r="C15"/>
  <c r="C14"/>
  <c r="I16" i="5" l="1"/>
  <c r="B16" s="1"/>
  <c r="C16" s="1"/>
  <c r="G21" i="2"/>
  <c r="H9" i="7"/>
  <c r="H10"/>
  <c r="H5"/>
  <c r="H7"/>
  <c r="E6"/>
  <c r="H35" s="1"/>
  <c r="E46" s="1"/>
  <c r="K39"/>
  <c r="K38"/>
  <c r="K28"/>
  <c r="M20"/>
  <c r="M19"/>
  <c r="M17"/>
  <c r="M15"/>
  <c r="H6" l="1"/>
  <c r="H11" s="1"/>
  <c r="H17" i="5" s="1"/>
  <c r="I23" i="7"/>
  <c r="I21"/>
  <c r="I20"/>
  <c r="I18"/>
  <c r="H8" l="1"/>
  <c r="D12" i="2"/>
  <c r="D9" i="3"/>
  <c r="D10"/>
  <c r="D8"/>
  <c r="D7"/>
  <c r="D6"/>
  <c r="D5"/>
  <c r="F29" i="2" l="1"/>
  <c r="G6" i="1" l="1"/>
  <c r="G8"/>
  <c r="E17"/>
  <c r="U20" i="4" l="1"/>
  <c r="T20"/>
  <c r="S20"/>
  <c r="R20"/>
  <c r="Q20"/>
  <c r="U19"/>
  <c r="T19"/>
  <c r="S19"/>
  <c r="R19"/>
  <c r="Q19"/>
  <c r="U26" l="1"/>
  <c r="U27" s="1"/>
  <c r="U28" s="1"/>
  <c r="T26"/>
  <c r="T27" s="1"/>
  <c r="T28" s="1"/>
  <c r="S26"/>
  <c r="R26"/>
  <c r="Q26"/>
  <c r="Q27" s="1"/>
  <c r="Q28" s="1"/>
  <c r="P26"/>
  <c r="P17"/>
  <c r="Q17" l="1"/>
  <c r="Q16" s="1"/>
  <c r="U17"/>
  <c r="U16" s="1"/>
  <c r="S17"/>
  <c r="S14" s="1"/>
  <c r="T16"/>
  <c r="T17"/>
  <c r="T14" s="1"/>
  <c r="R17"/>
  <c r="R15" s="1"/>
  <c r="U14"/>
  <c r="R27"/>
  <c r="R28" s="1"/>
  <c r="S27"/>
  <c r="S28" s="1"/>
  <c r="Q14" l="1"/>
  <c r="S16"/>
  <c r="R16"/>
  <c r="Q15"/>
  <c r="U15"/>
  <c r="S15"/>
  <c r="T15"/>
  <c r="R14"/>
  <c r="G23" i="2" l="1"/>
  <c r="K17" i="5" s="1"/>
  <c r="E4" i="2" l="1"/>
  <c r="E5"/>
  <c r="B12"/>
  <c r="J6" i="7" l="1"/>
  <c r="J11" l="1"/>
  <c r="I18" i="5"/>
  <c r="B18" s="1"/>
  <c r="C18" s="1"/>
  <c r="F16" i="4"/>
  <c r="F15"/>
  <c r="F14"/>
  <c r="C24"/>
  <c r="C11"/>
  <c r="M38" i="7"/>
  <c r="M37"/>
  <c r="M36"/>
  <c r="M35"/>
  <c r="M34"/>
  <c r="M33"/>
  <c r="M32"/>
  <c r="M31"/>
  <c r="M30"/>
  <c r="E25"/>
  <c r="E15"/>
  <c r="C26" i="4" l="1"/>
  <c r="F17"/>
  <c r="C27"/>
  <c r="E28" i="7"/>
  <c r="E47" s="1"/>
  <c r="B13" i="3"/>
  <c r="B26" i="2"/>
  <c r="B17" i="1"/>
  <c r="H25" i="5" l="1"/>
  <c r="G25"/>
  <c r="I23"/>
  <c r="I22"/>
  <c r="I21"/>
  <c r="I20"/>
  <c r="I19"/>
  <c r="E21" i="2"/>
  <c r="E20"/>
  <c r="G24"/>
  <c r="E6"/>
  <c r="I10" i="1"/>
  <c r="K15" i="5" s="1"/>
  <c r="K25" s="1"/>
  <c r="G7" i="1"/>
  <c r="D47" i="7"/>
  <c r="E14"/>
  <c r="I14" i="1" l="1"/>
  <c r="G20" i="2"/>
  <c r="J20"/>
  <c r="G19"/>
  <c r="J19"/>
  <c r="I6" i="1"/>
  <c r="I5"/>
  <c r="F15" i="5" s="1"/>
  <c r="I7" i="1"/>
  <c r="B20"/>
  <c r="I30" i="7" l="1"/>
  <c r="F17" i="5"/>
  <c r="I17" s="1"/>
  <c r="B17" s="1"/>
  <c r="C17" s="1"/>
  <c r="G22" i="2"/>
  <c r="I8" i="1"/>
  <c r="I15" i="5" s="1"/>
  <c r="G7" i="2"/>
  <c r="F25" i="5" l="1"/>
  <c r="I25" s="1"/>
  <c r="B15"/>
  <c r="E31"/>
  <c r="G31" s="1"/>
  <c r="C15" l="1"/>
  <c r="C25" s="1"/>
  <c r="B25"/>
</calcChain>
</file>

<file path=xl/sharedStrings.xml><?xml version="1.0" encoding="utf-8"?>
<sst xmlns="http://schemas.openxmlformats.org/spreadsheetml/2006/main" count="285" uniqueCount="149">
  <si>
    <t>Elforbrug fordelt på forbrugere</t>
  </si>
  <si>
    <t>MWh/år</t>
  </si>
  <si>
    <t>Kommunale institutioner</t>
  </si>
  <si>
    <t>Øvrige offentlige institutioner</t>
  </si>
  <si>
    <t>Handel og service</t>
  </si>
  <si>
    <t>Husholdninger</t>
  </si>
  <si>
    <t>Industri</t>
  </si>
  <si>
    <t>Landbrug og gartnerier</t>
  </si>
  <si>
    <t>Totalt elforbrug</t>
  </si>
  <si>
    <t>Tabel 2: El-forbrugets fordeling</t>
  </si>
  <si>
    <t>CO2-emission fra elforbrug</t>
  </si>
  <si>
    <t>tons CO2/år</t>
  </si>
  <si>
    <t>CO2-emissionsfaktor for elforbrug i kommunen</t>
  </si>
  <si>
    <t>Kg CO2/MWh</t>
  </si>
  <si>
    <t>VE-elproduktion i kommunen (efter indregning af nettab)</t>
  </si>
  <si>
    <t>VE-elproduktionens andel af kommunens elforbrug</t>
  </si>
  <si>
    <t>%</t>
  </si>
  <si>
    <t>Tabel 3: Nøgletal for elforbrug og elproduktion</t>
  </si>
  <si>
    <t>Figur 3: Elforbrug fordelt på forbrugere</t>
  </si>
  <si>
    <t>Varmeforbrug fordelt på forbrugere tier 2</t>
  </si>
  <si>
    <t>Bygge og anlæg</t>
  </si>
  <si>
    <t>Totalt fjernvarmeforbrug</t>
  </si>
  <si>
    <t>Tabel 4: Fjernvarme fordelt på forbrugere</t>
  </si>
  <si>
    <t>Figur 4: Fjernvarme fordelt på forbrugere</t>
  </si>
  <si>
    <t>Totalt varmeforbrug</t>
  </si>
  <si>
    <t>Tabel 5: Individuelt varmeforbrug fordelt på forbrugere</t>
  </si>
  <si>
    <t>Figur 5: Individuel opvarmning fordelt på forbrugere</t>
  </si>
  <si>
    <t>Tabel 6: Samlet varmeforbrug fordelt på forbrugere</t>
  </si>
  <si>
    <t>Individuel opvarmning og procesvarme</t>
  </si>
  <si>
    <t>Fjernvarme</t>
  </si>
  <si>
    <t>Tabel 7: Varmeforbrugets fordeling på typer</t>
  </si>
  <si>
    <t>Figur 6: Samlet varmeforbrug fordelt på forbrugere</t>
  </si>
  <si>
    <t>Figur 7: Varmeforbrugets fordeling på typer</t>
  </si>
  <si>
    <t>Transport og maskiner fordelt på kategorier</t>
  </si>
  <si>
    <t>mio. km/år</t>
  </si>
  <si>
    <t>Øvrige mobile kilder</t>
  </si>
  <si>
    <t>Fiskeri</t>
  </si>
  <si>
    <t>Non road industri</t>
  </si>
  <si>
    <t>Non road landbrug</t>
  </si>
  <si>
    <t>Non road skovbrug</t>
  </si>
  <si>
    <t>Non road have/hushold</t>
  </si>
  <si>
    <t>Transport</t>
  </si>
  <si>
    <t>Personbiler</t>
  </si>
  <si>
    <t>Varebiler</t>
  </si>
  <si>
    <t>Lastbiler</t>
  </si>
  <si>
    <t>Busser</t>
  </si>
  <si>
    <t>Knallerter</t>
  </si>
  <si>
    <t>Motorcykler</t>
  </si>
  <si>
    <t>Tog</t>
  </si>
  <si>
    <t>Skibe</t>
  </si>
  <si>
    <t>Totalt transport og maskiner</t>
  </si>
  <si>
    <t>Tabel 7: CO2-udledning fra transport og maskiner fordelt på typer</t>
  </si>
  <si>
    <t>Figur 10: CO2-udledning fra transport og maskiner fordelt på typer</t>
  </si>
  <si>
    <t>CO2-udledning fordelt på sektorer</t>
  </si>
  <si>
    <t>Figur 1: CO2-udledning og -optag fordelt på sektorer</t>
  </si>
  <si>
    <t>tons CO2/capita</t>
  </si>
  <si>
    <t>El</t>
  </si>
  <si>
    <t>Transport og øvrige mobile kilder</t>
  </si>
  <si>
    <t>Industriel procesemission</t>
  </si>
  <si>
    <t>Opløsningsmidler</t>
  </si>
  <si>
    <t>Landbrug</t>
  </si>
  <si>
    <t>Affaldsdeponi og spildevand</t>
  </si>
  <si>
    <t>Arealanvendelse</t>
  </si>
  <si>
    <t>Total</t>
  </si>
  <si>
    <t>Tabel 1: CO2-udledning og -optag fordelt på sektorer</t>
  </si>
  <si>
    <t>Figur 2: CO2-udledning fordelt på sektorer</t>
  </si>
  <si>
    <t>Opvarmningsform</t>
  </si>
  <si>
    <t>Fossilt</t>
  </si>
  <si>
    <t>Individuelle oliefyr</t>
  </si>
  <si>
    <t>Individuelle naturgasfyr</t>
  </si>
  <si>
    <t>Individuelle bygasfyr</t>
  </si>
  <si>
    <t>Individuel elvarme</t>
  </si>
  <si>
    <t>Individuel kul/koksfyret opvarmning</t>
  </si>
  <si>
    <t>Bygas</t>
  </si>
  <si>
    <t>Fjernvarme baseret på kul</t>
  </si>
  <si>
    <t>Fjernvarme baseret på olie</t>
  </si>
  <si>
    <t>Fjernvarme baseret på naturgas</t>
  </si>
  <si>
    <t>Vedvarende Energi</t>
  </si>
  <si>
    <t>Individuel biomassebaseret opvarmning</t>
  </si>
  <si>
    <t>Individuel affaldsbaseret opvarmning</t>
  </si>
  <si>
    <t>Individuelle solvarmeanlæg</t>
  </si>
  <si>
    <t>Individuelle varmepumper</t>
  </si>
  <si>
    <t>Fjernvarme baseret på biomasse og overskudsvarme</t>
  </si>
  <si>
    <t>Fjernvarme baseret på affald</t>
  </si>
  <si>
    <t>Heating Types Description</t>
  </si>
  <si>
    <t>CO2-udledning tons CO2/år</t>
  </si>
  <si>
    <t>Emissionsfaktor kg CO2/MWh</t>
  </si>
  <si>
    <t>Nettab %</t>
  </si>
  <si>
    <t>Samlet varmeforsyning</t>
  </si>
  <si>
    <t>Tabel 6b: Varmeforbrug fordelt på produktionsform</t>
  </si>
  <si>
    <t>Offentligt</t>
  </si>
  <si>
    <t>Erhverv</t>
  </si>
  <si>
    <t>Borgere</t>
  </si>
  <si>
    <t>CO2</t>
  </si>
  <si>
    <t>Tog, Busser</t>
  </si>
  <si>
    <t>Varebiler, Lastbiler, 1/3 Personbiler, 1/3 Fly, Non road erhverv</t>
  </si>
  <si>
    <t>2/3 personbiler, 2/3 Fly; Knallerter, Motorcykler, Non road husholdninger</t>
  </si>
  <si>
    <t xml:space="preserve">Varmeforbrug fordelt på forbrugere </t>
  </si>
  <si>
    <t>I alt</t>
  </si>
  <si>
    <t xml:space="preserve">Individuel opvarmning </t>
  </si>
  <si>
    <t>Naturgas</t>
  </si>
  <si>
    <t>Boliger</t>
  </si>
  <si>
    <t>Boliger forbrug</t>
  </si>
  <si>
    <t>Kommunen</t>
  </si>
  <si>
    <t>(del af offentligt)</t>
  </si>
  <si>
    <t>Øvrig offentlig</t>
  </si>
  <si>
    <t>Øvrigt offentligt</t>
  </si>
  <si>
    <t>Øvrige offentlige</t>
  </si>
  <si>
    <t>inkl. nettab</t>
  </si>
  <si>
    <t>Transport m.m.*</t>
  </si>
  <si>
    <t>*skønnet fordeling, se faneblad om transport</t>
  </si>
  <si>
    <t>CO₂ fordelt på grupper, tons/år</t>
  </si>
  <si>
    <t>Enegi i alt</t>
  </si>
  <si>
    <t>VE</t>
  </si>
  <si>
    <t>% VE</t>
  </si>
  <si>
    <t xml:space="preserve">ifølge oplysninger fra kommunen, </t>
  </si>
  <si>
    <t>forskellen bliver tillagt øvrige offentlige</t>
  </si>
  <si>
    <t>2007 tal</t>
  </si>
  <si>
    <t>Vejnet</t>
  </si>
  <si>
    <t>km</t>
  </si>
  <si>
    <t>Vest for Ring 4</t>
  </si>
  <si>
    <t>Ved Sørup</t>
  </si>
  <si>
    <t>VF</t>
  </si>
  <si>
    <t>landsplan</t>
  </si>
  <si>
    <t>begge tal 2012</t>
  </si>
  <si>
    <t>emissionsfaktor med nettab</t>
  </si>
  <si>
    <t xml:space="preserve">2012 faktor for naturgas </t>
  </si>
  <si>
    <t>Total varmeproduktion</t>
  </si>
  <si>
    <t>MWh produktion/år</t>
  </si>
  <si>
    <t>Tabel 6a: Varmeproduktion fordelt på produktionsform</t>
  </si>
  <si>
    <t>Figur 8. Varmeproduktion fordelt på produktionsform og energikilder</t>
  </si>
  <si>
    <t>Naturgas boliger</t>
  </si>
  <si>
    <t>Forbrug</t>
  </si>
  <si>
    <t>MWh</t>
  </si>
  <si>
    <t>Produktion</t>
  </si>
  <si>
    <t>Fjernvarme boliger</t>
  </si>
  <si>
    <t>Olie</t>
  </si>
  <si>
    <t>Elvarme</t>
  </si>
  <si>
    <t>Biomasse</t>
  </si>
  <si>
    <t>Bygasfyr</t>
  </si>
  <si>
    <t>Fjernvarme i alt</t>
  </si>
  <si>
    <t>Varmeforbrug fordelt på produktionsformer</t>
  </si>
  <si>
    <t>Naturgas erhverv</t>
  </si>
  <si>
    <t>Naturgas  i alt</t>
  </si>
  <si>
    <t>CO₂ i alt</t>
  </si>
  <si>
    <t>Individuel varme i alt</t>
  </si>
  <si>
    <t>CO2 udledning fordelt på fjernvarme og indviduel opvarmning og procesvarme</t>
  </si>
  <si>
    <t>Indenrigsflyvning</t>
  </si>
  <si>
    <t>Jeg har ikke modtaget nye transport tal for kommunen, derfor sammetal som sidste år.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</si>
</sst>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.000"/>
    <numFmt numFmtId="165" formatCode="0.0"/>
  </numFmts>
  <fonts count="18">
    <font>
      <sz val="11"/>
      <color rgb="FF000000"/>
      <name val="Calibri"/>
      <family val="2"/>
    </font>
    <font>
      <sz val="9"/>
      <color rgb="FF000000"/>
      <name val="Tahoma"/>
      <family val="2"/>
    </font>
    <font>
      <sz val="9"/>
      <color rgb="FF000000"/>
      <name val="Calibri"/>
      <family val="2"/>
    </font>
    <font>
      <sz val="8"/>
      <color rgb="FF000000"/>
      <name val="Times New Roman"/>
      <family val="1"/>
    </font>
    <font>
      <sz val="14"/>
      <color rgb="FF000000"/>
      <name val="Tahoma"/>
      <family val="2"/>
    </font>
    <font>
      <sz val="10"/>
      <color rgb="FF000000"/>
      <name val="Tahoma"/>
      <family val="2"/>
    </font>
    <font>
      <sz val="9.75"/>
      <color rgb="FF000000"/>
      <name val="Times New Roman"/>
      <family val="1"/>
    </font>
    <font>
      <sz val="10"/>
      <color rgb="FF0000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ahoma"/>
      <family val="2"/>
    </font>
    <font>
      <sz val="10"/>
      <color rgb="FF000000"/>
      <name val="Times New Roman"/>
      <family val="1"/>
    </font>
    <font>
      <sz val="9.75"/>
      <color rgb="FF000000"/>
      <name val="Tahoma"/>
      <family val="2"/>
    </font>
    <font>
      <sz val="8.25"/>
      <color rgb="FF000000"/>
      <name val="Tahoma"/>
      <family val="2"/>
    </font>
    <font>
      <sz val="11"/>
      <color rgb="FF000000"/>
      <name val="Calibri"/>
      <family val="2"/>
    </font>
    <font>
      <sz val="10"/>
      <name val="Tahoma"/>
      <family val="2"/>
    </font>
    <font>
      <sz val="11"/>
      <color rgb="FF00B05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A9A9A9"/>
      </patternFill>
    </fill>
    <fill>
      <patternFill patternType="solid">
        <fgColor rgb="FFDCDCDC"/>
      </patternFill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9A9A9"/>
      </left>
      <right/>
      <top style="thin">
        <color rgb="FF808080"/>
      </top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A9A9A9"/>
      </left>
      <right/>
      <top style="thin">
        <color rgb="FF808080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/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/>
      <top style="thin">
        <color rgb="FFA9A9A9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/>
      <top/>
      <bottom style="thin">
        <color rgb="FFA9A9A9"/>
      </bottom>
      <diagonal/>
    </border>
    <border>
      <left style="thin">
        <color indexed="64"/>
      </left>
      <right style="thin">
        <color indexed="64"/>
      </right>
      <top/>
      <bottom style="thin">
        <color rgb="FFA9A9A9"/>
      </bottom>
      <diagonal/>
    </border>
    <border>
      <left style="thin">
        <color rgb="FFA9A9A9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A9A9A9"/>
      </right>
      <top style="thin">
        <color rgb="FF808080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rgb="FFA9A9A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76">
    <xf numFmtId="0" fontId="0" fillId="0" borderId="0" xfId="0"/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0" borderId="0" xfId="0" applyFont="1"/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top" wrapText="1"/>
    </xf>
    <xf numFmtId="0" fontId="5" fillId="4" borderId="5" xfId="0" applyFont="1" applyFill="1" applyBorder="1" applyAlignment="1">
      <alignment horizontal="right" vertical="top" wrapText="1"/>
    </xf>
    <xf numFmtId="20" fontId="5" fillId="4" borderId="2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20" fontId="5" fillId="4" borderId="2" xfId="0" applyNumberFormat="1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22" fontId="5" fillId="4" borderId="1" xfId="0" applyNumberFormat="1" applyFont="1" applyFill="1" applyBorder="1" applyAlignment="1">
      <alignment vertical="center" wrapText="1"/>
    </xf>
    <xf numFmtId="22" fontId="5" fillId="4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5" fillId="2" borderId="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9" fillId="0" borderId="0" xfId="0" applyFont="1"/>
    <xf numFmtId="20" fontId="5" fillId="4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5" fillId="2" borderId="7" xfId="0" applyNumberFormat="1" applyFont="1" applyFill="1" applyBorder="1" applyAlignment="1">
      <alignment horizontal="right" vertical="center" wrapText="1"/>
    </xf>
    <xf numFmtId="0" fontId="5" fillId="0" borderId="0" xfId="0" applyFont="1" applyAlignment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5" borderId="6" xfId="0" applyFont="1" applyFill="1" applyBorder="1" applyAlignment="1">
      <alignment vertical="top" wrapText="1"/>
    </xf>
    <xf numFmtId="0" fontId="5" fillId="5" borderId="9" xfId="0" applyFont="1" applyFill="1" applyBorder="1" applyAlignment="1">
      <alignment vertical="top" wrapText="1"/>
    </xf>
    <xf numFmtId="2" fontId="5" fillId="2" borderId="7" xfId="0" applyNumberFormat="1" applyFont="1" applyFill="1" applyBorder="1" applyAlignment="1">
      <alignment horizontal="right" vertical="center" wrapText="1"/>
    </xf>
    <xf numFmtId="2" fontId="5" fillId="6" borderId="11" xfId="0" applyNumberFormat="1" applyFont="1" applyFill="1" applyBorder="1" applyAlignment="1">
      <alignment vertical="top" wrapText="1"/>
    </xf>
    <xf numFmtId="2" fontId="5" fillId="6" borderId="7" xfId="0" applyNumberFormat="1" applyFont="1" applyFill="1" applyBorder="1" applyAlignment="1">
      <alignment vertical="top" wrapText="1"/>
    </xf>
    <xf numFmtId="0" fontId="5" fillId="6" borderId="11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 wrapText="1"/>
    </xf>
    <xf numFmtId="0" fontId="5" fillId="5" borderId="11" xfId="0" applyFont="1" applyFill="1" applyBorder="1" applyAlignment="1">
      <alignment vertical="top" wrapText="1"/>
    </xf>
    <xf numFmtId="2" fontId="5" fillId="6" borderId="14" xfId="0" applyNumberFormat="1" applyFont="1" applyFill="1" applyBorder="1" applyAlignment="1">
      <alignment vertical="top" wrapText="1"/>
    </xf>
    <xf numFmtId="0" fontId="5" fillId="4" borderId="15" xfId="0" applyFont="1" applyFill="1" applyBorder="1" applyAlignment="1">
      <alignment horizontal="right" vertical="top" wrapText="1"/>
    </xf>
    <xf numFmtId="2" fontId="5" fillId="4" borderId="16" xfId="0" applyNumberFormat="1" applyFont="1" applyFill="1" applyBorder="1" applyAlignment="1">
      <alignment vertical="top" wrapText="1"/>
    </xf>
    <xf numFmtId="45" fontId="5" fillId="4" borderId="1" xfId="0" applyNumberFormat="1" applyFont="1" applyFill="1" applyBorder="1" applyAlignment="1">
      <alignment vertical="top" wrapText="1"/>
    </xf>
    <xf numFmtId="2" fontId="5" fillId="4" borderId="1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2" fontId="12" fillId="2" borderId="6" xfId="0" applyNumberFormat="1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2" fontId="12" fillId="2" borderId="7" xfId="0" applyNumberFormat="1" applyFont="1" applyFill="1" applyBorder="1" applyAlignment="1">
      <alignment vertical="center" wrapText="1"/>
    </xf>
    <xf numFmtId="2" fontId="12" fillId="2" borderId="18" xfId="0" applyNumberFormat="1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top" wrapText="1"/>
    </xf>
    <xf numFmtId="0" fontId="12" fillId="4" borderId="20" xfId="0" applyFont="1" applyFill="1" applyBorder="1" applyAlignment="1">
      <alignment vertical="top" wrapText="1"/>
    </xf>
    <xf numFmtId="22" fontId="12" fillId="4" borderId="1" xfId="0" applyNumberFormat="1" applyFont="1" applyFill="1" applyBorder="1" applyAlignment="1">
      <alignment vertical="top" wrapText="1"/>
    </xf>
    <xf numFmtId="4" fontId="12" fillId="4" borderId="21" xfId="0" applyNumberFormat="1" applyFont="1" applyFill="1" applyBorder="1" applyAlignment="1">
      <alignment vertical="top" wrapText="1"/>
    </xf>
    <xf numFmtId="0" fontId="9" fillId="0" borderId="0" xfId="0" applyFont="1" applyAlignment="1"/>
    <xf numFmtId="0" fontId="12" fillId="3" borderId="1" xfId="0" applyFont="1" applyFill="1" applyBorder="1" applyAlignment="1">
      <alignment vertical="top"/>
    </xf>
    <xf numFmtId="0" fontId="12" fillId="3" borderId="16" xfId="0" applyFont="1" applyFill="1" applyBorder="1" applyAlignment="1">
      <alignment vertical="top"/>
    </xf>
    <xf numFmtId="0" fontId="12" fillId="3" borderId="17" xfId="0" applyFont="1" applyFill="1" applyBorder="1" applyAlignment="1">
      <alignment vertical="top"/>
    </xf>
    <xf numFmtId="0" fontId="12" fillId="5" borderId="6" xfId="0" applyFont="1" applyFill="1" applyBorder="1" applyAlignment="1">
      <alignment vertical="top"/>
    </xf>
    <xf numFmtId="0" fontId="12" fillId="5" borderId="9" xfId="0" applyFont="1" applyFill="1" applyBorder="1" applyAlignment="1">
      <alignment vertical="top"/>
    </xf>
    <xf numFmtId="0" fontId="12" fillId="5" borderId="22" xfId="0" applyFont="1" applyFill="1" applyBorder="1" applyAlignment="1">
      <alignment vertical="top"/>
    </xf>
    <xf numFmtId="0" fontId="12" fillId="2" borderId="7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6" borderId="10" xfId="0" applyFont="1" applyFill="1" applyBorder="1" applyAlignment="1">
      <alignment vertical="top"/>
    </xf>
    <xf numFmtId="0" fontId="12" fillId="6" borderId="23" xfId="0" applyFont="1" applyFill="1" applyBorder="1" applyAlignment="1">
      <alignment vertical="top"/>
    </xf>
    <xf numFmtId="0" fontId="12" fillId="6" borderId="12" xfId="0" applyFont="1" applyFill="1" applyBorder="1" applyAlignment="1">
      <alignment vertical="top"/>
    </xf>
    <xf numFmtId="0" fontId="12" fillId="6" borderId="0" xfId="0" applyFont="1" applyFill="1" applyBorder="1" applyAlignment="1">
      <alignment vertical="top"/>
    </xf>
    <xf numFmtId="0" fontId="12" fillId="6" borderId="13" xfId="0" applyFont="1" applyFill="1" applyBorder="1" applyAlignment="1">
      <alignment vertical="top"/>
    </xf>
    <xf numFmtId="0" fontId="12" fillId="6" borderId="24" xfId="0" applyFont="1" applyFill="1" applyBorder="1" applyAlignment="1">
      <alignment vertical="top"/>
    </xf>
    <xf numFmtId="0" fontId="12" fillId="5" borderId="7" xfId="0" applyFont="1" applyFill="1" applyBorder="1" applyAlignment="1">
      <alignment vertical="top"/>
    </xf>
    <xf numFmtId="0" fontId="12" fillId="5" borderId="11" xfId="0" applyFont="1" applyFill="1" applyBorder="1" applyAlignment="1">
      <alignment vertical="top"/>
    </xf>
    <xf numFmtId="0" fontId="12" fillId="6" borderId="26" xfId="0" applyFont="1" applyFill="1" applyBorder="1" applyAlignment="1">
      <alignment vertical="top"/>
    </xf>
    <xf numFmtId="0" fontId="12" fillId="6" borderId="27" xfId="0" applyFont="1" applyFill="1" applyBorder="1" applyAlignment="1">
      <alignment vertical="top"/>
    </xf>
    <xf numFmtId="0" fontId="12" fillId="4" borderId="1" xfId="0" applyFont="1" applyFill="1" applyBorder="1" applyAlignment="1">
      <alignment vertical="top"/>
    </xf>
    <xf numFmtId="0" fontId="12" fillId="4" borderId="16" xfId="0" applyFont="1" applyFill="1" applyBorder="1" applyAlignment="1">
      <alignment vertical="top"/>
    </xf>
    <xf numFmtId="20" fontId="12" fillId="4" borderId="1" xfId="0" applyNumberFormat="1" applyFont="1" applyFill="1" applyBorder="1" applyAlignment="1">
      <alignment vertical="top"/>
    </xf>
    <xf numFmtId="20" fontId="12" fillId="4" borderId="16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2" fillId="3" borderId="28" xfId="0" applyFont="1" applyFill="1" applyBorder="1" applyAlignment="1">
      <alignment vertical="top"/>
    </xf>
    <xf numFmtId="0" fontId="12" fillId="3" borderId="2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29" xfId="0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horizontal="right" vertical="center" wrapText="1"/>
    </xf>
    <xf numFmtId="0" fontId="12" fillId="2" borderId="22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49" fontId="12" fillId="2" borderId="4" xfId="0" applyNumberFormat="1" applyFont="1" applyFill="1" applyBorder="1" applyAlignment="1">
      <alignment horizontal="right" vertical="center" wrapText="1"/>
    </xf>
    <xf numFmtId="0" fontId="12" fillId="2" borderId="3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2" fontId="12" fillId="2" borderId="22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  <xf numFmtId="49" fontId="0" fillId="0" borderId="0" xfId="0" applyNumberFormat="1"/>
    <xf numFmtId="2" fontId="0" fillId="0" borderId="0" xfId="0" applyNumberFormat="1"/>
    <xf numFmtId="1" fontId="0" fillId="0" borderId="0" xfId="0" applyNumberFormat="1"/>
    <xf numFmtId="2" fontId="5" fillId="2" borderId="4" xfId="0" applyNumberFormat="1" applyFont="1" applyFill="1" applyBorder="1" applyAlignment="1">
      <alignment horizontal="right" vertical="center" wrapText="1"/>
    </xf>
    <xf numFmtId="1" fontId="5" fillId="2" borderId="4" xfId="0" applyNumberFormat="1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right" vertical="top" wrapText="1"/>
    </xf>
    <xf numFmtId="1" fontId="5" fillId="4" borderId="5" xfId="0" applyNumberFormat="1" applyFont="1" applyFill="1" applyBorder="1" applyAlignment="1">
      <alignment horizontal="right" vertical="top" wrapText="1"/>
    </xf>
    <xf numFmtId="1" fontId="5" fillId="4" borderId="2" xfId="0" applyNumberFormat="1" applyFont="1" applyFill="1" applyBorder="1" applyAlignment="1">
      <alignment horizontal="right" vertical="top" wrapText="1"/>
    </xf>
    <xf numFmtId="1" fontId="5" fillId="2" borderId="6" xfId="0" applyNumberFormat="1" applyFont="1" applyFill="1" applyBorder="1" applyAlignment="1">
      <alignment horizontal="right" vertical="center" wrapText="1"/>
    </xf>
    <xf numFmtId="0" fontId="5" fillId="2" borderId="7" xfId="0" applyNumberFormat="1" applyFont="1" applyFill="1" applyBorder="1" applyAlignment="1">
      <alignment horizontal="right" vertical="center" wrapText="1"/>
    </xf>
    <xf numFmtId="2" fontId="12" fillId="2" borderId="18" xfId="1" applyNumberFormat="1" applyFont="1" applyFill="1" applyBorder="1" applyAlignment="1">
      <alignment vertical="center" wrapText="1"/>
    </xf>
    <xf numFmtId="2" fontId="12" fillId="6" borderId="18" xfId="0" applyNumberFormat="1" applyFont="1" applyFill="1" applyBorder="1" applyAlignment="1">
      <alignment vertical="top" wrapText="1"/>
    </xf>
    <xf numFmtId="2" fontId="12" fillId="6" borderId="18" xfId="0" applyNumberFormat="1" applyFont="1" applyFill="1" applyBorder="1" applyAlignment="1">
      <alignment vertical="top"/>
    </xf>
    <xf numFmtId="2" fontId="12" fillId="6" borderId="25" xfId="0" applyNumberFormat="1" applyFont="1" applyFill="1" applyBorder="1" applyAlignment="1">
      <alignment vertical="top"/>
    </xf>
    <xf numFmtId="2" fontId="12" fillId="5" borderId="18" xfId="0" applyNumberFormat="1" applyFont="1" applyFill="1" applyBorder="1" applyAlignment="1">
      <alignment vertical="top"/>
    </xf>
    <xf numFmtId="2" fontId="12" fillId="6" borderId="11" xfId="0" applyNumberFormat="1" applyFont="1" applyFill="1" applyBorder="1" applyAlignment="1">
      <alignment vertical="top"/>
    </xf>
    <xf numFmtId="2" fontId="12" fillId="6" borderId="27" xfId="0" applyNumberFormat="1" applyFont="1" applyFill="1" applyBorder="1" applyAlignment="1">
      <alignment vertical="top"/>
    </xf>
    <xf numFmtId="2" fontId="12" fillId="4" borderId="16" xfId="0" applyNumberFormat="1" applyFont="1" applyFill="1" applyBorder="1" applyAlignment="1">
      <alignment vertical="top"/>
    </xf>
    <xf numFmtId="2" fontId="12" fillId="4" borderId="21" xfId="0" applyNumberFormat="1" applyFont="1" applyFill="1" applyBorder="1" applyAlignment="1">
      <alignment vertical="top" wrapText="1"/>
    </xf>
    <xf numFmtId="2" fontId="9" fillId="0" borderId="0" xfId="0" applyNumberFormat="1" applyFont="1" applyAlignment="1"/>
    <xf numFmtId="2" fontId="11" fillId="2" borderId="0" xfId="0" applyNumberFormat="1" applyFont="1" applyFill="1" applyBorder="1" applyAlignment="1">
      <alignment vertical="top"/>
    </xf>
    <xf numFmtId="2" fontId="12" fillId="3" borderId="1" xfId="0" applyNumberFormat="1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center"/>
    </xf>
    <xf numFmtId="1" fontId="12" fillId="2" borderId="6" xfId="0" applyNumberFormat="1" applyFont="1" applyFill="1" applyBorder="1" applyAlignment="1">
      <alignment vertical="center" wrapText="1"/>
    </xf>
    <xf numFmtId="1" fontId="12" fillId="2" borderId="7" xfId="0" applyNumberFormat="1" applyFont="1" applyFill="1" applyBorder="1" applyAlignment="1">
      <alignment horizontal="right" vertical="center" wrapText="1"/>
    </xf>
    <xf numFmtId="1" fontId="12" fillId="2" borderId="7" xfId="0" applyNumberFormat="1" applyFont="1" applyFill="1" applyBorder="1" applyAlignment="1">
      <alignment vertical="center" wrapText="1"/>
    </xf>
    <xf numFmtId="1" fontId="12" fillId="2" borderId="19" xfId="0" applyNumberFormat="1" applyFont="1" applyFill="1" applyBorder="1" applyAlignment="1">
      <alignment vertical="center" wrapText="1"/>
    </xf>
    <xf numFmtId="1" fontId="12" fillId="4" borderId="16" xfId="0" applyNumberFormat="1" applyFont="1" applyFill="1" applyBorder="1" applyAlignment="1">
      <alignment vertical="top" wrapText="1"/>
    </xf>
    <xf numFmtId="1" fontId="12" fillId="4" borderId="1" xfId="0" applyNumberFormat="1" applyFont="1" applyFill="1" applyBorder="1" applyAlignment="1">
      <alignment vertical="top" wrapText="1"/>
    </xf>
    <xf numFmtId="0" fontId="0" fillId="0" borderId="32" xfId="0" applyBorder="1"/>
    <xf numFmtId="1" fontId="0" fillId="0" borderId="32" xfId="0" applyNumberFormat="1" applyBorder="1"/>
    <xf numFmtId="0" fontId="0" fillId="0" borderId="32" xfId="0" applyBorder="1" applyAlignment="1">
      <alignment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14" fillId="2" borderId="4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5" fillId="2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165" fontId="5" fillId="2" borderId="7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5" fontId="0" fillId="0" borderId="0" xfId="1" applyNumberFormat="1" applyFont="1"/>
    <xf numFmtId="0" fontId="5" fillId="0" borderId="1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center" vertical="top" wrapText="1"/>
    </xf>
    <xf numFmtId="1" fontId="16" fillId="0" borderId="0" xfId="0" applyNumberFormat="1" applyFont="1" applyAlignment="1">
      <alignment horizontal="left"/>
    </xf>
    <xf numFmtId="1" fontId="5" fillId="2" borderId="33" xfId="0" applyNumberFormat="1" applyFont="1" applyFill="1" applyBorder="1" applyAlignment="1">
      <alignment horizontal="right" vertical="center" wrapText="1"/>
    </xf>
    <xf numFmtId="1" fontId="5" fillId="0" borderId="32" xfId="0" applyNumberFormat="1" applyFont="1" applyFill="1" applyBorder="1" applyAlignment="1">
      <alignment horizontal="right" vertical="top" wrapText="1"/>
    </xf>
    <xf numFmtId="1" fontId="5" fillId="4" borderId="34" xfId="0" applyNumberFormat="1" applyFont="1" applyFill="1" applyBorder="1" applyAlignment="1">
      <alignment horizontal="right" vertical="center" wrapText="1"/>
    </xf>
    <xf numFmtId="1" fontId="7" fillId="0" borderId="0" xfId="0" applyNumberFormat="1" applyFont="1"/>
    <xf numFmtId="164" fontId="5" fillId="2" borderId="4" xfId="0" applyNumberFormat="1" applyFont="1" applyFill="1" applyBorder="1" applyAlignment="1">
      <alignment horizontal="right" vertical="center" wrapText="1"/>
    </xf>
    <xf numFmtId="0" fontId="16" fillId="0" borderId="0" xfId="0" applyFont="1"/>
    <xf numFmtId="1" fontId="16" fillId="0" borderId="0" xfId="0" applyNumberFormat="1" applyFont="1"/>
    <xf numFmtId="3" fontId="0" fillId="0" borderId="0" xfId="0" applyNumberFormat="1"/>
    <xf numFmtId="2" fontId="5" fillId="0" borderId="7" xfId="0" applyNumberFormat="1" applyFont="1" applyFill="1" applyBorder="1" applyAlignment="1">
      <alignment horizontal="right" vertical="center" wrapText="1"/>
    </xf>
    <xf numFmtId="1" fontId="0" fillId="7" borderId="32" xfId="0" applyNumberFormat="1" applyFill="1" applyBorder="1"/>
    <xf numFmtId="1" fontId="17" fillId="0" borderId="0" xfId="0" applyNumberFormat="1" applyFont="1"/>
    <xf numFmtId="1" fontId="17" fillId="0" borderId="0" xfId="0" applyNumberFormat="1" applyFont="1" applyAlignment="1">
      <alignment horizontal="left"/>
    </xf>
    <xf numFmtId="1" fontId="17" fillId="0" borderId="32" xfId="0" applyNumberFormat="1" applyFont="1" applyBorder="1"/>
    <xf numFmtId="1" fontId="0" fillId="7" borderId="0" xfId="0" applyNumberFormat="1" applyFill="1" applyBorder="1"/>
    <xf numFmtId="0" fontId="0" fillId="7" borderId="0" xfId="0" applyFill="1"/>
    <xf numFmtId="164" fontId="0" fillId="0" borderId="0" xfId="0" applyNumberFormat="1"/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right" vertical="top" wrapText="1"/>
    </xf>
    <xf numFmtId="0" fontId="5" fillId="2" borderId="15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horizontal="right" vertical="top" wrapText="1"/>
    </xf>
    <xf numFmtId="0" fontId="5" fillId="6" borderId="12" xfId="0" applyFont="1" applyFill="1" applyBorder="1" applyAlignment="1">
      <alignment horizontal="right" vertical="top" wrapText="1"/>
    </xf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'CO2 fordelt på sektorer'!$A$15:$A$23</c:f>
              <c:strCache>
                <c:ptCount val="9"/>
                <c:pt idx="0">
                  <c:v>El</c:v>
                </c:pt>
                <c:pt idx="1">
                  <c:v>Fjernvarme</c:v>
                </c:pt>
                <c:pt idx="2">
                  <c:v>Individuel opvarmning og procesvarme</c:v>
                </c:pt>
                <c:pt idx="3">
                  <c:v>Transport og øvrige mobile kilder</c:v>
                </c:pt>
                <c:pt idx="4">
                  <c:v>Industriel procesemission</c:v>
                </c:pt>
                <c:pt idx="5">
                  <c:v>Opløsningsmidler</c:v>
                </c:pt>
                <c:pt idx="6">
                  <c:v>Landbrug</c:v>
                </c:pt>
                <c:pt idx="7">
                  <c:v>Affaldsdeponi og spildevand</c:v>
                </c:pt>
                <c:pt idx="8">
                  <c:v>Arealanvendelse</c:v>
                </c:pt>
              </c:strCache>
            </c:strRef>
          </c:cat>
          <c:val>
            <c:numRef>
              <c:f>'CO2 fordelt på sektorer'!$B$15:$B$23</c:f>
              <c:numCache>
                <c:formatCode>0</c:formatCode>
                <c:ptCount val="9"/>
                <c:pt idx="0">
                  <c:v>128930.55000000002</c:v>
                </c:pt>
                <c:pt idx="1">
                  <c:v>32011.885299999998</c:v>
                </c:pt>
                <c:pt idx="2">
                  <c:v>83510.647372559979</c:v>
                </c:pt>
                <c:pt idx="3">
                  <c:v>69561.157999999996</c:v>
                </c:pt>
                <c:pt idx="4">
                  <c:v>0</c:v>
                </c:pt>
                <c:pt idx="5">
                  <c:v>730</c:v>
                </c:pt>
                <c:pt idx="6">
                  <c:v>884</c:v>
                </c:pt>
                <c:pt idx="7">
                  <c:v>218</c:v>
                </c:pt>
                <c:pt idx="8">
                  <c:v>278</c:v>
                </c:pt>
              </c:numCache>
            </c:numRef>
          </c:val>
        </c:ser>
        <c:dLbls/>
        <c:axId val="117870976"/>
        <c:axId val="117872512"/>
      </c:barChart>
      <c:catAx>
        <c:axId val="117870976"/>
        <c:scaling>
          <c:orientation val="minMax"/>
        </c:scaling>
        <c:axPos val="b"/>
        <c:tickLblPos val="nextTo"/>
        <c:crossAx val="117872512"/>
        <c:crosses val="autoZero"/>
        <c:auto val="1"/>
        <c:lblAlgn val="ctr"/>
        <c:lblOffset val="100"/>
      </c:catAx>
      <c:valAx>
        <c:axId val="117872512"/>
        <c:scaling>
          <c:orientation val="minMax"/>
        </c:scaling>
        <c:axPos val="l"/>
        <c:majorGridlines/>
        <c:numFmt formatCode="0" sourceLinked="1"/>
        <c:tickLblPos val="nextTo"/>
        <c:crossAx val="117870976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pieChart>
        <c:varyColors val="1"/>
        <c:ser>
          <c:idx val="0"/>
          <c:order val="0"/>
          <c:dLbls>
            <c:dLblPos val="outEnd"/>
            <c:showPercent val="1"/>
            <c:showLeaderLines val="1"/>
          </c:dLbls>
          <c:cat>
            <c:strRef>
              <c:f>Varmeproduktion!$A$45:$A$46</c:f>
              <c:strCache>
                <c:ptCount val="2"/>
                <c:pt idx="0">
                  <c:v>Fjernvarme</c:v>
                </c:pt>
                <c:pt idx="1">
                  <c:v>Individuel opvarmning og procesvarme</c:v>
                </c:pt>
              </c:strCache>
            </c:strRef>
          </c:cat>
          <c:val>
            <c:numRef>
              <c:f>Varmeproduktion!$D$45:$D$46</c:f>
              <c:numCache>
                <c:formatCode>General</c:formatCode>
                <c:ptCount val="2"/>
                <c:pt idx="0">
                  <c:v>18512</c:v>
                </c:pt>
                <c:pt idx="1">
                  <c:v>123615</c:v>
                </c:pt>
              </c:numCache>
            </c:numRef>
          </c:val>
        </c:ser>
        <c:dLbls/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1.2288786482334868E-2"/>
                  <c:y val="-1.9826517967781922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2.0481310803890746E-3"/>
                  <c:y val="-4.460966542750929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da-DK"/>
                </a:p>
              </c:txPr>
              <c:dLblPos val="bestFit"/>
              <c:showPercent val="1"/>
            </c:dLbl>
            <c:dLbl>
              <c:idx val="2"/>
              <c:layout>
                <c:manualLayout>
                  <c:x val="4.5058883768561153E-2"/>
                  <c:y val="-1.9826517967781922E-2"/>
                </c:manualLayout>
              </c:layout>
              <c:numFmt formatCode="0.000%" sourceLinked="0"/>
              <c:spPr/>
              <c:txPr>
                <a:bodyPr/>
                <a:lstStyle/>
                <a:p>
                  <a:pPr>
                    <a:defRPr/>
                  </a:pPr>
                  <a:endParaRPr lang="da-DK"/>
                </a:p>
              </c:txPr>
              <c:dLblPos val="bestFit"/>
              <c:showPercent val="1"/>
            </c:dLbl>
            <c:dLbl>
              <c:idx val="3"/>
              <c:layout>
                <c:manualLayout>
                  <c:x val="3.6866359447004615E-2"/>
                  <c:y val="1.4869888475836439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2.0481310803891473E-2"/>
                  <c:y val="7.682775712515498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6.1443932411674364E-3"/>
                  <c:y val="4.7087980173482029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0"/>
                  <c:y val="-3.4696406443618384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3.2770097286226367E-2"/>
                  <c:y val="-2.4783147459727433E-3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-1.6385048643113177E-2"/>
                  <c:y val="-1.48698884758364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da-DK"/>
                </a:p>
              </c:txPr>
              <c:dLblPos val="bestFit"/>
              <c:showPercent val="1"/>
            </c:dLbl>
            <c:dLbl>
              <c:idx val="9"/>
              <c:layout>
                <c:manualLayout>
                  <c:x val="-1.8433179723502325E-2"/>
                  <c:y val="-5.9479553903345757E-2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1.8433179723502325E-2"/>
                  <c:y val="-2.9739776951672871E-2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3.2770097286226367E-2"/>
                  <c:y val="-4.9566294919454867E-3"/>
                </c:manualLayout>
              </c:layout>
              <c:dLblPos val="bestFit"/>
              <c:showPercent val="1"/>
            </c:dLbl>
            <c:dLblPos val="outEnd"/>
            <c:showPercent val="1"/>
            <c:showLeaderLines val="1"/>
          </c:dLbls>
          <c:cat>
            <c:strRef>
              <c:f>'Transport &amp; andre mobile kilder'!$G$28:$G$39</c:f>
              <c:strCache>
                <c:ptCount val="12"/>
                <c:pt idx="0">
                  <c:v>Non road industri</c:v>
                </c:pt>
                <c:pt idx="1">
                  <c:v>Non road landbrug</c:v>
                </c:pt>
                <c:pt idx="2">
                  <c:v>Non road skovbrug</c:v>
                </c:pt>
                <c:pt idx="3">
                  <c:v>Non road have/hushold</c:v>
                </c:pt>
                <c:pt idx="4">
                  <c:v>Personbiler</c:v>
                </c:pt>
                <c:pt idx="5">
                  <c:v>Varebiler</c:v>
                </c:pt>
                <c:pt idx="6">
                  <c:v>Lastbiler</c:v>
                </c:pt>
                <c:pt idx="7">
                  <c:v>Busser</c:v>
                </c:pt>
                <c:pt idx="8">
                  <c:v>Knallerter</c:v>
                </c:pt>
                <c:pt idx="9">
                  <c:v>Motorcykler</c:v>
                </c:pt>
                <c:pt idx="10">
                  <c:v>Tog</c:v>
                </c:pt>
                <c:pt idx="11">
                  <c:v>Indenrigsflyvning</c:v>
                </c:pt>
              </c:strCache>
            </c:strRef>
          </c:cat>
          <c:val>
            <c:numRef>
              <c:f>'Transport &amp; andre mobile kilder'!$F$28:$F$39</c:f>
              <c:numCache>
                <c:formatCode>0.00</c:formatCode>
                <c:ptCount val="12"/>
                <c:pt idx="0">
                  <c:v>9057.39</c:v>
                </c:pt>
                <c:pt idx="1">
                  <c:v>211.86</c:v>
                </c:pt>
                <c:pt idx="2">
                  <c:v>1.08</c:v>
                </c:pt>
                <c:pt idx="3">
                  <c:v>2058.94</c:v>
                </c:pt>
                <c:pt idx="4">
                  <c:v>27027</c:v>
                </c:pt>
                <c:pt idx="5">
                  <c:v>8580</c:v>
                </c:pt>
                <c:pt idx="6">
                  <c:v>18480</c:v>
                </c:pt>
                <c:pt idx="7">
                  <c:v>1956</c:v>
                </c:pt>
                <c:pt idx="8">
                  <c:v>127.28</c:v>
                </c:pt>
                <c:pt idx="9">
                  <c:v>304.41000000000003</c:v>
                </c:pt>
                <c:pt idx="10">
                  <c:v>397.69799999999998</c:v>
                </c:pt>
                <c:pt idx="11">
                  <c:v>1359.5</c:v>
                </c:pt>
              </c:numCache>
            </c:numRef>
          </c:val>
        </c:ser>
        <c:dLbls/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"/>
                  <c:y val="-7.5993105316543741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3.198401303033728E-2"/>
                  <c:y val="9.2112854929143756E-3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2.5987010587149081E-2"/>
                  <c:y val="2.0725392359057359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3.9980016287921635E-3"/>
                  <c:y val="-4.3753606091343385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8.3958034204635365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da-DK"/>
                </a:p>
              </c:txPr>
              <c:dLblPos val="bestFit"/>
              <c:showPercent val="1"/>
            </c:dLbl>
            <c:dLbl>
              <c:idx val="5"/>
              <c:layout>
                <c:manualLayout>
                  <c:x val="-3.198401303033728E-2"/>
                  <c:y val="-3.684514197165756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da-DK"/>
                </a:p>
              </c:txPr>
              <c:dLblPos val="bestFit"/>
              <c:showPercent val="1"/>
            </c:dLbl>
            <c:dLbl>
              <c:idx val="6"/>
              <c:layout>
                <c:manualLayout>
                  <c:x val="-2.3988009772752953E-2"/>
                  <c:y val="-6.908464119685789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da-DK"/>
                </a:p>
              </c:txPr>
              <c:dLblPos val="bestFit"/>
              <c:showPercent val="1"/>
            </c:dLbl>
            <c:dLbl>
              <c:idx val="7"/>
              <c:layout>
                <c:manualLayout>
                  <c:x val="4.7976019545505913E-2"/>
                  <c:y val="-6.908464119685789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da-DK"/>
                </a:p>
              </c:txPr>
              <c:dLblPos val="bestFit"/>
              <c:showPercent val="1"/>
            </c:dLbl>
            <c:dLbl>
              <c:idx val="8"/>
              <c:layout>
                <c:manualLayout>
                  <c:x val="6.1969025246278474E-2"/>
                  <c:y val="-1.151410686614298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da-DK"/>
                </a:p>
              </c:txPr>
              <c:dLblPos val="bestFit"/>
              <c:showPercent val="1"/>
            </c:dLbl>
            <c:dLblPos val="outEnd"/>
            <c:showPercent val="1"/>
            <c:showLeaderLines val="1"/>
          </c:dLbls>
          <c:cat>
            <c:strRef>
              <c:f>'CO2 fordelt på sektorer'!$A$15:$A$23</c:f>
              <c:strCache>
                <c:ptCount val="9"/>
                <c:pt idx="0">
                  <c:v>El</c:v>
                </c:pt>
                <c:pt idx="1">
                  <c:v>Fjernvarme</c:v>
                </c:pt>
                <c:pt idx="2">
                  <c:v>Individuel opvarmning og procesvarme</c:v>
                </c:pt>
                <c:pt idx="3">
                  <c:v>Transport og øvrige mobile kilder</c:v>
                </c:pt>
                <c:pt idx="4">
                  <c:v>Industriel procesemission</c:v>
                </c:pt>
                <c:pt idx="5">
                  <c:v>Opløsningsmidler</c:v>
                </c:pt>
                <c:pt idx="6">
                  <c:v>Landbrug</c:v>
                </c:pt>
                <c:pt idx="7">
                  <c:v>Affaldsdeponi og spildevand</c:v>
                </c:pt>
                <c:pt idx="8">
                  <c:v>Arealanvendelse</c:v>
                </c:pt>
              </c:strCache>
            </c:strRef>
          </c:cat>
          <c:val>
            <c:numRef>
              <c:f>'CO2 fordelt på sektorer'!$B$15:$B$23</c:f>
              <c:numCache>
                <c:formatCode>0</c:formatCode>
                <c:ptCount val="9"/>
                <c:pt idx="0">
                  <c:v>128930.55000000002</c:v>
                </c:pt>
                <c:pt idx="1">
                  <c:v>32011.885299999998</c:v>
                </c:pt>
                <c:pt idx="2">
                  <c:v>83510.647372559979</c:v>
                </c:pt>
                <c:pt idx="3">
                  <c:v>69561.157999999996</c:v>
                </c:pt>
                <c:pt idx="4">
                  <c:v>0</c:v>
                </c:pt>
                <c:pt idx="5">
                  <c:v>730</c:v>
                </c:pt>
                <c:pt idx="6">
                  <c:v>884</c:v>
                </c:pt>
                <c:pt idx="7">
                  <c:v>218</c:v>
                </c:pt>
                <c:pt idx="8">
                  <c:v>278</c:v>
                </c:pt>
              </c:numCache>
            </c:numRef>
          </c:val>
        </c:ser>
        <c:dLbls/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5000000000000001E-2"/>
                  <c:y val="-4.6296296296296346E-3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3.4477072718851337E-2"/>
                  <c:y val="-2.2857142857142864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8.3332818691781198E-3"/>
                  <c:y val="6.0767304086989132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8.006587411867638E-3"/>
                  <c:y val="2.4497337832770912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1.5686274509803921E-2"/>
                  <c:y val="-7.4365204349456343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7.9085173176882295E-2"/>
                  <c:y val="-3.8095238095238095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da-DK"/>
                </a:p>
              </c:txPr>
              <c:dLblPos val="bestFit"/>
              <c:showPercent val="1"/>
            </c:dLbl>
            <c:dLbl>
              <c:idx val="6"/>
              <c:layout>
                <c:manualLayout>
                  <c:x val="2.6143790849673209E-3"/>
                  <c:y val="-1.1428571428571429E-2"/>
                </c:manualLayout>
              </c:layout>
              <c:dLblPos val="bestFit"/>
              <c:showPercent val="1"/>
            </c:dLbl>
            <c:dLblPos val="outEnd"/>
            <c:showPercent val="1"/>
            <c:showLeaderLines val="1"/>
          </c:dLbls>
          <c:cat>
            <c:strRef>
              <c:f>'Elforbrug fordelt på forbrugere'!$A$5:$A$11</c:f>
              <c:strCache>
                <c:ptCount val="7"/>
                <c:pt idx="0">
                  <c:v>Kommunale institutioner</c:v>
                </c:pt>
                <c:pt idx="1">
                  <c:v>Øvrige offentlige institutioner</c:v>
                </c:pt>
                <c:pt idx="2">
                  <c:v>Handel og service</c:v>
                </c:pt>
                <c:pt idx="3">
                  <c:v>Husholdninger</c:v>
                </c:pt>
                <c:pt idx="4">
                  <c:v>Industri</c:v>
                </c:pt>
                <c:pt idx="5">
                  <c:v>Landbrug og gartnerier</c:v>
                </c:pt>
                <c:pt idx="6">
                  <c:v>Bygge og anlæg</c:v>
                </c:pt>
              </c:strCache>
            </c:strRef>
          </c:cat>
          <c:val>
            <c:numRef>
              <c:f>'Elforbrug fordelt på forbrugere'!$B$5:$B$11</c:f>
              <c:numCache>
                <c:formatCode>0</c:formatCode>
                <c:ptCount val="7"/>
                <c:pt idx="0">
                  <c:v>10165</c:v>
                </c:pt>
                <c:pt idx="1">
                  <c:v>33707</c:v>
                </c:pt>
                <c:pt idx="2">
                  <c:v>143819</c:v>
                </c:pt>
                <c:pt idx="3">
                  <c:v>69400</c:v>
                </c:pt>
                <c:pt idx="4">
                  <c:v>101825</c:v>
                </c:pt>
                <c:pt idx="5">
                  <c:v>127</c:v>
                </c:pt>
                <c:pt idx="6">
                  <c:v>2107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70749338685605467"/>
          <c:y val="8.3740832395950551E-2"/>
          <c:w val="0.27682033863414141"/>
          <c:h val="0.88585166854143238"/>
        </c:manualLayout>
      </c:layout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2222222222222244E-2"/>
                  <c:y val="-9.2592592592592744E-3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1.9444444444444445E-2"/>
                  <c:y val="-9.2592592592592744E-3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2.7777777777777835E-3"/>
                  <c:y val="5.0925925925925923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2.7777777777777821E-2"/>
                  <c:y val="4.6296296296296328E-3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3.333333333333334E-2"/>
                  <c:y val="-1.3888888888888904E-2"/>
                </c:manualLayout>
              </c:layout>
              <c:dLblPos val="bestFit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4.4444444444444488E-2"/>
                  <c:y val="-4.6296296296296328E-3"/>
                </c:manualLayout>
              </c:layout>
              <c:dLblPos val="bestFit"/>
              <c:showPercent val="1"/>
            </c:dLbl>
            <c:dLblPos val="outEnd"/>
            <c:showPercent val="1"/>
            <c:showLeaderLines val="1"/>
          </c:dLbls>
          <c:cat>
            <c:strRef>
              <c:f>'Fjernvarme og individuel varme'!$A$4:$A$10</c:f>
              <c:strCache>
                <c:ptCount val="7"/>
                <c:pt idx="0">
                  <c:v>Kommunale institutioner</c:v>
                </c:pt>
                <c:pt idx="1">
                  <c:v>Øvrige offentlige institutioner</c:v>
                </c:pt>
                <c:pt idx="2">
                  <c:v>Handel og service</c:v>
                </c:pt>
                <c:pt idx="3">
                  <c:v>Husholdninger</c:v>
                </c:pt>
                <c:pt idx="4">
                  <c:v>Industri</c:v>
                </c:pt>
                <c:pt idx="5">
                  <c:v>Landbrug og gartnerier</c:v>
                </c:pt>
                <c:pt idx="6">
                  <c:v>Bygge og anlæg</c:v>
                </c:pt>
              </c:strCache>
            </c:strRef>
          </c:cat>
          <c:val>
            <c:numRef>
              <c:f>'Fjernvarme og individuel varme'!$B$4:$B$10</c:f>
              <c:numCache>
                <c:formatCode>0</c:formatCode>
                <c:ptCount val="7"/>
                <c:pt idx="0">
                  <c:v>24464</c:v>
                </c:pt>
                <c:pt idx="1">
                  <c:v>1745</c:v>
                </c:pt>
                <c:pt idx="2">
                  <c:v>62522</c:v>
                </c:pt>
                <c:pt idx="3">
                  <c:v>127666</c:v>
                </c:pt>
                <c:pt idx="4">
                  <c:v>31258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7777777777777835E-3"/>
                  <c:y val="-2.127658980382259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7.854596331771152E-2"/>
                  <c:y val="-1.4184332727639814E-2"/>
                </c:manualLayout>
              </c:layout>
              <c:numFmt formatCode="0.000%" sourceLinked="0"/>
              <c:spPr/>
              <c:txPr>
                <a:bodyPr/>
                <a:lstStyle/>
                <a:p>
                  <a:pPr>
                    <a:defRPr/>
                  </a:pPr>
                  <a:endParaRPr lang="da-DK"/>
                </a:p>
              </c:txPr>
              <c:dLblPos val="bestFit"/>
              <c:showPercent val="1"/>
            </c:dLbl>
            <c:dLbl>
              <c:idx val="2"/>
              <c:layout>
                <c:manualLayout>
                  <c:x val="3.0555555555555572E-2"/>
                  <c:y val="0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2.5000000000000001E-2"/>
                  <c:y val="3.9007081307008071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2.7777777777777822E-3"/>
                  <c:y val="-5.6737572810193586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6.3888888888888884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da-DK"/>
                </a:p>
              </c:txPr>
              <c:dLblPos val="bestFit"/>
              <c:showPercent val="1"/>
            </c:dLbl>
            <c:dLblPos val="outEnd"/>
            <c:showPercent val="1"/>
            <c:showLeaderLines val="1"/>
          </c:dLbls>
          <c:cat>
            <c:strRef>
              <c:f>'Fjernvarme og individuel varme'!$A$19:$A$24</c:f>
              <c:strCache>
                <c:ptCount val="6"/>
                <c:pt idx="0">
                  <c:v>Kommunale institutioner</c:v>
                </c:pt>
                <c:pt idx="1">
                  <c:v>Øvrige offentlige institutioner</c:v>
                </c:pt>
                <c:pt idx="2">
                  <c:v>Handel og service</c:v>
                </c:pt>
                <c:pt idx="3">
                  <c:v>Husholdninger</c:v>
                </c:pt>
                <c:pt idx="4">
                  <c:v>Industri</c:v>
                </c:pt>
                <c:pt idx="5">
                  <c:v>Landbrug og gartnerier</c:v>
                </c:pt>
              </c:strCache>
            </c:strRef>
          </c:cat>
          <c:val>
            <c:numRef>
              <c:f>'Fjernvarme og individuel varme'!$B$19:$B$24</c:f>
              <c:numCache>
                <c:formatCode>0</c:formatCode>
                <c:ptCount val="6"/>
                <c:pt idx="0">
                  <c:v>6587</c:v>
                </c:pt>
                <c:pt idx="1">
                  <c:v>3672</c:v>
                </c:pt>
                <c:pt idx="2">
                  <c:v>49686</c:v>
                </c:pt>
                <c:pt idx="3">
                  <c:v>134671</c:v>
                </c:pt>
                <c:pt idx="4">
                  <c:v>136531</c:v>
                </c:pt>
                <c:pt idx="5">
                  <c:v>105</c:v>
                </c:pt>
              </c:numCache>
            </c:numRef>
          </c:val>
        </c:ser>
        <c:dLbls/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1.9444444444444403E-2"/>
                  <c:y val="2.652361335004174E-18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3.6111111111111135E-2"/>
                  <c:y val="1.8518518518518531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1.9444444444444445E-2"/>
                  <c:y val="-9.2592592592592744E-3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3.0555555555555572E-2"/>
                  <c:y val="4.6296296296296328E-3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1.2731334408020037E-17"/>
                  <c:y val="-4.1666666666666664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3.333333333333334E-2"/>
                  <c:y val="0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da-DK"/>
                </a:p>
              </c:txPr>
              <c:dLblPos val="bestFit"/>
              <c:showPercent val="1"/>
            </c:dLbl>
            <c:dLbl>
              <c:idx val="6"/>
              <c:layout>
                <c:manualLayout>
                  <c:x val="2.2222222222222244E-2"/>
                  <c:y val="-9.2592592592592744E-3"/>
                </c:manualLayout>
              </c:layout>
              <c:dLblPos val="bestFit"/>
              <c:showPercent val="1"/>
            </c:dLbl>
            <c:dLblPos val="outEnd"/>
            <c:showPercent val="1"/>
            <c:showLeaderLines val="1"/>
          </c:dLbls>
          <c:cat>
            <c:strRef>
              <c:f>'Varmeforbrug fordelt'!$A$5:$A$11</c:f>
              <c:strCache>
                <c:ptCount val="7"/>
                <c:pt idx="0">
                  <c:v>Kommunale institutioner</c:v>
                </c:pt>
                <c:pt idx="1">
                  <c:v>Øvrige offentlige institutioner</c:v>
                </c:pt>
                <c:pt idx="2">
                  <c:v>Handel og service</c:v>
                </c:pt>
                <c:pt idx="3">
                  <c:v>Husholdninger</c:v>
                </c:pt>
                <c:pt idx="4">
                  <c:v>Industri</c:v>
                </c:pt>
                <c:pt idx="5">
                  <c:v>Landbrug og gartnerier</c:v>
                </c:pt>
                <c:pt idx="6">
                  <c:v>Bygge og anlæg</c:v>
                </c:pt>
              </c:strCache>
            </c:strRef>
          </c:cat>
          <c:val>
            <c:numRef>
              <c:f>'Varmeforbrug fordelt'!$B$5:$B$11</c:f>
              <c:numCache>
                <c:formatCode>0</c:formatCode>
                <c:ptCount val="7"/>
                <c:pt idx="0">
                  <c:v>31051</c:v>
                </c:pt>
                <c:pt idx="1">
                  <c:v>5417</c:v>
                </c:pt>
                <c:pt idx="2">
                  <c:v>112208</c:v>
                </c:pt>
                <c:pt idx="3">
                  <c:v>262337</c:v>
                </c:pt>
                <c:pt idx="4">
                  <c:v>167789</c:v>
                </c:pt>
                <c:pt idx="5">
                  <c:v>105</c:v>
                </c:pt>
                <c:pt idx="6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7777777777777821E-2"/>
                  <c:y val="2.3148148148148147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8.3333333333333367E-3"/>
                  <c:y val="-5.0925925925925923E-2"/>
                </c:manualLayout>
              </c:layout>
              <c:dLblPos val="bestFit"/>
              <c:showPercent val="1"/>
            </c:dLbl>
            <c:dLblPos val="outEnd"/>
            <c:showPercent val="1"/>
            <c:showLeaderLines val="1"/>
          </c:dLbls>
          <c:cat>
            <c:strRef>
              <c:f>'Varmeforbrug fordelt'!$A$18:$A$19</c:f>
              <c:strCache>
                <c:ptCount val="2"/>
                <c:pt idx="0">
                  <c:v>Individuel opvarmning og procesvarme</c:v>
                </c:pt>
                <c:pt idx="1">
                  <c:v>Fjernvarme</c:v>
                </c:pt>
              </c:strCache>
            </c:strRef>
          </c:cat>
          <c:val>
            <c:numRef>
              <c:f>'Varmeforbrug fordelt'!$B$18:$B$19</c:f>
              <c:numCache>
                <c:formatCode>General</c:formatCode>
                <c:ptCount val="2"/>
                <c:pt idx="0" formatCode="0">
                  <c:v>331252</c:v>
                </c:pt>
                <c:pt idx="1">
                  <c:v>247655</c:v>
                </c:pt>
              </c:numCache>
            </c:numRef>
          </c:val>
        </c:ser>
        <c:dLbls/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autoTitleDeleted val="1"/>
    <c:plotArea>
      <c:layout/>
      <c:pieChart>
        <c:varyColors val="1"/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9.8280098280098364E-3"/>
                  <c:y val="-7.4211502782931399E-3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1.4742014742014749E-2"/>
                  <c:y val="0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5.6943677196308023E-2"/>
                  <c:y val="-4.7524860451589934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5.5114174489183529E-2"/>
                  <c:y val="1.952755375760680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da-DK"/>
                </a:p>
              </c:txPr>
              <c:dLblPos val="bestFit"/>
              <c:showPercent val="1"/>
            </c:dLbl>
            <c:dLbl>
              <c:idx val="4"/>
              <c:layout>
                <c:manualLayout>
                  <c:x val="4.9286464923463738E-2"/>
                  <c:y val="8.6401191912702999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1.1034545627118092E-2"/>
                  <c:y val="0.1224458625958173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da-DK"/>
                </a:p>
              </c:txPr>
              <c:dLblPos val="bestFit"/>
              <c:showPercent val="1"/>
            </c:dLbl>
            <c:dLbl>
              <c:idx val="6"/>
              <c:layout>
                <c:manualLayout>
                  <c:x val="-6.1666037314548831E-2"/>
                  <c:y val="0.1083958009601278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da-DK"/>
                </a:p>
              </c:txPr>
              <c:dLblPos val="bestFit"/>
              <c:showPercent val="1"/>
            </c:dLbl>
            <c:dLbl>
              <c:idx val="7"/>
              <c:layout>
                <c:manualLayout>
                  <c:x val="-0.12593694369768157"/>
                  <c:y val="8.701483597093560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da-DK"/>
                </a:p>
              </c:txPr>
              <c:dLblPos val="bestFit"/>
              <c:showPercent val="1"/>
            </c:dLbl>
            <c:dLbl>
              <c:idx val="8"/>
              <c:layout>
                <c:manualLayout>
                  <c:x val="0"/>
                  <c:y val="-3.4632034632034632E-2"/>
                </c:manualLayout>
              </c:layout>
              <c:dLblPos val="bestFit"/>
              <c:showPercent val="1"/>
            </c:dLbl>
            <c:dLblPos val="outEnd"/>
            <c:showPercent val="1"/>
            <c:showLeaderLines val="1"/>
          </c:dLbls>
          <c:cat>
            <c:strRef>
              <c:f>Varmeproduktion!$N$30:$N$38</c:f>
              <c:strCache>
                <c:ptCount val="9"/>
                <c:pt idx="0">
                  <c:v>Individuelle oliefyr</c:v>
                </c:pt>
                <c:pt idx="1">
                  <c:v>Individuelle naturgasfyr</c:v>
                </c:pt>
                <c:pt idx="2">
                  <c:v>Individuel elvarme</c:v>
                </c:pt>
                <c:pt idx="3">
                  <c:v>Bygas</c:v>
                </c:pt>
                <c:pt idx="4">
                  <c:v>Fjernvarme baseret på naturgas</c:v>
                </c:pt>
                <c:pt idx="5">
                  <c:v>Individuel biomassebaseret opvarmning</c:v>
                </c:pt>
                <c:pt idx="6">
                  <c:v>Individuelle varmepumper</c:v>
                </c:pt>
                <c:pt idx="7">
                  <c:v>Fjernvarme baseret på biomasse og overskudsvarme</c:v>
                </c:pt>
                <c:pt idx="8">
                  <c:v>Fjernvarme baseret på affald</c:v>
                </c:pt>
              </c:strCache>
            </c:strRef>
          </c:cat>
          <c:val>
            <c:numRef>
              <c:f>Varmeproduktion!$M$30:$M$38</c:f>
              <c:numCache>
                <c:formatCode>0.00</c:formatCode>
                <c:ptCount val="9"/>
                <c:pt idx="0">
                  <c:v>12874.98</c:v>
                </c:pt>
                <c:pt idx="1">
                  <c:v>312444</c:v>
                </c:pt>
                <c:pt idx="2">
                  <c:v>4406.79</c:v>
                </c:pt>
                <c:pt idx="3">
                  <c:v>145.02000000000001</c:v>
                </c:pt>
                <c:pt idx="4">
                  <c:v>2476.65</c:v>
                </c:pt>
                <c:pt idx="5">
                  <c:v>250.12</c:v>
                </c:pt>
                <c:pt idx="6">
                  <c:v>774</c:v>
                </c:pt>
                <c:pt idx="7">
                  <c:v>2476.65</c:v>
                </c:pt>
                <c:pt idx="8">
                  <c:v>242711.7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63766098838555141"/>
          <c:y val="6.904390891807663E-2"/>
          <c:w val="0.32981869196275254"/>
          <c:h val="0.88947462085369766"/>
        </c:manualLayout>
      </c:layout>
      <c:txPr>
        <a:bodyPr/>
        <a:lstStyle/>
        <a:p>
          <a:pPr rtl="0">
            <a:defRPr sz="900"/>
          </a:pPr>
          <a:endParaRPr lang="da-DK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3</xdr:row>
      <xdr:rowOff>38100</xdr:rowOff>
    </xdr:from>
    <xdr:to>
      <xdr:col>2</xdr:col>
      <xdr:colOff>1419225</xdr:colOff>
      <xdr:row>10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3</xdr:row>
      <xdr:rowOff>114300</xdr:rowOff>
    </xdr:from>
    <xdr:to>
      <xdr:col>3</xdr:col>
      <xdr:colOff>3048001</xdr:colOff>
      <xdr:row>6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22</xdr:row>
      <xdr:rowOff>19051</xdr:rowOff>
    </xdr:from>
    <xdr:to>
      <xdr:col>2</xdr:col>
      <xdr:colOff>914400</xdr:colOff>
      <xdr:row>28</xdr:row>
      <xdr:rowOff>28576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1247775</xdr:colOff>
      <xdr:row>13</xdr:row>
      <xdr:rowOff>257175</xdr:rowOff>
    </xdr:from>
    <xdr:to>
      <xdr:col>1</xdr:col>
      <xdr:colOff>3324225</xdr:colOff>
      <xdr:row>14</xdr:row>
      <xdr:rowOff>2981325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30</xdr:row>
      <xdr:rowOff>114300</xdr:rowOff>
    </xdr:from>
    <xdr:to>
      <xdr:col>1</xdr:col>
      <xdr:colOff>2571750</xdr:colOff>
      <xdr:row>31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20</xdr:row>
      <xdr:rowOff>95249</xdr:rowOff>
    </xdr:from>
    <xdr:to>
      <xdr:col>1</xdr:col>
      <xdr:colOff>2400300</xdr:colOff>
      <xdr:row>21</xdr:row>
      <xdr:rowOff>3400424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466725</xdr:colOff>
      <xdr:row>24</xdr:row>
      <xdr:rowOff>47625</xdr:rowOff>
    </xdr:from>
    <xdr:to>
      <xdr:col>1</xdr:col>
      <xdr:colOff>2381250</xdr:colOff>
      <xdr:row>24</xdr:row>
      <xdr:rowOff>3533775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48</xdr:row>
      <xdr:rowOff>47625</xdr:rowOff>
    </xdr:from>
    <xdr:to>
      <xdr:col>6</xdr:col>
      <xdr:colOff>0</xdr:colOff>
      <xdr:row>48</xdr:row>
      <xdr:rowOff>3609975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30</xdr:row>
      <xdr:rowOff>19049</xdr:rowOff>
    </xdr:from>
    <xdr:to>
      <xdr:col>5</xdr:col>
      <xdr:colOff>1028700</xdr:colOff>
      <xdr:row>39</xdr:row>
      <xdr:rowOff>2419350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48</xdr:row>
      <xdr:rowOff>85725</xdr:rowOff>
    </xdr:from>
    <xdr:to>
      <xdr:col>5</xdr:col>
      <xdr:colOff>228600</xdr:colOff>
      <xdr:row>48</xdr:row>
      <xdr:rowOff>3629025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28</xdr:row>
      <xdr:rowOff>57150</xdr:rowOff>
    </xdr:from>
    <xdr:to>
      <xdr:col>2</xdr:col>
      <xdr:colOff>2505075</xdr:colOff>
      <xdr:row>46</xdr:row>
      <xdr:rowOff>600075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ncours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Concourse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65000" b="98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10000"/>
              </a:schemeClr>
              <a:schemeClr val="phClr">
                <a:tint val="95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view="pageLayout" topLeftCell="B13" zoomScaleNormal="100" workbookViewId="0">
      <selection activeCell="I33" sqref="I33"/>
    </sheetView>
  </sheetViews>
  <sheetFormatPr defaultRowHeight="15"/>
  <cols>
    <col min="1" max="1" width="40.7109375" customWidth="1"/>
    <col min="2" max="2" width="18.7109375" customWidth="1"/>
    <col min="3" max="3" width="21.140625" customWidth="1"/>
    <col min="4" max="4" width="4.85546875" customWidth="1"/>
    <col min="5" max="5" width="24.5703125" customWidth="1"/>
    <col min="6" max="6" width="8.5703125" customWidth="1"/>
    <col min="7" max="7" width="11.42578125" customWidth="1"/>
    <col min="8" max="8" width="9.5703125" bestFit="1" customWidth="1"/>
    <col min="9" max="9" width="9.28515625" bestFit="1" customWidth="1"/>
    <col min="10" max="10" width="9.5703125" bestFit="1" customWidth="1"/>
    <col min="11" max="11" width="12" customWidth="1"/>
  </cols>
  <sheetData>
    <row r="1" spans="1:11" ht="6" customHeight="1"/>
    <row r="2" spans="1:11" ht="18" customHeight="1">
      <c r="A2" s="45" t="s">
        <v>53</v>
      </c>
      <c r="B2" s="45"/>
      <c r="C2" s="25"/>
      <c r="D2" s="25"/>
    </row>
    <row r="3" spans="1:11" ht="9.75" customHeight="1">
      <c r="A3" s="25"/>
      <c r="B3" s="25"/>
      <c r="C3" s="25"/>
      <c r="D3" s="25"/>
    </row>
    <row r="4" spans="1:11" ht="409.5" customHeight="1">
      <c r="A4" s="164"/>
      <c r="B4" s="164"/>
      <c r="C4" s="164"/>
      <c r="D4" s="25"/>
    </row>
    <row r="5" spans="1:11" ht="41.25" customHeight="1">
      <c r="A5" s="25"/>
      <c r="B5" s="25"/>
      <c r="C5" s="25"/>
      <c r="D5" s="25"/>
    </row>
    <row r="6" spans="1:11" ht="41.25" customHeight="1">
      <c r="A6" s="25"/>
      <c r="B6" s="25"/>
      <c r="C6" s="25"/>
      <c r="D6" s="25"/>
    </row>
    <row r="7" spans="1:11" ht="41.25" customHeight="1">
      <c r="A7" s="25"/>
      <c r="B7" s="25"/>
      <c r="C7" s="25"/>
      <c r="D7" s="25"/>
    </row>
    <row r="8" spans="1:11" ht="41.25" customHeight="1">
      <c r="A8" s="25"/>
      <c r="B8" s="25"/>
      <c r="C8" s="25"/>
      <c r="D8" s="25"/>
    </row>
    <row r="9" spans="1:11" ht="41.25" customHeight="1">
      <c r="A9" s="25"/>
      <c r="B9" s="25"/>
      <c r="C9" s="25"/>
      <c r="D9" s="25"/>
    </row>
    <row r="10" spans="1:11" ht="41.25" customHeight="1">
      <c r="A10" s="46"/>
      <c r="B10" s="46"/>
      <c r="C10" s="25"/>
      <c r="D10" s="25"/>
    </row>
    <row r="11" spans="1:11" ht="41.25" customHeight="1">
      <c r="A11" s="46"/>
      <c r="B11" s="46"/>
      <c r="C11" s="25"/>
      <c r="D11" s="25"/>
    </row>
    <row r="12" spans="1:11" ht="41.25" customHeight="1">
      <c r="A12" s="46"/>
      <c r="B12" s="46"/>
      <c r="C12" s="25"/>
      <c r="D12" s="25"/>
    </row>
    <row r="13" spans="1:11" ht="33.75" customHeight="1">
      <c r="A13" s="165" t="s">
        <v>54</v>
      </c>
      <c r="B13" s="165"/>
      <c r="C13" s="25"/>
      <c r="D13" s="25"/>
      <c r="E13" t="s">
        <v>111</v>
      </c>
    </row>
    <row r="14" spans="1:11" ht="30.75" customHeight="1">
      <c r="A14" s="47"/>
      <c r="B14" s="48" t="s">
        <v>11</v>
      </c>
      <c r="C14" s="49" t="s">
        <v>55</v>
      </c>
      <c r="D14" s="25"/>
      <c r="E14" s="132"/>
      <c r="F14" s="132" t="s">
        <v>90</v>
      </c>
      <c r="G14" s="132" t="s">
        <v>91</v>
      </c>
      <c r="H14" s="132" t="s">
        <v>92</v>
      </c>
      <c r="I14" s="132" t="s">
        <v>98</v>
      </c>
      <c r="K14" s="134" t="s">
        <v>103</v>
      </c>
    </row>
    <row r="15" spans="1:11" ht="16.5" customHeight="1">
      <c r="A15" s="50" t="s">
        <v>56</v>
      </c>
      <c r="B15" s="126">
        <f>I15</f>
        <v>128930.55000000002</v>
      </c>
      <c r="C15" s="100">
        <f>B15/48357</f>
        <v>2.6662230907624545</v>
      </c>
      <c r="D15" s="25"/>
      <c r="E15" s="133" t="s">
        <v>56</v>
      </c>
      <c r="F15" s="133">
        <f>'Elforbrug fordelt på forbrugere'!I5</f>
        <v>15662.304000000002</v>
      </c>
      <c r="G15" s="133">
        <f>'Elforbrug fordelt på forbrugere'!I6</f>
        <v>88492.446000000011</v>
      </c>
      <c r="H15" s="133">
        <f>'Elforbrug fordelt på forbrugere'!I7</f>
        <v>24775.800000000003</v>
      </c>
      <c r="I15" s="133">
        <f>'Elforbrug fordelt på forbrugere'!I8</f>
        <v>128930.55000000002</v>
      </c>
      <c r="K15" s="160">
        <f>'Elforbrug fordelt på forbrugere'!I10</f>
        <v>3597.9520290000005</v>
      </c>
    </row>
    <row r="16" spans="1:11" ht="16.5" customHeight="1">
      <c r="A16" s="52" t="s">
        <v>29</v>
      </c>
      <c r="B16" s="127">
        <f>I16</f>
        <v>32011.885299999998</v>
      </c>
      <c r="C16" s="100">
        <f>B16/48357</f>
        <v>0.66199072109518786</v>
      </c>
      <c r="D16" s="25"/>
      <c r="E16" s="133" t="s">
        <v>29</v>
      </c>
      <c r="F16" s="133">
        <f>'Fjernvarme og individuel varme'!G4</f>
        <v>3387.7753399999997</v>
      </c>
      <c r="G16" s="133">
        <f>'Fjernvarme og individuel varme'!G5:H5</f>
        <v>12122.002799999998</v>
      </c>
      <c r="H16" s="133">
        <f>'Fjernvarme og individuel varme'!G6</f>
        <v>16502.10716</v>
      </c>
      <c r="I16" s="133">
        <f>SUM(F16:H16)</f>
        <v>32011.885299999998</v>
      </c>
      <c r="K16" s="160">
        <f>'Fjernvarme og individuel varme'!G9</f>
        <v>3016.1528399999997</v>
      </c>
    </row>
    <row r="17" spans="1:11" ht="16.5" customHeight="1">
      <c r="A17" s="52" t="s">
        <v>28</v>
      </c>
      <c r="B17" s="128">
        <f>I17</f>
        <v>83510.647372559979</v>
      </c>
      <c r="C17" s="100">
        <f t="shared" ref="C17:C23" si="0">B17/48357</f>
        <v>1.7269608820348652</v>
      </c>
      <c r="D17" s="25"/>
      <c r="E17" s="133" t="s">
        <v>99</v>
      </c>
      <c r="F17" s="133">
        <f>'Fjernvarme og individuel varme'!G19</f>
        <v>2346.8619715200002</v>
      </c>
      <c r="G17" s="133">
        <f>'Fjernvarme og individuel varme'!G20</f>
        <v>42623.259212159996</v>
      </c>
      <c r="H17" s="133">
        <f>'Fjernvarme og individuel varme'!G21+Varmeproduktion!H11-Varmeproduktion!H6</f>
        <v>38540.526188879987</v>
      </c>
      <c r="I17" s="133">
        <f>SUM(F17:H17)</f>
        <v>83510.647372559979</v>
      </c>
      <c r="K17" s="160">
        <f>'Fjernvarme og individuel varme'!G23</f>
        <v>2005.32138048</v>
      </c>
    </row>
    <row r="18" spans="1:11" ht="16.5" customHeight="1">
      <c r="A18" s="52" t="s">
        <v>57</v>
      </c>
      <c r="B18" s="128">
        <f>I18</f>
        <v>69561.157999999996</v>
      </c>
      <c r="C18" s="100">
        <f t="shared" si="0"/>
        <v>1.4384920073619123</v>
      </c>
      <c r="D18" s="25"/>
      <c r="E18" s="133" t="s">
        <v>109</v>
      </c>
      <c r="F18" s="133">
        <f>'Transport &amp; andre mobile kilder'!F14</f>
        <v>2353.6979999999999</v>
      </c>
      <c r="G18" s="133">
        <f>'Transport &amp; andre mobile kilder'!F15</f>
        <v>45792.496666666666</v>
      </c>
      <c r="H18" s="133">
        <f>'Transport &amp; andre mobile kilder'!F16</f>
        <v>21414.96333333333</v>
      </c>
      <c r="I18" s="133">
        <f t="shared" ref="I18:I23" si="1">SUM(F18:H18)</f>
        <v>69561.157999999996</v>
      </c>
      <c r="K18" s="157">
        <v>389.74099999999999</v>
      </c>
    </row>
    <row r="19" spans="1:11" ht="16.5" customHeight="1">
      <c r="A19" s="52" t="s">
        <v>58</v>
      </c>
      <c r="B19" s="128">
        <v>0</v>
      </c>
      <c r="C19" s="100">
        <f t="shared" si="0"/>
        <v>0</v>
      </c>
      <c r="D19" s="25"/>
      <c r="E19" s="133" t="s">
        <v>58</v>
      </c>
      <c r="F19" s="133"/>
      <c r="G19" s="133">
        <v>0</v>
      </c>
      <c r="H19" s="133"/>
      <c r="I19" s="133">
        <f t="shared" si="1"/>
        <v>0</v>
      </c>
      <c r="K19" s="133">
        <v>0</v>
      </c>
    </row>
    <row r="20" spans="1:11" ht="16.5" customHeight="1">
      <c r="A20" s="52" t="s">
        <v>59</v>
      </c>
      <c r="B20" s="128">
        <f>I20</f>
        <v>730</v>
      </c>
      <c r="C20" s="100">
        <f t="shared" si="0"/>
        <v>1.5096056413756023E-2</v>
      </c>
      <c r="D20" s="25"/>
      <c r="E20" s="133" t="s">
        <v>59</v>
      </c>
      <c r="F20" s="133"/>
      <c r="G20" s="133"/>
      <c r="H20" s="133">
        <v>730</v>
      </c>
      <c r="I20" s="133">
        <f t="shared" si="1"/>
        <v>730</v>
      </c>
      <c r="K20" s="133">
        <v>0</v>
      </c>
    </row>
    <row r="21" spans="1:11" ht="16.5" customHeight="1">
      <c r="A21" s="52" t="s">
        <v>60</v>
      </c>
      <c r="B21" s="128">
        <f>I21</f>
        <v>884</v>
      </c>
      <c r="C21" s="100">
        <f t="shared" si="0"/>
        <v>1.8280703931178525E-2</v>
      </c>
      <c r="D21" s="25"/>
      <c r="E21" s="133" t="s">
        <v>60</v>
      </c>
      <c r="F21" s="133"/>
      <c r="G21" s="133">
        <v>884</v>
      </c>
      <c r="H21" s="133"/>
      <c r="I21" s="133">
        <f t="shared" si="1"/>
        <v>884</v>
      </c>
      <c r="K21" s="133">
        <v>0</v>
      </c>
    </row>
    <row r="22" spans="1:11" ht="16.5" customHeight="1">
      <c r="A22" s="52" t="s">
        <v>61</v>
      </c>
      <c r="B22" s="128">
        <f>I22</f>
        <v>218</v>
      </c>
      <c r="C22" s="100">
        <f t="shared" si="0"/>
        <v>4.5081373947928943E-3</v>
      </c>
      <c r="D22" s="25"/>
      <c r="E22" s="133" t="s">
        <v>61</v>
      </c>
      <c r="F22" s="133">
        <v>218</v>
      </c>
      <c r="G22" s="133"/>
      <c r="H22" s="133"/>
      <c r="I22" s="133">
        <f t="shared" si="1"/>
        <v>218</v>
      </c>
      <c r="K22" s="133">
        <v>217</v>
      </c>
    </row>
    <row r="23" spans="1:11" ht="16.5" customHeight="1">
      <c r="A23" s="55" t="s">
        <v>62</v>
      </c>
      <c r="B23" s="129">
        <f>I23</f>
        <v>278</v>
      </c>
      <c r="C23" s="100">
        <f t="shared" si="0"/>
        <v>5.7489091548276359E-3</v>
      </c>
      <c r="D23" s="25"/>
      <c r="E23" s="133" t="s">
        <v>62</v>
      </c>
      <c r="F23" s="133">
        <v>38</v>
      </c>
      <c r="G23" s="133"/>
      <c r="H23" s="133">
        <v>240</v>
      </c>
      <c r="I23" s="133">
        <f t="shared" si="1"/>
        <v>278</v>
      </c>
      <c r="K23" s="133">
        <v>38</v>
      </c>
    </row>
    <row r="24" spans="1:11" ht="1.5" customHeight="1">
      <c r="A24" s="56"/>
      <c r="B24" s="130"/>
      <c r="C24" s="57"/>
      <c r="D24" s="25"/>
      <c r="E24" s="132"/>
      <c r="F24" s="132"/>
      <c r="G24" s="132"/>
      <c r="H24" s="132"/>
      <c r="I24" s="132"/>
      <c r="K24" s="132"/>
    </row>
    <row r="25" spans="1:11" ht="13.5" customHeight="1">
      <c r="A25" s="58" t="s">
        <v>63</v>
      </c>
      <c r="B25" s="131">
        <f>SUM(B15:B23)</f>
        <v>316124.24067256</v>
      </c>
      <c r="C25" s="59">
        <f>SUM(C15:C24)</f>
        <v>6.5373005081489737</v>
      </c>
      <c r="D25" s="25"/>
      <c r="E25" s="133" t="s">
        <v>98</v>
      </c>
      <c r="F25" s="133">
        <f>SUM(F15:F24)</f>
        <v>24006.639311520001</v>
      </c>
      <c r="G25" s="133">
        <f>SUM(G15:G24)</f>
        <v>189914.20467882667</v>
      </c>
      <c r="H25" s="133">
        <f>SUM(H15:H24)</f>
        <v>102203.39668221332</v>
      </c>
      <c r="I25" s="133">
        <f>SUM(F25:H25)</f>
        <v>316124.24067256</v>
      </c>
      <c r="K25" s="133">
        <f>SUM(K15:K24)</f>
        <v>9264.1672494800005</v>
      </c>
    </row>
    <row r="26" spans="1:11" ht="18" customHeight="1">
      <c r="A26" s="164" t="s">
        <v>64</v>
      </c>
      <c r="B26" s="164"/>
      <c r="C26" s="164"/>
      <c r="D26" s="25"/>
      <c r="H26" s="105"/>
    </row>
    <row r="27" spans="1:11">
      <c r="E27" s="161" t="s">
        <v>148</v>
      </c>
      <c r="F27" s="162"/>
      <c r="G27" s="162"/>
      <c r="H27" s="162"/>
      <c r="I27" s="162"/>
      <c r="J27" s="162"/>
    </row>
    <row r="28" spans="1:11">
      <c r="E28" t="s">
        <v>110</v>
      </c>
    </row>
    <row r="30" spans="1:11">
      <c r="E30" t="s">
        <v>112</v>
      </c>
      <c r="F30" t="s">
        <v>113</v>
      </c>
      <c r="G30" t="s">
        <v>114</v>
      </c>
    </row>
    <row r="31" spans="1:11">
      <c r="E31" s="105">
        <f>I15+I16+I17</f>
        <v>244453.08267256001</v>
      </c>
      <c r="F31">
        <v>859</v>
      </c>
      <c r="G31" s="163">
        <f>F31/E31</f>
        <v>3.5139667318109186E-3</v>
      </c>
    </row>
  </sheetData>
  <mergeCells count="3">
    <mergeCell ref="A4:C4"/>
    <mergeCell ref="A13:B13"/>
    <mergeCell ref="A26:C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showGridLines="0" view="pageLayout" topLeftCell="A4" zoomScaleNormal="100" workbookViewId="0">
      <selection activeCell="G4" sqref="G4"/>
    </sheetView>
  </sheetViews>
  <sheetFormatPr defaultRowHeight="15"/>
  <cols>
    <col min="1" max="1" width="2.28515625" customWidth="1"/>
    <col min="2" max="2" width="38.85546875" customWidth="1"/>
    <col min="3" max="3" width="1.28515625" customWidth="1"/>
    <col min="4" max="4" width="43.5703125" customWidth="1"/>
  </cols>
  <sheetData>
    <row r="1" spans="1:4" ht="6" customHeight="1"/>
    <row r="2" spans="1:4" ht="18" customHeight="1">
      <c r="A2" s="25"/>
      <c r="B2" s="45" t="s">
        <v>53</v>
      </c>
      <c r="C2" s="45"/>
      <c r="D2" s="25"/>
    </row>
    <row r="3" spans="1:4" ht="23.25" customHeight="1">
      <c r="A3" s="25"/>
      <c r="B3" s="25"/>
      <c r="C3" s="25"/>
      <c r="D3" s="25"/>
    </row>
    <row r="4" spans="1:4" ht="409.6" customHeight="1">
      <c r="A4" s="164"/>
      <c r="B4" s="164"/>
      <c r="C4" s="164"/>
      <c r="D4" s="164"/>
    </row>
    <row r="5" spans="1:4" ht="18" customHeight="1">
      <c r="A5" s="25"/>
      <c r="B5" s="19" t="s">
        <v>65</v>
      </c>
      <c r="C5" s="25"/>
      <c r="D5" s="25"/>
    </row>
  </sheetData>
  <mergeCells count="1">
    <mergeCell ref="A4:D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Layout" topLeftCell="B4" zoomScaleNormal="100" workbookViewId="0">
      <selection activeCell="G10" sqref="G10"/>
    </sheetView>
  </sheetViews>
  <sheetFormatPr defaultRowHeight="15"/>
  <cols>
    <col min="1" max="1" width="47" customWidth="1"/>
    <col min="2" max="2" width="12.42578125" customWidth="1"/>
    <col min="3" max="3" width="14.140625" customWidth="1"/>
    <col min="5" max="5" width="11.140625" customWidth="1"/>
    <col min="7" max="7" width="9.5703125" bestFit="1" customWidth="1"/>
    <col min="9" max="9" width="12.42578125" customWidth="1"/>
    <col min="11" max="11" width="4.42578125" customWidth="1"/>
    <col min="12" max="12" width="18.28515625" customWidth="1"/>
  </cols>
  <sheetData>
    <row r="1" spans="1:12" ht="6" customHeight="1"/>
    <row r="2" spans="1:12" ht="18" customHeight="1">
      <c r="A2" s="5" t="s">
        <v>0</v>
      </c>
    </row>
    <row r="3" spans="1:12" ht="30" customHeight="1">
      <c r="I3" t="s">
        <v>93</v>
      </c>
    </row>
    <row r="4" spans="1:12" ht="13.5" customHeight="1">
      <c r="A4" s="1"/>
      <c r="B4" s="2"/>
      <c r="C4" s="2"/>
    </row>
    <row r="5" spans="1:12" ht="16.5" customHeight="1">
      <c r="A5" s="14" t="s">
        <v>2</v>
      </c>
      <c r="B5" s="137">
        <v>10165</v>
      </c>
      <c r="C5" s="15" t="s">
        <v>1</v>
      </c>
      <c r="E5" t="s">
        <v>90</v>
      </c>
      <c r="G5" s="135">
        <v>43872</v>
      </c>
      <c r="H5" s="103" t="s">
        <v>1</v>
      </c>
      <c r="I5" s="105">
        <f>G5*$E$17</f>
        <v>15662.304000000002</v>
      </c>
      <c r="J5" t="s">
        <v>11</v>
      </c>
    </row>
    <row r="6" spans="1:12" ht="16.5" customHeight="1">
      <c r="A6" s="14" t="s">
        <v>3</v>
      </c>
      <c r="B6" s="137">
        <v>33707</v>
      </c>
      <c r="C6" s="15" t="s">
        <v>1</v>
      </c>
      <c r="E6" t="s">
        <v>91</v>
      </c>
      <c r="G6" s="135">
        <f>B7+B9+B10+B11</f>
        <v>247878</v>
      </c>
      <c r="H6" s="103" t="s">
        <v>1</v>
      </c>
      <c r="I6" s="105">
        <f t="shared" ref="I6:I7" si="0">G6*$E$17</f>
        <v>88492.446000000011</v>
      </c>
      <c r="J6" t="s">
        <v>11</v>
      </c>
    </row>
    <row r="7" spans="1:12" ht="16.5" customHeight="1">
      <c r="A7" s="14" t="s">
        <v>4</v>
      </c>
      <c r="B7" s="107">
        <v>143819</v>
      </c>
      <c r="C7" s="15" t="s">
        <v>1</v>
      </c>
      <c r="E7" t="s">
        <v>92</v>
      </c>
      <c r="G7" s="135">
        <f>B8</f>
        <v>69400</v>
      </c>
      <c r="H7" s="103" t="s">
        <v>1</v>
      </c>
      <c r="I7" s="105">
        <f t="shared" si="0"/>
        <v>24775.800000000003</v>
      </c>
      <c r="J7" t="s">
        <v>11</v>
      </c>
    </row>
    <row r="8" spans="1:12" ht="16.5" customHeight="1">
      <c r="A8" s="14" t="s">
        <v>5</v>
      </c>
      <c r="B8" s="107">
        <v>69400</v>
      </c>
      <c r="C8" s="15" t="s">
        <v>1</v>
      </c>
      <c r="G8" s="135">
        <f>SUM(G5:G7)</f>
        <v>361150</v>
      </c>
      <c r="I8" s="105">
        <f>SUM(I5:I7)</f>
        <v>128930.55000000002</v>
      </c>
    </row>
    <row r="9" spans="1:12" ht="16.5" customHeight="1">
      <c r="A9" s="14" t="s">
        <v>6</v>
      </c>
      <c r="B9" s="107">
        <v>101825</v>
      </c>
      <c r="C9" s="15" t="s">
        <v>1</v>
      </c>
      <c r="G9" s="136"/>
    </row>
    <row r="10" spans="1:12" ht="16.5" customHeight="1">
      <c r="A10" s="14" t="s">
        <v>7</v>
      </c>
      <c r="B10" s="148">
        <v>127</v>
      </c>
      <c r="C10" s="15" t="s">
        <v>1</v>
      </c>
      <c r="E10" t="s">
        <v>103</v>
      </c>
      <c r="G10" s="159">
        <v>10078.297</v>
      </c>
      <c r="H10" s="103" t="s">
        <v>1</v>
      </c>
      <c r="I10" s="105">
        <f>G10*$E$17</f>
        <v>3597.9520290000005</v>
      </c>
      <c r="J10" t="s">
        <v>11</v>
      </c>
      <c r="L10" t="s">
        <v>108</v>
      </c>
    </row>
    <row r="11" spans="1:12" ht="15" customHeight="1">
      <c r="A11" s="145" t="s">
        <v>20</v>
      </c>
      <c r="B11" s="149">
        <v>2107</v>
      </c>
      <c r="C11" s="146" t="s">
        <v>1</v>
      </c>
      <c r="G11" s="136"/>
    </row>
    <row r="12" spans="1:12" ht="29.25" customHeight="1">
      <c r="A12" s="16" t="s">
        <v>8</v>
      </c>
      <c r="B12" s="150">
        <v>361150</v>
      </c>
      <c r="C12" s="17" t="s">
        <v>1</v>
      </c>
      <c r="E12" t="s">
        <v>104</v>
      </c>
      <c r="G12" s="136"/>
      <c r="L12" s="140" t="s">
        <v>115</v>
      </c>
    </row>
    <row r="13" spans="1:12" ht="42.75" customHeight="1">
      <c r="A13" s="18"/>
      <c r="B13" s="151"/>
      <c r="C13" s="18"/>
      <c r="G13" s="136"/>
      <c r="L13" s="140" t="s">
        <v>116</v>
      </c>
    </row>
    <row r="14" spans="1:12" ht="18" customHeight="1">
      <c r="A14" s="19" t="s">
        <v>9</v>
      </c>
      <c r="B14" s="18"/>
      <c r="C14" s="18"/>
      <c r="E14" t="s">
        <v>107</v>
      </c>
      <c r="G14" s="147">
        <f>G5-G10</f>
        <v>33793.703000000001</v>
      </c>
      <c r="H14" s="103" t="s">
        <v>1</v>
      </c>
      <c r="I14" s="105">
        <f>G14*$E$17</f>
        <v>12064.351971000002</v>
      </c>
      <c r="J14" t="s">
        <v>11</v>
      </c>
    </row>
    <row r="15" spans="1:12" ht="18" customHeight="1">
      <c r="A15" s="3"/>
      <c r="B15" s="3"/>
      <c r="C15" s="3"/>
    </row>
    <row r="16" spans="1:12" ht="13.5" customHeight="1">
      <c r="A16" s="20"/>
      <c r="B16" s="6"/>
      <c r="C16" s="6"/>
    </row>
    <row r="17" spans="1:5" ht="16.5" customHeight="1">
      <c r="A17" s="21" t="s">
        <v>10</v>
      </c>
      <c r="B17" s="107">
        <f>B12*B18/1000</f>
        <v>128930.55</v>
      </c>
      <c r="C17" s="7" t="s">
        <v>11</v>
      </c>
      <c r="E17">
        <f>0.34*1.05</f>
        <v>0.35700000000000004</v>
      </c>
    </row>
    <row r="18" spans="1:5" ht="24.75" customHeight="1">
      <c r="A18" s="22" t="s">
        <v>12</v>
      </c>
      <c r="B18" s="107">
        <v>357</v>
      </c>
      <c r="C18" s="7" t="s">
        <v>13</v>
      </c>
    </row>
    <row r="19" spans="1:5" ht="16.5" customHeight="1">
      <c r="A19" s="22" t="s">
        <v>14</v>
      </c>
      <c r="B19" s="106">
        <v>360</v>
      </c>
      <c r="C19" s="7" t="s">
        <v>1</v>
      </c>
    </row>
    <row r="20" spans="1:5" ht="16.5" customHeight="1">
      <c r="A20" s="22" t="s">
        <v>15</v>
      </c>
      <c r="B20" s="152">
        <f>B19/B12</f>
        <v>9.9681572753703438E-4</v>
      </c>
      <c r="C20" s="7" t="s">
        <v>16</v>
      </c>
    </row>
    <row r="21" spans="1:5" ht="18" customHeight="1">
      <c r="A21" s="19" t="s">
        <v>17</v>
      </c>
      <c r="B21" s="18"/>
      <c r="C21" s="18"/>
    </row>
    <row r="22" spans="1:5" ht="12" customHeight="1"/>
    <row r="23" spans="1:5" ht="192" customHeight="1">
      <c r="A23" s="4"/>
      <c r="B23" s="4"/>
      <c r="C23" s="4"/>
    </row>
    <row r="24" spans="1:5" ht="0.75" customHeight="1">
      <c r="A24" s="4" t="s">
        <v>18</v>
      </c>
      <c r="B24" s="4"/>
      <c r="C24" s="4"/>
    </row>
    <row r="25" spans="1:5" ht="17.25" customHeight="1">
      <c r="A25" s="4"/>
    </row>
    <row r="26" spans="1:5" ht="17.25" customHeight="1">
      <c r="A26" s="4"/>
    </row>
    <row r="27" spans="1:5" ht="17.25" customHeight="1">
      <c r="A27" s="4"/>
    </row>
    <row r="28" spans="1:5" ht="17.25" customHeight="1">
      <c r="A28" s="4"/>
    </row>
    <row r="30" spans="1:5">
      <c r="A30" s="166" t="s">
        <v>18</v>
      </c>
      <c r="B30" s="166"/>
    </row>
  </sheetData>
  <mergeCells count="1">
    <mergeCell ref="A30:B3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showGridLines="0" view="pageLayout" topLeftCell="A19" zoomScaleNormal="100" workbookViewId="0">
      <selection activeCell="E23" sqref="E23"/>
    </sheetView>
  </sheetViews>
  <sheetFormatPr defaultRowHeight="15"/>
  <cols>
    <col min="1" max="1" width="37.42578125" customWidth="1"/>
    <col min="2" max="2" width="46.7109375" customWidth="1"/>
    <col min="3" max="3" width="9.42578125" customWidth="1"/>
    <col min="4" max="4" width="14.140625" customWidth="1"/>
    <col min="5" max="5" width="9.5703125" bestFit="1" customWidth="1"/>
    <col min="7" max="7" width="10.85546875" customWidth="1"/>
    <col min="9" max="9" width="2.5703125" customWidth="1"/>
    <col min="10" max="10" width="14.140625" customWidth="1"/>
    <col min="11" max="11" width="7.7109375" customWidth="1"/>
  </cols>
  <sheetData>
    <row r="1" spans="1:11" ht="18" customHeight="1">
      <c r="A1" s="167" t="s">
        <v>97</v>
      </c>
      <c r="B1" s="167"/>
    </row>
    <row r="2" spans="1:11" ht="29.25" customHeight="1"/>
    <row r="3" spans="1:11" ht="13.5" customHeight="1">
      <c r="A3" s="6"/>
      <c r="B3" s="6" t="s">
        <v>1</v>
      </c>
      <c r="G3" t="s">
        <v>93</v>
      </c>
    </row>
    <row r="4" spans="1:11" ht="16.5" customHeight="1">
      <c r="A4" s="7" t="s">
        <v>2</v>
      </c>
      <c r="B4" s="137">
        <v>24464</v>
      </c>
      <c r="D4" t="s">
        <v>90</v>
      </c>
      <c r="E4" s="105">
        <f>B4+B5</f>
        <v>26209</v>
      </c>
      <c r="F4" t="s">
        <v>1</v>
      </c>
      <c r="G4" s="105">
        <f>E4*$D$13/1000</f>
        <v>3387.7753399999997</v>
      </c>
      <c r="H4" t="s">
        <v>11</v>
      </c>
    </row>
    <row r="5" spans="1:11" ht="16.5" customHeight="1">
      <c r="A5" s="7" t="s">
        <v>3</v>
      </c>
      <c r="B5" s="137">
        <v>1745</v>
      </c>
      <c r="D5" t="s">
        <v>91</v>
      </c>
      <c r="E5" s="105">
        <f>B6+B8+B9+B10</f>
        <v>93780</v>
      </c>
      <c r="F5" t="s">
        <v>1</v>
      </c>
      <c r="G5" s="105">
        <f>E5*$D$13/1000</f>
        <v>12122.002799999998</v>
      </c>
      <c r="H5" t="s">
        <v>11</v>
      </c>
      <c r="J5">
        <v>104984</v>
      </c>
      <c r="K5" s="105">
        <v>89999</v>
      </c>
    </row>
    <row r="6" spans="1:11" ht="16.5" customHeight="1">
      <c r="A6" s="7" t="s">
        <v>4</v>
      </c>
      <c r="B6" s="107">
        <v>62522</v>
      </c>
      <c r="D6" t="s">
        <v>92</v>
      </c>
      <c r="E6" s="105">
        <f>B7</f>
        <v>127666</v>
      </c>
      <c r="F6" t="s">
        <v>1</v>
      </c>
      <c r="G6" s="105">
        <f>E6*$D$13/1000</f>
        <v>16502.10716</v>
      </c>
      <c r="H6" t="s">
        <v>11</v>
      </c>
    </row>
    <row r="7" spans="1:11" ht="16.5" customHeight="1">
      <c r="A7" s="7" t="s">
        <v>5</v>
      </c>
      <c r="B7" s="107">
        <v>127666</v>
      </c>
      <c r="G7" s="105">
        <f>SUM(G4:G6)</f>
        <v>32011.885299999998</v>
      </c>
      <c r="H7" t="s">
        <v>11</v>
      </c>
    </row>
    <row r="8" spans="1:11" ht="16.5" customHeight="1">
      <c r="A8" s="7" t="s">
        <v>6</v>
      </c>
      <c r="B8" s="107">
        <v>31258</v>
      </c>
    </row>
    <row r="9" spans="1:11" ht="16.5" customHeight="1">
      <c r="A9" s="7" t="s">
        <v>7</v>
      </c>
      <c r="B9" s="107">
        <v>0</v>
      </c>
      <c r="D9" s="153" t="s">
        <v>103</v>
      </c>
      <c r="E9" s="158">
        <v>23334</v>
      </c>
      <c r="F9" s="153" t="s">
        <v>1</v>
      </c>
      <c r="G9" s="154">
        <f>E9*$D$13/1000</f>
        <v>3016.1528399999997</v>
      </c>
      <c r="H9" s="153" t="s">
        <v>11</v>
      </c>
      <c r="I9" s="153"/>
      <c r="J9" s="153"/>
      <c r="K9" s="138"/>
    </row>
    <row r="10" spans="1:11" ht="16.5" customHeight="1">
      <c r="A10" s="7" t="s">
        <v>20</v>
      </c>
      <c r="B10" s="107">
        <v>0</v>
      </c>
      <c r="D10" t="s">
        <v>105</v>
      </c>
      <c r="E10" s="154">
        <f>E4-E9</f>
        <v>2875</v>
      </c>
      <c r="F10" t="s">
        <v>1</v>
      </c>
      <c r="G10" s="105">
        <f>E10*$D$13/1000</f>
        <v>371.6225</v>
      </c>
      <c r="H10" t="s">
        <v>11</v>
      </c>
    </row>
    <row r="11" spans="1:11" ht="1.5" customHeight="1">
      <c r="A11" s="9"/>
      <c r="B11" s="109"/>
    </row>
    <row r="12" spans="1:11" ht="13.5" customHeight="1">
      <c r="A12" s="11" t="s">
        <v>21</v>
      </c>
      <c r="B12" s="110">
        <f>SUM(B4:B10)</f>
        <v>247655</v>
      </c>
      <c r="C12" t="s">
        <v>122</v>
      </c>
      <c r="D12" s="104">
        <f>65*1.15</f>
        <v>74.75</v>
      </c>
      <c r="G12" s="105"/>
    </row>
    <row r="13" spans="1:11" ht="18" customHeight="1">
      <c r="A13" t="s">
        <v>22</v>
      </c>
      <c r="C13" t="s">
        <v>123</v>
      </c>
      <c r="D13">
        <f>112.4*1.15</f>
        <v>129.26</v>
      </c>
      <c r="F13" t="s">
        <v>124</v>
      </c>
    </row>
    <row r="14" spans="1:11" ht="24" customHeight="1"/>
    <row r="15" spans="1:11" ht="249.75" customHeight="1">
      <c r="B15" s="12"/>
    </row>
    <row r="16" spans="1:11" ht="18" customHeight="1">
      <c r="A16" s="166" t="s">
        <v>23</v>
      </c>
      <c r="B16" s="166"/>
    </row>
    <row r="17" spans="1:11" ht="17.25" customHeight="1"/>
    <row r="18" spans="1:11" ht="13.5" customHeight="1">
      <c r="A18" s="6"/>
      <c r="B18" s="6" t="s">
        <v>1</v>
      </c>
      <c r="G18" t="s">
        <v>93</v>
      </c>
      <c r="J18" t="s">
        <v>100</v>
      </c>
    </row>
    <row r="19" spans="1:11" ht="16.5" customHeight="1">
      <c r="A19" s="7" t="s">
        <v>2</v>
      </c>
      <c r="B19" s="137">
        <v>6587</v>
      </c>
      <c r="D19" t="s">
        <v>90</v>
      </c>
      <c r="E19" s="105">
        <v>10259</v>
      </c>
      <c r="F19" t="s">
        <v>1</v>
      </c>
      <c r="G19" s="105">
        <f>E19*F29/1000</f>
        <v>2346.8619715200002</v>
      </c>
      <c r="H19" t="s">
        <v>11</v>
      </c>
      <c r="J19" s="105">
        <f>E19</f>
        <v>10259</v>
      </c>
      <c r="K19" t="s">
        <v>1</v>
      </c>
    </row>
    <row r="20" spans="1:11" ht="16.5" customHeight="1">
      <c r="A20" s="7" t="s">
        <v>3</v>
      </c>
      <c r="B20" s="137">
        <v>3672</v>
      </c>
      <c r="D20" t="s">
        <v>91</v>
      </c>
      <c r="E20" s="105">
        <f>B21+B23+B24+B25</f>
        <v>186322</v>
      </c>
      <c r="F20" t="s">
        <v>1</v>
      </c>
      <c r="G20" s="105">
        <f>E20*$F$29/1000</f>
        <v>42623.259212159996</v>
      </c>
      <c r="H20" t="s">
        <v>11</v>
      </c>
      <c r="J20" s="105">
        <f>E20</f>
        <v>186322</v>
      </c>
      <c r="K20" t="s">
        <v>1</v>
      </c>
    </row>
    <row r="21" spans="1:11" ht="16.5" customHeight="1">
      <c r="A21" s="7" t="s">
        <v>4</v>
      </c>
      <c r="B21" s="107">
        <v>49686</v>
      </c>
      <c r="D21" t="s">
        <v>92</v>
      </c>
      <c r="E21" s="105">
        <f>B22</f>
        <v>134671</v>
      </c>
      <c r="F21" t="s">
        <v>1</v>
      </c>
      <c r="G21" s="105">
        <f>E21*$F$29/1000</f>
        <v>30807.510338879998</v>
      </c>
      <c r="H21" t="s">
        <v>11</v>
      </c>
      <c r="J21">
        <v>127383</v>
      </c>
      <c r="K21" t="s">
        <v>1</v>
      </c>
    </row>
    <row r="22" spans="1:11" ht="16.5" customHeight="1">
      <c r="A22" s="7" t="s">
        <v>5</v>
      </c>
      <c r="B22" s="107">
        <v>134671</v>
      </c>
      <c r="G22" s="105">
        <f>SUM(G19:G21)</f>
        <v>75777.631522559997</v>
      </c>
      <c r="H22" t="s">
        <v>11</v>
      </c>
    </row>
    <row r="23" spans="1:11" ht="16.5" customHeight="1">
      <c r="A23" s="7" t="s">
        <v>6</v>
      </c>
      <c r="B23" s="107">
        <v>136531</v>
      </c>
      <c r="D23" s="153" t="s">
        <v>103</v>
      </c>
      <c r="E23" s="158">
        <v>8766</v>
      </c>
      <c r="F23" s="153" t="s">
        <v>1</v>
      </c>
      <c r="G23" s="154">
        <f>E23*$F$29/1000</f>
        <v>2005.32138048</v>
      </c>
      <c r="H23" s="153" t="s">
        <v>11</v>
      </c>
      <c r="I23" s="138"/>
    </row>
    <row r="24" spans="1:11" ht="16.5" customHeight="1">
      <c r="A24" s="7" t="s">
        <v>7</v>
      </c>
      <c r="B24" s="107">
        <v>105</v>
      </c>
      <c r="D24" t="s">
        <v>106</v>
      </c>
      <c r="E24" s="154">
        <f>E19-E23</f>
        <v>1493</v>
      </c>
      <c r="F24" t="s">
        <v>1</v>
      </c>
      <c r="G24" s="105">
        <f>E24*$F$29/1000</f>
        <v>341.54059103999998</v>
      </c>
      <c r="H24" t="s">
        <v>11</v>
      </c>
    </row>
    <row r="25" spans="1:11" ht="1.5" customHeight="1">
      <c r="A25" s="9"/>
      <c r="B25" s="10"/>
    </row>
    <row r="26" spans="1:11" ht="13.5" customHeight="1">
      <c r="A26" s="13" t="s">
        <v>24</v>
      </c>
      <c r="B26" s="108">
        <f>B19+B20+B21+B22+B23+B24</f>
        <v>331252</v>
      </c>
    </row>
    <row r="27" spans="1:11" ht="13.5" customHeight="1">
      <c r="A27" s="166" t="s">
        <v>25</v>
      </c>
      <c r="B27" s="166"/>
      <c r="C27" s="166"/>
      <c r="D27" s="166"/>
    </row>
    <row r="28" spans="1:11" ht="18" customHeight="1">
      <c r="A28" s="101"/>
      <c r="B28" s="101"/>
      <c r="C28" s="101"/>
      <c r="G28" s="105"/>
    </row>
    <row r="29" spans="1:11" ht="28.5" customHeight="1">
      <c r="A29" s="101"/>
      <c r="B29" s="101"/>
      <c r="C29" s="101"/>
      <c r="D29" s="104" t="s">
        <v>125</v>
      </c>
      <c r="F29" s="104">
        <f>216.63*1.056</f>
        <v>228.76128</v>
      </c>
      <c r="H29" t="s">
        <v>126</v>
      </c>
      <c r="J29" s="141"/>
    </row>
    <row r="30" spans="1:11" ht="42" customHeight="1">
      <c r="G30" s="105"/>
      <c r="J30" s="141"/>
    </row>
    <row r="31" spans="1:11" ht="319.5" customHeight="1">
      <c r="B31" s="12"/>
    </row>
    <row r="32" spans="1:11" ht="30" customHeight="1">
      <c r="A32" s="166" t="s">
        <v>26</v>
      </c>
      <c r="B32" s="166"/>
      <c r="C32" s="166"/>
      <c r="D32" s="166"/>
      <c r="E32" s="166"/>
      <c r="F32" s="166"/>
    </row>
  </sheetData>
  <mergeCells count="4">
    <mergeCell ref="A1:B1"/>
    <mergeCell ref="A16:B16"/>
    <mergeCell ref="A27:D27"/>
    <mergeCell ref="A32:F32"/>
  </mergeCells>
  <pageMargins left="0.7" right="0.7" top="0.75" bottom="0.75" header="0.3" footer="0.3"/>
  <pageSetup paperSize="9" orientation="portrait" r:id="rId1"/>
  <ignoredErrors>
    <ignoredError sqref="G22:H2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view="pageLayout" topLeftCell="A2" zoomScaleNormal="100" workbookViewId="0">
      <selection activeCell="B13" sqref="B13"/>
    </sheetView>
  </sheetViews>
  <sheetFormatPr defaultRowHeight="15"/>
  <cols>
    <col min="1" max="1" width="39.85546875" customWidth="1"/>
    <col min="2" max="2" width="40" customWidth="1"/>
  </cols>
  <sheetData>
    <row r="1" spans="1:5" ht="6" customHeight="1"/>
    <row r="2" spans="1:5" ht="18" customHeight="1">
      <c r="A2" s="45" t="s">
        <v>19</v>
      </c>
      <c r="B2" s="23"/>
      <c r="C2" s="24"/>
      <c r="D2" s="24"/>
      <c r="E2" s="24"/>
    </row>
    <row r="3" spans="1:5" ht="23.25" customHeight="1">
      <c r="A3" s="25"/>
      <c r="B3" s="25"/>
    </row>
    <row r="4" spans="1:5" ht="13.5" customHeight="1">
      <c r="A4" s="6"/>
      <c r="B4" s="6" t="s">
        <v>1</v>
      </c>
    </row>
    <row r="5" spans="1:5" ht="16.5" customHeight="1">
      <c r="A5" s="7" t="s">
        <v>2</v>
      </c>
      <c r="B5" s="107">
        <v>31051</v>
      </c>
      <c r="D5" s="105">
        <f>'Fjernvarme og individuel varme'!B4+'Fjernvarme og individuel varme'!B19</f>
        <v>31051</v>
      </c>
    </row>
    <row r="6" spans="1:5" ht="16.5" customHeight="1">
      <c r="A6" s="7" t="s">
        <v>3</v>
      </c>
      <c r="B6" s="107">
        <v>5417</v>
      </c>
      <c r="D6" s="105">
        <f>'Fjernvarme og individuel varme'!B5+'Fjernvarme og individuel varme'!B20</f>
        <v>5417</v>
      </c>
    </row>
    <row r="7" spans="1:5" ht="16.5" customHeight="1">
      <c r="A7" s="7" t="s">
        <v>4</v>
      </c>
      <c r="B7" s="107">
        <v>112208</v>
      </c>
      <c r="D7" s="105">
        <f>'Fjernvarme og individuel varme'!B6+'Fjernvarme og individuel varme'!B21</f>
        <v>112208</v>
      </c>
    </row>
    <row r="8" spans="1:5" ht="16.5" customHeight="1">
      <c r="A8" s="7" t="s">
        <v>5</v>
      </c>
      <c r="B8" s="107">
        <v>262337</v>
      </c>
      <c r="D8" s="105">
        <f>'Fjernvarme og individuel varme'!B7+'Fjernvarme og individuel varme'!B22</f>
        <v>262337</v>
      </c>
    </row>
    <row r="9" spans="1:5" ht="16.5" customHeight="1">
      <c r="A9" s="7" t="s">
        <v>6</v>
      </c>
      <c r="B9" s="107">
        <v>167789</v>
      </c>
      <c r="D9" s="105">
        <f>'Fjernvarme og individuel varme'!B23+'Fjernvarme og individuel varme'!B8</f>
        <v>167789</v>
      </c>
    </row>
    <row r="10" spans="1:5" ht="16.5" customHeight="1">
      <c r="A10" s="7" t="s">
        <v>7</v>
      </c>
      <c r="B10" s="107">
        <v>105</v>
      </c>
      <c r="D10" s="105">
        <f>'Fjernvarme og individuel varme'!B9+'Fjernvarme og individuel varme'!B24</f>
        <v>105</v>
      </c>
    </row>
    <row r="11" spans="1:5" ht="16.5" customHeight="1">
      <c r="A11" s="7" t="s">
        <v>20</v>
      </c>
      <c r="B11" s="107">
        <v>0</v>
      </c>
      <c r="D11">
        <v>0</v>
      </c>
    </row>
    <row r="12" spans="1:5" ht="1.5" customHeight="1">
      <c r="A12" s="9"/>
      <c r="B12" s="109"/>
    </row>
    <row r="13" spans="1:5" ht="13.5" customHeight="1">
      <c r="A13" s="26" t="s">
        <v>24</v>
      </c>
      <c r="B13" s="110">
        <f>B5+B6+B7+B8+B9+B10+B11</f>
        <v>578907</v>
      </c>
    </row>
    <row r="14" spans="1:5" ht="0.75" customHeight="1">
      <c r="A14" s="27"/>
      <c r="B14" s="27"/>
    </row>
    <row r="15" spans="1:5" ht="18" customHeight="1">
      <c r="A15" s="27" t="s">
        <v>27</v>
      </c>
      <c r="B15" s="27"/>
    </row>
    <row r="16" spans="1:5" ht="12" customHeight="1">
      <c r="A16" s="27"/>
      <c r="B16" s="27"/>
    </row>
    <row r="17" spans="1:2" ht="13.5" customHeight="1">
      <c r="A17" s="6"/>
      <c r="B17" s="6"/>
    </row>
    <row r="18" spans="1:2" ht="16.5" customHeight="1">
      <c r="A18" s="7" t="s">
        <v>28</v>
      </c>
      <c r="B18" s="111">
        <v>331252</v>
      </c>
    </row>
    <row r="19" spans="1:2" ht="16.5" customHeight="1">
      <c r="A19" s="7" t="s">
        <v>29</v>
      </c>
      <c r="B19" s="112">
        <v>247655</v>
      </c>
    </row>
    <row r="20" spans="1:2" ht="18" customHeight="1">
      <c r="A20" s="27" t="s">
        <v>30</v>
      </c>
      <c r="B20" s="27"/>
    </row>
    <row r="21" spans="1:2" ht="12" customHeight="1">
      <c r="A21" s="27"/>
      <c r="B21" s="27"/>
    </row>
    <row r="22" spans="1:2" ht="276" customHeight="1">
      <c r="A22" s="168"/>
      <c r="B22" s="168"/>
    </row>
    <row r="23" spans="1:2" ht="18" customHeight="1">
      <c r="A23" s="169" t="s">
        <v>31</v>
      </c>
      <c r="B23" s="169"/>
    </row>
    <row r="24" spans="1:2" ht="23.25" customHeight="1">
      <c r="A24" s="18"/>
      <c r="B24" s="18"/>
    </row>
    <row r="25" spans="1:2" ht="282.75" customHeight="1">
      <c r="A25" s="170"/>
      <c r="B25" s="170"/>
    </row>
    <row r="26" spans="1:2" ht="18" customHeight="1">
      <c r="A26" s="29" t="s">
        <v>32</v>
      </c>
      <c r="B26" s="18"/>
    </row>
    <row r="27" spans="1:2">
      <c r="A27" s="18"/>
      <c r="B27" s="18"/>
    </row>
  </sheetData>
  <mergeCells count="3">
    <mergeCell ref="A22:B22"/>
    <mergeCell ref="A23:B23"/>
    <mergeCell ref="A25:B2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0"/>
  <sheetViews>
    <sheetView showGridLines="0" view="pageLayout" topLeftCell="B3" zoomScaleNormal="100" workbookViewId="0">
      <selection activeCell="I31" sqref="I31"/>
    </sheetView>
  </sheetViews>
  <sheetFormatPr defaultRowHeight="15"/>
  <cols>
    <col min="1" max="1" width="2.7109375" customWidth="1"/>
    <col min="2" max="2" width="0.7109375" customWidth="1"/>
    <col min="3" max="3" width="24.140625" customWidth="1"/>
    <col min="4" max="4" width="21.42578125" customWidth="1"/>
    <col min="5" max="5" width="21.28515625" customWidth="1"/>
    <col min="6" max="6" width="15.85546875" customWidth="1"/>
    <col min="7" max="7" width="1.140625" hidden="1" customWidth="1"/>
    <col min="8" max="8" width="9.5703125" bestFit="1" customWidth="1"/>
    <col min="9" max="9" width="10.140625" customWidth="1"/>
    <col min="10" max="10" width="1.42578125" customWidth="1"/>
    <col min="11" max="11" width="9.42578125" customWidth="1"/>
    <col min="12" max="12" width="8.7109375" customWidth="1"/>
    <col min="13" max="13" width="11.7109375" customWidth="1"/>
  </cols>
  <sheetData>
    <row r="1" spans="1:13" ht="18" customHeight="1">
      <c r="A1" s="45" t="s">
        <v>141</v>
      </c>
      <c r="B1" s="45"/>
      <c r="C1" s="45"/>
      <c r="D1" s="45"/>
      <c r="E1" s="45"/>
      <c r="F1" s="60"/>
      <c r="G1" s="60"/>
    </row>
    <row r="2" spans="1:13" ht="18" customHeight="1">
      <c r="A2" s="45"/>
      <c r="B2" s="45"/>
      <c r="C2" s="45"/>
      <c r="D2" s="45"/>
      <c r="E2" s="45"/>
      <c r="F2" s="60"/>
      <c r="G2" s="60"/>
    </row>
    <row r="3" spans="1:13" ht="13.5" customHeight="1">
      <c r="A3" s="61" t="s">
        <v>66</v>
      </c>
      <c r="B3" s="62"/>
      <c r="C3" s="62"/>
      <c r="D3" s="62"/>
      <c r="E3" s="63" t="s">
        <v>128</v>
      </c>
    </row>
    <row r="4" spans="1:13" ht="12.75" customHeight="1">
      <c r="A4" s="64" t="s">
        <v>67</v>
      </c>
      <c r="B4" s="65"/>
      <c r="C4" s="65"/>
      <c r="D4" s="65"/>
      <c r="E4" s="66"/>
      <c r="H4" t="s">
        <v>93</v>
      </c>
      <c r="J4" t="s">
        <v>101</v>
      </c>
      <c r="K4" t="s">
        <v>102</v>
      </c>
    </row>
    <row r="5" spans="1:13" ht="16.5" customHeight="1">
      <c r="A5" s="67" t="s">
        <v>68</v>
      </c>
      <c r="B5" s="68"/>
      <c r="C5" s="68"/>
      <c r="D5" s="68"/>
      <c r="E5" s="113">
        <v>12874.98</v>
      </c>
      <c r="H5">
        <f>E5*75*3.6/0.6/1000</f>
        <v>5793.741</v>
      </c>
    </row>
    <row r="6" spans="1:13" ht="16.5" customHeight="1">
      <c r="A6" s="67" t="s">
        <v>69</v>
      </c>
      <c r="B6" s="68"/>
      <c r="C6" s="68"/>
      <c r="D6" s="68"/>
      <c r="E6" s="113">
        <f>K39</f>
        <v>312444</v>
      </c>
      <c r="H6">
        <f>E6*56.74*3.6/0.9/1000</f>
        <v>70912.290240000017</v>
      </c>
      <c r="J6">
        <f>127383*226/1000</f>
        <v>28788.558000000001</v>
      </c>
    </row>
    <row r="7" spans="1:13" ht="16.5" customHeight="1">
      <c r="A7" s="67" t="s">
        <v>70</v>
      </c>
      <c r="B7" s="68"/>
      <c r="C7" s="68"/>
      <c r="D7" s="68"/>
      <c r="E7" s="54">
        <v>357.31</v>
      </c>
      <c r="H7">
        <f>E7/0.9*57*3.6/1000</f>
        <v>81.466680000000011</v>
      </c>
    </row>
    <row r="8" spans="1:13" ht="16.5" customHeight="1">
      <c r="A8" s="67" t="s">
        <v>71</v>
      </c>
      <c r="B8" s="68"/>
      <c r="C8" s="68"/>
      <c r="D8" s="68"/>
      <c r="E8" s="113">
        <v>4406.79</v>
      </c>
      <c r="H8">
        <f>E8*357/1000</f>
        <v>1573.2240300000001</v>
      </c>
    </row>
    <row r="9" spans="1:13" ht="16.5" customHeight="1">
      <c r="A9" s="67" t="s">
        <v>72</v>
      </c>
      <c r="B9" s="68"/>
      <c r="C9" s="68"/>
      <c r="D9" s="68"/>
      <c r="E9" s="54">
        <v>0</v>
      </c>
      <c r="H9">
        <f>E21*357/1000</f>
        <v>276.31799999999998</v>
      </c>
    </row>
    <row r="10" spans="1:13" ht="16.5" customHeight="1">
      <c r="A10" s="67" t="s">
        <v>73</v>
      </c>
      <c r="B10" s="68"/>
      <c r="C10" s="68"/>
      <c r="D10" s="68"/>
      <c r="E10" s="54">
        <v>145.02000000000001</v>
      </c>
      <c r="H10">
        <f>E10*57/1000</f>
        <v>8.2661400000000018</v>
      </c>
    </row>
    <row r="11" spans="1:13" ht="16.5" customHeight="1">
      <c r="A11" s="67" t="s">
        <v>74</v>
      </c>
      <c r="B11" s="68"/>
      <c r="C11" s="68"/>
      <c r="D11" s="68"/>
      <c r="E11" s="54">
        <v>0</v>
      </c>
      <c r="H11">
        <f>SUM(H5:H10)</f>
        <v>78645.306090000013</v>
      </c>
      <c r="J11">
        <f>I5+J6+H8+H10</f>
        <v>30370.048170000002</v>
      </c>
    </row>
    <row r="12" spans="1:13" ht="16.5" customHeight="1">
      <c r="A12" s="67" t="s">
        <v>75</v>
      </c>
      <c r="B12" s="68"/>
      <c r="C12" s="68"/>
      <c r="D12" s="68"/>
      <c r="E12" s="54">
        <v>0</v>
      </c>
      <c r="H12" t="s">
        <v>135</v>
      </c>
    </row>
    <row r="13" spans="1:13" ht="21" customHeight="1">
      <c r="A13" s="67" t="s">
        <v>76</v>
      </c>
      <c r="B13" s="68"/>
      <c r="C13" s="68"/>
      <c r="D13" s="68"/>
      <c r="E13" s="113">
        <v>2476.65</v>
      </c>
      <c r="H13" t="s">
        <v>132</v>
      </c>
      <c r="I13">
        <v>127666</v>
      </c>
      <c r="K13" t="s">
        <v>133</v>
      </c>
      <c r="L13" t="s">
        <v>138</v>
      </c>
    </row>
    <row r="14" spans="1:13" ht="0.75" customHeight="1">
      <c r="A14" s="69"/>
      <c r="B14" s="70"/>
      <c r="C14" s="70"/>
      <c r="D14" s="70"/>
      <c r="E14" s="114">
        <f>SUM(E5:E13)</f>
        <v>332704.75</v>
      </c>
    </row>
    <row r="15" spans="1:13" ht="13.5" customHeight="1">
      <c r="A15" s="71"/>
      <c r="B15" s="72"/>
      <c r="C15" s="72"/>
      <c r="D15" s="72"/>
      <c r="E15" s="115">
        <f>E5+E6+E7+E8+E9+E10+E11+E12+E13</f>
        <v>332704.75</v>
      </c>
      <c r="H15" t="s">
        <v>131</v>
      </c>
      <c r="L15" t="s">
        <v>132</v>
      </c>
      <c r="M15" s="104">
        <f>I13/10719*21</f>
        <v>250.11530926392385</v>
      </c>
    </row>
    <row r="16" spans="1:13" ht="0.75" customHeight="1">
      <c r="A16" s="60"/>
      <c r="B16" s="73"/>
      <c r="C16" s="74"/>
      <c r="D16" s="74"/>
      <c r="E16" s="116"/>
    </row>
    <row r="17" spans="1:14" ht="12.75" customHeight="1">
      <c r="A17" s="75" t="s">
        <v>77</v>
      </c>
      <c r="B17" s="76"/>
      <c r="C17" s="76"/>
      <c r="D17" s="76"/>
      <c r="E17" s="117"/>
      <c r="H17" t="s">
        <v>132</v>
      </c>
      <c r="I17">
        <v>115863</v>
      </c>
      <c r="K17" t="s">
        <v>133</v>
      </c>
      <c r="L17" t="s">
        <v>134</v>
      </c>
      <c r="M17" s="104">
        <f>M15/0.9</f>
        <v>277.9058991821376</v>
      </c>
    </row>
    <row r="18" spans="1:14" ht="16.5" customHeight="1">
      <c r="A18" s="67" t="s">
        <v>78</v>
      </c>
      <c r="B18" s="68"/>
      <c r="C18" s="68"/>
      <c r="D18" s="68"/>
      <c r="E18" s="54">
        <v>250.12</v>
      </c>
      <c r="H18" t="s">
        <v>134</v>
      </c>
      <c r="I18">
        <f>I17/0.9</f>
        <v>128736.66666666666</v>
      </c>
    </row>
    <row r="19" spans="1:14" ht="16.5" customHeight="1">
      <c r="A19" s="67" t="s">
        <v>79</v>
      </c>
      <c r="B19" s="68"/>
      <c r="C19" s="68"/>
      <c r="D19" s="68"/>
      <c r="E19" s="54">
        <v>0</v>
      </c>
      <c r="H19" t="s">
        <v>136</v>
      </c>
      <c r="L19" t="s">
        <v>139</v>
      </c>
      <c r="M19" s="104">
        <f>I13/10719*30</f>
        <v>357.30758466274835</v>
      </c>
    </row>
    <row r="20" spans="1:14" ht="16.5" customHeight="1">
      <c r="A20" s="67" t="s">
        <v>80</v>
      </c>
      <c r="B20" s="68"/>
      <c r="C20" s="68"/>
      <c r="D20" s="68"/>
      <c r="E20" s="54">
        <v>0</v>
      </c>
      <c r="H20" t="s">
        <v>132</v>
      </c>
      <c r="I20">
        <f>I13/10719*1081</f>
        <v>12874.983300681033</v>
      </c>
      <c r="L20" t="s">
        <v>134</v>
      </c>
      <c r="M20" s="104">
        <f>M19/0.9</f>
        <v>397.0084274030537</v>
      </c>
    </row>
    <row r="21" spans="1:14" ht="16.5" customHeight="1">
      <c r="A21" s="67" t="s">
        <v>81</v>
      </c>
      <c r="B21" s="68"/>
      <c r="C21" s="68"/>
      <c r="D21" s="68"/>
      <c r="E21" s="54">
        <v>774</v>
      </c>
      <c r="H21" t="s">
        <v>134</v>
      </c>
      <c r="I21">
        <f>I20/0.7</f>
        <v>18392.83328668719</v>
      </c>
    </row>
    <row r="22" spans="1:14" ht="16.5" customHeight="1">
      <c r="A22" s="67" t="s">
        <v>82</v>
      </c>
      <c r="B22" s="68"/>
      <c r="C22" s="68"/>
      <c r="D22" s="68"/>
      <c r="E22" s="54">
        <v>2476.65</v>
      </c>
      <c r="H22" t="s">
        <v>137</v>
      </c>
    </row>
    <row r="23" spans="1:14" ht="16.5" customHeight="1">
      <c r="A23" s="67" t="s">
        <v>83</v>
      </c>
      <c r="B23" s="68"/>
      <c r="C23" s="68"/>
      <c r="D23" s="68"/>
      <c r="E23" s="113">
        <v>242711.7</v>
      </c>
      <c r="H23" t="s">
        <v>132</v>
      </c>
      <c r="I23">
        <f>I13/10719*370</f>
        <v>4406.7935441738964</v>
      </c>
    </row>
    <row r="24" spans="1:14" ht="0.75" customHeight="1">
      <c r="A24" s="69"/>
      <c r="B24" s="70"/>
      <c r="C24" s="70"/>
      <c r="D24" s="70"/>
      <c r="E24" s="118"/>
    </row>
    <row r="25" spans="1:14" ht="13.5" customHeight="1">
      <c r="A25" s="71"/>
      <c r="B25" s="72"/>
      <c r="C25" s="72"/>
      <c r="D25" s="72"/>
      <c r="E25" s="118">
        <f>E18+E19+E20+E21+E22+E23</f>
        <v>246212.47</v>
      </c>
    </row>
    <row r="26" spans="1:14" ht="0.75" customHeight="1">
      <c r="A26" s="60"/>
      <c r="B26" s="77"/>
      <c r="C26" s="78"/>
      <c r="D26" s="78"/>
      <c r="E26" s="119"/>
    </row>
    <row r="27" spans="1:14" ht="1.5" customHeight="1">
      <c r="A27" s="79"/>
      <c r="B27" s="80"/>
      <c r="C27" s="80"/>
      <c r="D27" s="80"/>
      <c r="E27" s="120"/>
    </row>
    <row r="28" spans="1:14" ht="13.5" customHeight="1">
      <c r="A28" s="81" t="s">
        <v>127</v>
      </c>
      <c r="B28" s="82"/>
      <c r="C28" s="82"/>
      <c r="D28" s="82"/>
      <c r="E28" s="121">
        <f>E15+E25</f>
        <v>578917.22</v>
      </c>
      <c r="H28" t="s">
        <v>140</v>
      </c>
      <c r="K28" s="104">
        <f>E13+E22+E23</f>
        <v>247665</v>
      </c>
    </row>
    <row r="29" spans="1:14" ht="0.75" customHeight="1">
      <c r="A29" s="60"/>
      <c r="B29" s="60"/>
      <c r="C29" s="60"/>
      <c r="D29" s="60"/>
      <c r="E29" s="122"/>
      <c r="F29" s="60"/>
      <c r="G29" s="60"/>
    </row>
    <row r="30" spans="1:14" ht="18" customHeight="1">
      <c r="A30" s="60"/>
      <c r="B30" s="60"/>
      <c r="C30" s="83" t="s">
        <v>129</v>
      </c>
      <c r="D30" s="83"/>
      <c r="E30" s="123"/>
      <c r="F30" s="83"/>
      <c r="G30" s="60"/>
      <c r="H30" s="104" t="s">
        <v>144</v>
      </c>
      <c r="I30" s="105">
        <f>H11+'Fjernvarme og individuel varme'!G19+'Fjernvarme og individuel varme'!G20</f>
        <v>123615.42727368002</v>
      </c>
      <c r="M30" s="104">
        <f>E5</f>
        <v>12874.98</v>
      </c>
      <c r="N30" s="67" t="s">
        <v>68</v>
      </c>
    </row>
    <row r="31" spans="1:14" ht="11.25" customHeight="1">
      <c r="A31" s="60"/>
      <c r="B31" s="60"/>
      <c r="C31" s="60"/>
      <c r="D31" s="60"/>
      <c r="E31" s="122"/>
      <c r="F31" s="60"/>
      <c r="G31" s="60"/>
      <c r="M31" s="104">
        <f>E6</f>
        <v>312444</v>
      </c>
      <c r="N31" s="67" t="s">
        <v>69</v>
      </c>
    </row>
    <row r="32" spans="1:14" ht="11.25" customHeight="1">
      <c r="A32" s="60"/>
      <c r="B32" s="60"/>
      <c r="C32" s="60"/>
      <c r="D32" s="60"/>
      <c r="E32" s="122"/>
      <c r="F32" s="60"/>
      <c r="G32" s="60"/>
      <c r="M32" s="104">
        <f>E8</f>
        <v>4406.79</v>
      </c>
      <c r="N32" s="67" t="s">
        <v>71</v>
      </c>
    </row>
    <row r="33" spans="1:14" ht="11.25" customHeight="1">
      <c r="A33" s="60"/>
      <c r="B33" s="60"/>
      <c r="C33" s="60"/>
      <c r="D33" s="60"/>
      <c r="E33" s="122"/>
      <c r="F33" s="60"/>
      <c r="G33" s="60"/>
      <c r="M33" s="104">
        <f>E10</f>
        <v>145.02000000000001</v>
      </c>
      <c r="N33" s="67" t="s">
        <v>73</v>
      </c>
    </row>
    <row r="34" spans="1:14" ht="11.25" customHeight="1">
      <c r="A34" s="60"/>
      <c r="B34" s="60"/>
      <c r="C34" s="60"/>
      <c r="D34" s="60"/>
      <c r="E34" s="122"/>
      <c r="F34" s="60"/>
      <c r="G34" s="60"/>
      <c r="H34" t="s">
        <v>145</v>
      </c>
      <c r="M34" s="104">
        <f>E13</f>
        <v>2476.65</v>
      </c>
      <c r="N34" s="67" t="s">
        <v>76</v>
      </c>
    </row>
    <row r="35" spans="1:14" ht="11.25" customHeight="1">
      <c r="A35" s="60"/>
      <c r="B35" s="60"/>
      <c r="C35" s="60"/>
      <c r="D35" s="60"/>
      <c r="E35" s="122"/>
      <c r="F35" s="60"/>
      <c r="G35" s="60"/>
      <c r="H35" s="104">
        <f>E5+E6+E7+E9+E8+E10+E18+E19+E20+E21</f>
        <v>331252.21999999997</v>
      </c>
      <c r="M35" s="104">
        <f>E18</f>
        <v>250.12</v>
      </c>
      <c r="N35" s="67" t="s">
        <v>78</v>
      </c>
    </row>
    <row r="36" spans="1:14" ht="11.25" customHeight="1">
      <c r="A36" s="60"/>
      <c r="B36" s="60"/>
      <c r="C36" s="60"/>
      <c r="D36" s="60"/>
      <c r="E36" s="122"/>
      <c r="F36" s="60"/>
      <c r="G36" s="60"/>
      <c r="M36" s="104">
        <f>E21</f>
        <v>774</v>
      </c>
      <c r="N36" s="67" t="s">
        <v>81</v>
      </c>
    </row>
    <row r="37" spans="1:14" ht="11.25" customHeight="1">
      <c r="A37" s="60"/>
      <c r="B37" s="60"/>
      <c r="C37" s="60"/>
      <c r="D37" s="60"/>
      <c r="E37" s="122"/>
      <c r="F37" s="60"/>
      <c r="G37" s="60"/>
      <c r="M37" s="104">
        <f>E22</f>
        <v>2476.65</v>
      </c>
      <c r="N37" s="67" t="s">
        <v>82</v>
      </c>
    </row>
    <row r="38" spans="1:14" ht="11.25" customHeight="1">
      <c r="A38" s="60"/>
      <c r="B38" s="60"/>
      <c r="C38" s="60"/>
      <c r="D38" s="60"/>
      <c r="E38" s="122"/>
      <c r="F38" s="60"/>
      <c r="G38" s="60"/>
      <c r="H38" t="s">
        <v>142</v>
      </c>
      <c r="K38" s="155">
        <f>'Fjernvarme og individuel varme'!B26-'Fjernvarme og individuel varme'!B22</f>
        <v>196581</v>
      </c>
      <c r="M38" s="104">
        <f>E23</f>
        <v>242711.7</v>
      </c>
      <c r="N38" s="67" t="s">
        <v>83</v>
      </c>
    </row>
    <row r="39" spans="1:14" ht="11.25" customHeight="1">
      <c r="A39" s="60"/>
      <c r="B39" s="60"/>
      <c r="C39" s="60"/>
      <c r="D39" s="60"/>
      <c r="E39" s="122"/>
      <c r="F39" s="60"/>
      <c r="G39" s="60"/>
      <c r="H39" t="s">
        <v>143</v>
      </c>
      <c r="K39" s="155">
        <f>I17+K38</f>
        <v>312444</v>
      </c>
    </row>
    <row r="40" spans="1:14" ht="200.25" customHeight="1">
      <c r="A40" s="60"/>
      <c r="B40" s="60"/>
      <c r="C40" s="60"/>
      <c r="D40" s="60"/>
      <c r="E40" s="122"/>
      <c r="F40" s="60"/>
      <c r="G40" s="60"/>
    </row>
    <row r="41" spans="1:14" ht="324" hidden="1" customHeight="1">
      <c r="A41" s="60"/>
      <c r="B41" s="60"/>
      <c r="C41" s="83"/>
      <c r="D41" s="83"/>
      <c r="E41" s="123"/>
      <c r="F41" s="60"/>
      <c r="G41" s="60"/>
    </row>
    <row r="42" spans="1:14" ht="18" customHeight="1">
      <c r="A42" s="60"/>
      <c r="B42" s="60"/>
      <c r="C42" s="83" t="s">
        <v>130</v>
      </c>
      <c r="D42" s="83"/>
      <c r="E42" s="123"/>
      <c r="G42" s="60"/>
      <c r="H42" s="98"/>
      <c r="I42" s="98"/>
    </row>
    <row r="43" spans="1:14" ht="39" customHeight="1">
      <c r="A43" s="60"/>
      <c r="B43" s="60"/>
      <c r="C43" s="60"/>
      <c r="D43" s="60"/>
      <c r="E43" s="122"/>
      <c r="G43" s="60"/>
    </row>
    <row r="44" spans="1:14" ht="13.5" customHeight="1">
      <c r="A44" s="61" t="s">
        <v>84</v>
      </c>
      <c r="B44" s="62"/>
      <c r="C44" s="84"/>
      <c r="D44" s="85" t="s">
        <v>85</v>
      </c>
      <c r="E44" s="124" t="s">
        <v>86</v>
      </c>
      <c r="F44" s="63" t="s">
        <v>87</v>
      </c>
      <c r="G44" s="84"/>
      <c r="H44" s="98"/>
      <c r="I44" s="98"/>
    </row>
    <row r="45" spans="1:14" ht="16.5" customHeight="1">
      <c r="A45" s="86" t="s">
        <v>29</v>
      </c>
      <c r="B45" s="87"/>
      <c r="C45" s="88"/>
      <c r="D45" s="89">
        <v>18512</v>
      </c>
      <c r="E45" s="51">
        <v>74.75</v>
      </c>
      <c r="F45" s="90">
        <v>0.15</v>
      </c>
      <c r="G45" s="88"/>
    </row>
    <row r="46" spans="1:14" ht="16.5" customHeight="1">
      <c r="A46" s="67" t="s">
        <v>28</v>
      </c>
      <c r="B46" s="68"/>
      <c r="C46" s="91"/>
      <c r="D46" s="89">
        <v>123615</v>
      </c>
      <c r="E46" s="53">
        <f>D46/H35*1000</f>
        <v>373.17485751491716</v>
      </c>
      <c r="F46" s="92"/>
      <c r="G46" s="91"/>
    </row>
    <row r="47" spans="1:14" ht="16.5" customHeight="1">
      <c r="A47" s="67" t="s">
        <v>88</v>
      </c>
      <c r="B47" s="68"/>
      <c r="C47" s="91"/>
      <c r="D47" s="93">
        <f>SUM(D45:D46)</f>
        <v>142127</v>
      </c>
      <c r="E47" s="53">
        <f>D47/E28*1000</f>
        <v>245.50487546388757</v>
      </c>
      <c r="F47" s="94"/>
      <c r="G47" s="91"/>
    </row>
    <row r="48" spans="1:14" s="98" customFormat="1" ht="18" customHeight="1">
      <c r="A48" s="95"/>
      <c r="B48" s="95"/>
      <c r="C48" s="96" t="s">
        <v>89</v>
      </c>
      <c r="D48" s="96"/>
      <c r="E48" s="96"/>
      <c r="F48" s="97"/>
      <c r="G48" s="95"/>
      <c r="H48"/>
      <c r="I48"/>
    </row>
    <row r="49" spans="1:9" ht="288" customHeight="1">
      <c r="A49" s="60"/>
      <c r="B49" s="60"/>
      <c r="C49" s="83"/>
      <c r="D49" s="83"/>
      <c r="E49" s="83"/>
      <c r="F49" s="60"/>
      <c r="G49" s="60"/>
    </row>
    <row r="50" spans="1:9" s="98" customFormat="1" ht="18" customHeight="1">
      <c r="A50" s="95"/>
      <c r="B50" s="95"/>
      <c r="C50" s="97" t="s">
        <v>146</v>
      </c>
      <c r="D50" s="97"/>
      <c r="E50" s="97"/>
      <c r="F50" s="95"/>
      <c r="G50" s="95"/>
      <c r="H50"/>
      <c r="I50"/>
    </row>
    <row r="51" spans="1:9">
      <c r="A51" s="60"/>
      <c r="B51" s="60"/>
      <c r="C51" s="60"/>
      <c r="D51" s="60"/>
      <c r="E51" s="60"/>
      <c r="F51" s="60"/>
      <c r="G51" s="60"/>
    </row>
    <row r="52" spans="1:9">
      <c r="A52" s="60"/>
      <c r="B52" s="60"/>
      <c r="C52" s="60"/>
      <c r="D52" s="60"/>
      <c r="E52" s="60"/>
      <c r="F52" s="60"/>
      <c r="G52" s="60"/>
    </row>
    <row r="53" spans="1:9">
      <c r="A53" s="60"/>
      <c r="B53" s="60"/>
      <c r="C53" s="60"/>
      <c r="D53" s="60"/>
      <c r="E53" s="60"/>
      <c r="F53" s="99"/>
      <c r="G53" s="60"/>
    </row>
    <row r="54" spans="1:9">
      <c r="A54" s="60"/>
      <c r="B54" s="60"/>
      <c r="C54" s="60"/>
      <c r="D54" s="60"/>
      <c r="E54" s="60"/>
      <c r="F54" s="99"/>
      <c r="G54" s="60"/>
    </row>
    <row r="55" spans="1:9">
      <c r="A55" s="99"/>
      <c r="B55" s="99"/>
      <c r="C55" s="99"/>
      <c r="D55" s="99"/>
      <c r="E55" s="99"/>
      <c r="F55" s="99"/>
      <c r="G55" s="99"/>
    </row>
    <row r="56" spans="1:9">
      <c r="A56" s="99"/>
      <c r="B56" s="99"/>
      <c r="C56" s="99"/>
      <c r="D56" s="99"/>
      <c r="E56" s="99"/>
      <c r="F56" s="99"/>
      <c r="G56" s="99"/>
    </row>
    <row r="57" spans="1:9">
      <c r="A57" s="99"/>
      <c r="B57" s="99"/>
      <c r="C57" s="99"/>
      <c r="D57" s="99"/>
      <c r="E57" s="99"/>
      <c r="F57" s="99"/>
      <c r="G57" s="99"/>
    </row>
    <row r="58" spans="1:9">
      <c r="A58" s="99"/>
      <c r="B58" s="99"/>
      <c r="C58" s="99"/>
      <c r="D58" s="99"/>
      <c r="E58" s="99"/>
      <c r="F58" s="99"/>
      <c r="G58" s="99"/>
    </row>
    <row r="59" spans="1:9">
      <c r="A59" s="99"/>
      <c r="B59" s="99"/>
      <c r="C59" s="99"/>
      <c r="D59" s="99"/>
      <c r="E59" s="99"/>
      <c r="F59" s="99"/>
      <c r="G59" s="99"/>
    </row>
    <row r="60" spans="1:9">
      <c r="A60" s="99"/>
      <c r="B60" s="99"/>
      <c r="C60" s="99"/>
      <c r="D60" s="99"/>
      <c r="E60" s="99"/>
      <c r="F60" s="99"/>
      <c r="G60" s="99"/>
    </row>
    <row r="61" spans="1:9">
      <c r="A61" s="99"/>
      <c r="B61" s="99"/>
      <c r="C61" s="99"/>
      <c r="D61" s="99"/>
      <c r="E61" s="99"/>
      <c r="F61" s="99"/>
      <c r="G61" s="99"/>
    </row>
    <row r="62" spans="1:9">
      <c r="A62" s="99"/>
      <c r="B62" s="99"/>
      <c r="C62" s="99"/>
      <c r="D62" s="99"/>
      <c r="E62" s="99"/>
      <c r="F62" s="99"/>
      <c r="G62" s="99"/>
    </row>
    <row r="63" spans="1:9">
      <c r="A63" s="99"/>
      <c r="B63" s="99"/>
      <c r="C63" s="99"/>
      <c r="D63" s="99"/>
      <c r="E63" s="99"/>
      <c r="F63" s="99"/>
      <c r="G63" s="99"/>
    </row>
    <row r="64" spans="1:9">
      <c r="A64" s="99"/>
      <c r="B64" s="99"/>
      <c r="C64" s="99"/>
      <c r="D64" s="99"/>
      <c r="E64" s="99"/>
      <c r="F64" s="99"/>
      <c r="G64" s="99"/>
    </row>
    <row r="65" spans="1:7">
      <c r="A65" s="99"/>
      <c r="B65" s="99"/>
      <c r="C65" s="99"/>
      <c r="D65" s="99"/>
      <c r="E65" s="99"/>
      <c r="F65" s="99"/>
      <c r="G65" s="99"/>
    </row>
    <row r="66" spans="1:7">
      <c r="A66" s="99"/>
      <c r="B66" s="99"/>
      <c r="C66" s="99"/>
      <c r="D66" s="99"/>
      <c r="E66" s="99"/>
      <c r="F66" s="99"/>
      <c r="G66" s="99"/>
    </row>
    <row r="67" spans="1:7">
      <c r="A67" s="99"/>
      <c r="B67" s="99"/>
      <c r="C67" s="99"/>
      <c r="D67" s="99"/>
      <c r="E67" s="99"/>
      <c r="F67" s="99"/>
      <c r="G67" s="99"/>
    </row>
    <row r="68" spans="1:7">
      <c r="A68" s="99"/>
      <c r="B68" s="99"/>
      <c r="C68" s="99"/>
      <c r="D68" s="99"/>
      <c r="E68" s="99"/>
      <c r="F68" s="99"/>
      <c r="G68" s="99"/>
    </row>
    <row r="69" spans="1:7">
      <c r="A69" s="99"/>
      <c r="B69" s="99"/>
      <c r="C69" s="99"/>
      <c r="D69" s="99"/>
      <c r="E69" s="99"/>
      <c r="F69" s="99"/>
      <c r="G69" s="99"/>
    </row>
    <row r="70" spans="1:7">
      <c r="A70" s="99"/>
      <c r="B70" s="99"/>
      <c r="C70" s="99"/>
      <c r="D70" s="99"/>
      <c r="E70" s="99"/>
      <c r="F70" s="99"/>
      <c r="G70" s="99"/>
    </row>
    <row r="71" spans="1:7">
      <c r="A71" s="99"/>
      <c r="B71" s="99"/>
      <c r="C71" s="99"/>
      <c r="D71" s="99"/>
      <c r="E71" s="99"/>
      <c r="F71" s="99"/>
      <c r="G71" s="99"/>
    </row>
    <row r="72" spans="1:7">
      <c r="A72" s="99"/>
      <c r="B72" s="99"/>
      <c r="C72" s="99"/>
      <c r="D72" s="99"/>
      <c r="E72" s="99"/>
      <c r="F72" s="99"/>
      <c r="G72" s="99"/>
    </row>
    <row r="73" spans="1:7">
      <c r="A73" s="99"/>
      <c r="B73" s="99"/>
      <c r="C73" s="99"/>
      <c r="D73" s="99"/>
      <c r="E73" s="99"/>
      <c r="F73" s="99"/>
      <c r="G73" s="99"/>
    </row>
    <row r="74" spans="1:7">
      <c r="A74" s="99"/>
      <c r="B74" s="99"/>
      <c r="C74" s="99"/>
      <c r="D74" s="99"/>
      <c r="E74" s="99"/>
      <c r="F74" s="99"/>
      <c r="G74" s="99"/>
    </row>
    <row r="75" spans="1:7">
      <c r="A75" s="99"/>
      <c r="B75" s="99"/>
      <c r="C75" s="99"/>
      <c r="D75" s="99"/>
      <c r="E75" s="99"/>
      <c r="F75" s="99"/>
      <c r="G75" s="99"/>
    </row>
    <row r="76" spans="1:7">
      <c r="A76" s="99"/>
      <c r="B76" s="99"/>
      <c r="C76" s="99"/>
      <c r="D76" s="99"/>
      <c r="E76" s="99"/>
      <c r="F76" s="99"/>
      <c r="G76" s="99"/>
    </row>
    <row r="77" spans="1:7">
      <c r="A77" s="99"/>
      <c r="B77" s="99"/>
      <c r="C77" s="99"/>
      <c r="D77" s="99"/>
      <c r="E77" s="99"/>
      <c r="F77" s="99"/>
      <c r="G77" s="99"/>
    </row>
    <row r="78" spans="1:7">
      <c r="A78" s="99"/>
      <c r="B78" s="99"/>
      <c r="C78" s="99"/>
      <c r="D78" s="99"/>
      <c r="E78" s="99"/>
      <c r="F78" s="99"/>
      <c r="G78" s="99"/>
    </row>
    <row r="79" spans="1:7">
      <c r="A79" s="99"/>
      <c r="B79" s="99"/>
      <c r="C79" s="99"/>
      <c r="D79" s="99"/>
      <c r="E79" s="99"/>
      <c r="F79" s="99"/>
      <c r="G79" s="99"/>
    </row>
    <row r="80" spans="1:7">
      <c r="A80" s="99"/>
      <c r="B80" s="99"/>
      <c r="C80" s="99"/>
      <c r="D80" s="99"/>
      <c r="E80" s="99"/>
      <c r="F80" s="99"/>
      <c r="G80" s="99"/>
    </row>
    <row r="81" spans="1:7">
      <c r="A81" s="99"/>
      <c r="B81" s="99"/>
      <c r="C81" s="99"/>
      <c r="D81" s="99"/>
      <c r="E81" s="99"/>
      <c r="F81" s="99"/>
      <c r="G81" s="99"/>
    </row>
    <row r="82" spans="1:7">
      <c r="A82" s="99"/>
      <c r="B82" s="99"/>
      <c r="C82" s="99"/>
      <c r="D82" s="99"/>
      <c r="E82" s="99"/>
      <c r="F82" s="99"/>
      <c r="G82" s="99"/>
    </row>
    <row r="83" spans="1:7">
      <c r="A83" s="99"/>
      <c r="B83" s="99"/>
      <c r="C83" s="99"/>
      <c r="D83" s="99"/>
      <c r="E83" s="99"/>
      <c r="F83" s="99"/>
      <c r="G83" s="99"/>
    </row>
    <row r="84" spans="1:7">
      <c r="A84" s="99"/>
      <c r="B84" s="99"/>
      <c r="C84" s="99"/>
      <c r="D84" s="99"/>
      <c r="E84" s="99"/>
      <c r="F84" s="99"/>
      <c r="G84" s="99"/>
    </row>
    <row r="85" spans="1:7">
      <c r="A85" s="99"/>
      <c r="B85" s="99"/>
      <c r="C85" s="99"/>
      <c r="D85" s="99"/>
      <c r="E85" s="99"/>
      <c r="F85" s="99"/>
      <c r="G85" s="99"/>
    </row>
    <row r="86" spans="1:7">
      <c r="A86" s="99"/>
      <c r="B86" s="99"/>
      <c r="C86" s="99"/>
      <c r="D86" s="99"/>
      <c r="E86" s="99"/>
      <c r="F86" s="99"/>
      <c r="G86" s="99"/>
    </row>
    <row r="87" spans="1:7">
      <c r="A87" s="99"/>
      <c r="B87" s="99"/>
      <c r="C87" s="99"/>
      <c r="D87" s="99"/>
      <c r="E87" s="99"/>
      <c r="F87" s="99"/>
      <c r="G87" s="99"/>
    </row>
    <row r="88" spans="1:7">
      <c r="A88" s="99"/>
      <c r="B88" s="99"/>
      <c r="C88" s="99"/>
      <c r="D88" s="99"/>
      <c r="E88" s="99"/>
      <c r="F88" s="99"/>
      <c r="G88" s="99"/>
    </row>
    <row r="89" spans="1:7">
      <c r="A89" s="99"/>
      <c r="B89" s="99"/>
      <c r="C89" s="99"/>
      <c r="D89" s="99"/>
      <c r="E89" s="99"/>
      <c r="F89" s="99"/>
      <c r="G89" s="99"/>
    </row>
    <row r="90" spans="1:7">
      <c r="A90" s="99"/>
      <c r="B90" s="99"/>
      <c r="C90" s="99"/>
      <c r="D90" s="99"/>
      <c r="E90" s="99"/>
      <c r="F90" s="99"/>
      <c r="G90" s="99"/>
    </row>
    <row r="91" spans="1:7">
      <c r="A91" s="99"/>
      <c r="B91" s="99"/>
      <c r="C91" s="99"/>
      <c r="D91" s="99"/>
      <c r="E91" s="99"/>
      <c r="F91" s="99"/>
      <c r="G91" s="99"/>
    </row>
    <row r="92" spans="1:7">
      <c r="A92" s="99"/>
      <c r="B92" s="99"/>
      <c r="C92" s="99"/>
      <c r="D92" s="99"/>
      <c r="E92" s="99"/>
      <c r="F92" s="99"/>
      <c r="G92" s="99"/>
    </row>
    <row r="93" spans="1:7">
      <c r="A93" s="99"/>
      <c r="B93" s="99"/>
      <c r="C93" s="99"/>
      <c r="D93" s="99"/>
      <c r="E93" s="99"/>
      <c r="F93" s="99"/>
      <c r="G93" s="99"/>
    </row>
    <row r="94" spans="1:7">
      <c r="A94" s="99"/>
      <c r="B94" s="99"/>
      <c r="C94" s="99"/>
      <c r="D94" s="99"/>
      <c r="E94" s="99"/>
      <c r="F94" s="99"/>
      <c r="G94" s="99"/>
    </row>
    <row r="95" spans="1:7">
      <c r="A95" s="99"/>
      <c r="B95" s="99"/>
      <c r="C95" s="99"/>
      <c r="D95" s="99"/>
      <c r="E95" s="99"/>
      <c r="F95" s="99"/>
      <c r="G95" s="99"/>
    </row>
    <row r="96" spans="1:7">
      <c r="A96" s="99"/>
      <c r="B96" s="99"/>
      <c r="C96" s="99"/>
      <c r="D96" s="99"/>
      <c r="E96" s="99"/>
      <c r="F96" s="99"/>
      <c r="G96" s="99"/>
    </row>
    <row r="97" spans="1:7">
      <c r="A97" s="99"/>
      <c r="B97" s="99"/>
      <c r="C97" s="99"/>
      <c r="D97" s="99"/>
      <c r="E97" s="99"/>
      <c r="F97" s="99"/>
      <c r="G97" s="99"/>
    </row>
    <row r="98" spans="1:7">
      <c r="A98" s="99"/>
      <c r="B98" s="99"/>
      <c r="C98" s="99"/>
      <c r="D98" s="99"/>
      <c r="E98" s="99"/>
      <c r="F98" s="99"/>
      <c r="G98" s="99"/>
    </row>
    <row r="99" spans="1:7">
      <c r="A99" s="99"/>
      <c r="B99" s="99"/>
      <c r="C99" s="99"/>
      <c r="D99" s="99"/>
      <c r="E99" s="99"/>
      <c r="F99" s="99"/>
      <c r="G99" s="99"/>
    </row>
    <row r="100" spans="1:7">
      <c r="A100" s="99"/>
      <c r="B100" s="99"/>
      <c r="C100" s="99"/>
      <c r="D100" s="99"/>
      <c r="E100" s="99"/>
      <c r="F100" s="99"/>
      <c r="G100" s="99"/>
    </row>
    <row r="101" spans="1:7">
      <c r="A101" s="99"/>
      <c r="B101" s="99"/>
      <c r="C101" s="99"/>
      <c r="D101" s="99"/>
      <c r="E101" s="99"/>
      <c r="F101" s="99"/>
      <c r="G101" s="99"/>
    </row>
    <row r="102" spans="1:7">
      <c r="A102" s="99"/>
      <c r="B102" s="99"/>
      <c r="C102" s="99"/>
      <c r="D102" s="99"/>
      <c r="E102" s="99"/>
      <c r="F102" s="99"/>
      <c r="G102" s="99"/>
    </row>
    <row r="103" spans="1:7">
      <c r="A103" s="99"/>
      <c r="B103" s="99"/>
      <c r="C103" s="99"/>
      <c r="D103" s="99"/>
      <c r="E103" s="99"/>
      <c r="F103" s="99"/>
      <c r="G103" s="99"/>
    </row>
    <row r="104" spans="1:7">
      <c r="A104" s="99"/>
      <c r="B104" s="99"/>
      <c r="C104" s="99"/>
      <c r="D104" s="99"/>
      <c r="E104" s="99"/>
      <c r="F104" s="99"/>
      <c r="G104" s="99"/>
    </row>
    <row r="105" spans="1:7">
      <c r="A105" s="99"/>
      <c r="B105" s="99"/>
      <c r="C105" s="99"/>
      <c r="D105" s="99"/>
      <c r="E105" s="99"/>
      <c r="F105" s="99"/>
      <c r="G105" s="99"/>
    </row>
    <row r="106" spans="1:7">
      <c r="A106" s="99"/>
      <c r="B106" s="99"/>
      <c r="C106" s="99"/>
      <c r="D106" s="99"/>
      <c r="E106" s="99"/>
      <c r="F106" s="99"/>
      <c r="G106" s="99"/>
    </row>
    <row r="107" spans="1:7">
      <c r="A107" s="99"/>
      <c r="B107" s="99"/>
      <c r="C107" s="99"/>
      <c r="D107" s="99"/>
      <c r="E107" s="99"/>
      <c r="F107" s="99"/>
      <c r="G107" s="99"/>
    </row>
    <row r="108" spans="1:7">
      <c r="A108" s="99"/>
      <c r="B108" s="99"/>
      <c r="C108" s="99"/>
      <c r="D108" s="99"/>
      <c r="E108" s="99"/>
      <c r="F108" s="99"/>
      <c r="G108" s="99"/>
    </row>
    <row r="109" spans="1:7">
      <c r="A109" s="99"/>
      <c r="B109" s="99"/>
      <c r="C109" s="99"/>
      <c r="D109" s="99"/>
      <c r="E109" s="99"/>
      <c r="F109" s="99"/>
      <c r="G109" s="99"/>
    </row>
    <row r="110" spans="1:7">
      <c r="A110" s="99"/>
      <c r="B110" s="99"/>
      <c r="C110" s="99"/>
      <c r="D110" s="99"/>
      <c r="E110" s="99"/>
      <c r="F110" s="99"/>
      <c r="G110" s="99"/>
    </row>
    <row r="111" spans="1:7">
      <c r="A111" s="99"/>
      <c r="B111" s="99"/>
      <c r="C111" s="99"/>
      <c r="D111" s="99"/>
      <c r="E111" s="99"/>
      <c r="F111" s="99"/>
      <c r="G111" s="99"/>
    </row>
    <row r="112" spans="1:7">
      <c r="A112" s="99"/>
      <c r="B112" s="99"/>
      <c r="C112" s="99"/>
      <c r="D112" s="99"/>
      <c r="E112" s="99"/>
      <c r="F112" s="99"/>
      <c r="G112" s="99"/>
    </row>
    <row r="113" spans="1:7">
      <c r="A113" s="99"/>
      <c r="B113" s="99"/>
      <c r="C113" s="99"/>
      <c r="D113" s="99"/>
      <c r="E113" s="99"/>
      <c r="F113" s="99"/>
      <c r="G113" s="99"/>
    </row>
    <row r="114" spans="1:7">
      <c r="A114" s="99"/>
      <c r="B114" s="99"/>
      <c r="C114" s="99"/>
      <c r="D114" s="99"/>
      <c r="E114" s="99"/>
      <c r="F114" s="99"/>
      <c r="G114" s="99"/>
    </row>
    <row r="115" spans="1:7">
      <c r="A115" s="99"/>
      <c r="B115" s="99"/>
      <c r="C115" s="99"/>
      <c r="D115" s="99"/>
      <c r="E115" s="99"/>
      <c r="F115" s="99"/>
      <c r="G115" s="99"/>
    </row>
    <row r="116" spans="1:7">
      <c r="A116" s="99"/>
      <c r="B116" s="99"/>
      <c r="C116" s="99"/>
      <c r="D116" s="99"/>
      <c r="E116" s="99"/>
      <c r="F116" s="99"/>
      <c r="G116" s="99"/>
    </row>
    <row r="117" spans="1:7">
      <c r="A117" s="99"/>
      <c r="B117" s="99"/>
      <c r="C117" s="99"/>
      <c r="D117" s="99"/>
      <c r="E117" s="99"/>
      <c r="F117" s="99"/>
      <c r="G117" s="99"/>
    </row>
    <row r="118" spans="1:7">
      <c r="A118" s="99"/>
      <c r="B118" s="99"/>
      <c r="C118" s="99"/>
      <c r="D118" s="99"/>
      <c r="E118" s="99"/>
      <c r="F118" s="99"/>
      <c r="G118" s="99"/>
    </row>
    <row r="119" spans="1:7">
      <c r="A119" s="99"/>
      <c r="B119" s="99"/>
      <c r="C119" s="99"/>
      <c r="D119" s="99"/>
      <c r="E119" s="99"/>
      <c r="F119" s="99"/>
      <c r="G119" s="99"/>
    </row>
    <row r="120" spans="1:7">
      <c r="A120" s="99"/>
      <c r="B120" s="99"/>
      <c r="C120" s="99"/>
      <c r="D120" s="99"/>
      <c r="E120" s="99"/>
      <c r="F120" s="99"/>
      <c r="G120" s="99"/>
    </row>
    <row r="121" spans="1:7">
      <c r="A121" s="99"/>
      <c r="B121" s="99"/>
      <c r="C121" s="99"/>
      <c r="D121" s="99"/>
      <c r="E121" s="99"/>
      <c r="F121" s="99"/>
      <c r="G121" s="99"/>
    </row>
    <row r="122" spans="1:7">
      <c r="A122" s="99"/>
      <c r="B122" s="99"/>
      <c r="C122" s="99"/>
      <c r="D122" s="99"/>
      <c r="E122" s="99"/>
      <c r="F122" s="99"/>
      <c r="G122" s="99"/>
    </row>
    <row r="123" spans="1:7">
      <c r="A123" s="99"/>
      <c r="B123" s="99"/>
      <c r="C123" s="99"/>
      <c r="D123" s="99"/>
      <c r="E123" s="99"/>
      <c r="F123" s="99"/>
      <c r="G123" s="99"/>
    </row>
    <row r="124" spans="1:7">
      <c r="A124" s="99"/>
      <c r="B124" s="99"/>
      <c r="C124" s="99"/>
      <c r="D124" s="99"/>
      <c r="E124" s="99"/>
      <c r="F124" s="99"/>
      <c r="G124" s="99"/>
    </row>
    <row r="125" spans="1:7">
      <c r="A125" s="99"/>
      <c r="B125" s="99"/>
      <c r="C125" s="99"/>
      <c r="D125" s="99"/>
      <c r="E125" s="99"/>
      <c r="F125" s="99"/>
      <c r="G125" s="99"/>
    </row>
    <row r="126" spans="1:7">
      <c r="A126" s="99"/>
      <c r="B126" s="99"/>
      <c r="C126" s="99"/>
      <c r="D126" s="99"/>
      <c r="E126" s="99"/>
      <c r="F126" s="99"/>
      <c r="G126" s="99"/>
    </row>
    <row r="127" spans="1:7">
      <c r="A127" s="99"/>
      <c r="B127" s="99"/>
      <c r="C127" s="99"/>
      <c r="D127" s="99"/>
      <c r="E127" s="99"/>
      <c r="F127" s="99"/>
      <c r="G127" s="99"/>
    </row>
    <row r="128" spans="1:7">
      <c r="A128" s="99"/>
      <c r="B128" s="99"/>
      <c r="C128" s="99"/>
      <c r="D128" s="99"/>
      <c r="E128" s="99"/>
      <c r="F128" s="99"/>
      <c r="G128" s="99"/>
    </row>
    <row r="129" spans="1:7">
      <c r="A129" s="99"/>
      <c r="B129" s="99"/>
      <c r="C129" s="99"/>
      <c r="D129" s="99"/>
      <c r="E129" s="99"/>
      <c r="G129" s="99"/>
    </row>
    <row r="130" spans="1:7">
      <c r="A130" s="99"/>
      <c r="B130" s="99"/>
      <c r="C130" s="99"/>
      <c r="D130" s="99"/>
      <c r="E130" s="99"/>
      <c r="G130" s="99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showGridLines="0" topLeftCell="A3" zoomScaleNormal="100" workbookViewId="0">
      <selection activeCell="G20" sqref="G20"/>
    </sheetView>
  </sheetViews>
  <sheetFormatPr defaultRowHeight="15"/>
  <cols>
    <col min="1" max="1" width="27" customWidth="1"/>
    <col min="2" max="2" width="18.85546875" customWidth="1"/>
    <col min="3" max="3" width="36" customWidth="1"/>
    <col min="4" max="4" width="3.5703125" customWidth="1"/>
    <col min="5" max="5" width="9.140625" customWidth="1"/>
    <col min="6" max="6" width="11.7109375" customWidth="1"/>
    <col min="7" max="7" width="19.85546875" customWidth="1"/>
    <col min="15" max="15" width="13.85546875" customWidth="1"/>
    <col min="16" max="16" width="10.7109375" customWidth="1"/>
  </cols>
  <sheetData>
    <row r="1" spans="1:21" ht="18" customHeight="1">
      <c r="A1" s="23"/>
      <c r="B1" s="23"/>
      <c r="C1" s="23"/>
    </row>
    <row r="2" spans="1:21" ht="30" customHeight="1">
      <c r="A2" s="167" t="s">
        <v>33</v>
      </c>
      <c r="B2" s="167"/>
      <c r="C2" s="167"/>
      <c r="D2" s="167"/>
      <c r="E2" s="167"/>
      <c r="F2" s="167"/>
    </row>
    <row r="3" spans="1:21" ht="13.5" customHeight="1">
      <c r="A3" s="6"/>
      <c r="B3" s="30" t="s">
        <v>34</v>
      </c>
      <c r="C3" s="31" t="s">
        <v>11</v>
      </c>
    </row>
    <row r="4" spans="1:21" ht="12.75" customHeight="1">
      <c r="A4" s="32" t="s">
        <v>35</v>
      </c>
      <c r="B4" s="33"/>
      <c r="C4" s="33"/>
    </row>
    <row r="5" spans="1:21" ht="16.5" customHeight="1">
      <c r="A5" s="22" t="s">
        <v>36</v>
      </c>
      <c r="B5" s="8"/>
      <c r="C5" s="34">
        <v>0</v>
      </c>
    </row>
    <row r="6" spans="1:21" ht="16.5" customHeight="1">
      <c r="A6" s="7" t="s">
        <v>37</v>
      </c>
      <c r="B6" s="8"/>
      <c r="C6" s="34">
        <v>9057.39</v>
      </c>
    </row>
    <row r="7" spans="1:21" ht="16.5" customHeight="1">
      <c r="A7" s="7" t="s">
        <v>38</v>
      </c>
      <c r="B7" s="8"/>
      <c r="C7" s="34">
        <v>211.86</v>
      </c>
    </row>
    <row r="8" spans="1:21" ht="16.5" customHeight="1">
      <c r="A8" s="7" t="s">
        <v>39</v>
      </c>
      <c r="B8" s="8"/>
      <c r="C8" s="34">
        <v>1.08</v>
      </c>
      <c r="O8" t="s">
        <v>118</v>
      </c>
      <c r="P8">
        <v>110</v>
      </c>
      <c r="Q8" t="s">
        <v>119</v>
      </c>
    </row>
    <row r="9" spans="1:21" ht="16.5" customHeight="1">
      <c r="A9" s="7" t="s">
        <v>40</v>
      </c>
      <c r="B9" s="8"/>
      <c r="C9" s="34">
        <v>2058.94</v>
      </c>
    </row>
    <row r="10" spans="1:21" ht="0.75" customHeight="1">
      <c r="A10" s="174"/>
      <c r="B10" s="174"/>
      <c r="C10" s="35"/>
    </row>
    <row r="11" spans="1:21" ht="13.5" customHeight="1">
      <c r="A11" s="175"/>
      <c r="B11" s="175"/>
      <c r="C11" s="36">
        <f>C5+C6+C7+C8+C9</f>
        <v>11329.27</v>
      </c>
    </row>
    <row r="12" spans="1:21" ht="0.75" customHeight="1">
      <c r="A12" s="171"/>
      <c r="B12" s="171"/>
      <c r="C12" s="37"/>
    </row>
    <row r="13" spans="1:21" ht="12.75" customHeight="1">
      <c r="A13" s="38" t="s">
        <v>41</v>
      </c>
      <c r="B13" s="39"/>
      <c r="C13" s="39"/>
      <c r="O13" t="s">
        <v>117</v>
      </c>
      <c r="P13" t="s">
        <v>34</v>
      </c>
    </row>
    <row r="14" spans="1:21" ht="16.5" customHeight="1">
      <c r="A14" s="7" t="s">
        <v>42</v>
      </c>
      <c r="B14" s="112">
        <v>207.9</v>
      </c>
      <c r="C14" s="156">
        <f>B14*1000000*130/1000000</f>
        <v>27027</v>
      </c>
      <c r="E14" t="s">
        <v>90</v>
      </c>
      <c r="F14" s="105">
        <f>C17+C20</f>
        <v>2353.6979999999999</v>
      </c>
      <c r="G14" t="s">
        <v>94</v>
      </c>
      <c r="O14" s="7" t="s">
        <v>42</v>
      </c>
      <c r="P14" s="112">
        <v>209.3</v>
      </c>
      <c r="Q14" s="143">
        <f>$P$14/$P$17*Q17</f>
        <v>206.68611644476889</v>
      </c>
      <c r="R14" s="143">
        <f t="shared" ref="R14:U14" si="0">$P$14/$P$17*R17</f>
        <v>203.26515067362774</v>
      </c>
      <c r="S14" s="143">
        <f t="shared" si="0"/>
        <v>203.5972832727677</v>
      </c>
      <c r="T14" s="143">
        <f t="shared" si="0"/>
        <v>204.59368107018744</v>
      </c>
      <c r="U14" s="143">
        <f t="shared" si="0"/>
        <v>207.90504308361236</v>
      </c>
    </row>
    <row r="15" spans="1:21" ht="16.5" customHeight="1">
      <c r="A15" s="7" t="s">
        <v>43</v>
      </c>
      <c r="B15" s="142">
        <v>52</v>
      </c>
      <c r="C15" s="156">
        <f>B15*1000000*165/1000000</f>
        <v>8580</v>
      </c>
      <c r="E15" t="s">
        <v>91</v>
      </c>
      <c r="F15" s="105">
        <f>C15+C16+1/3*C14+1/3*C22+C6+C7+C8</f>
        <v>45792.496666666666</v>
      </c>
      <c r="G15" t="s">
        <v>95</v>
      </c>
      <c r="O15" s="7" t="s">
        <v>43</v>
      </c>
      <c r="P15" s="142">
        <v>52.3</v>
      </c>
      <c r="Q15" s="143">
        <f>$P$15/$P$17*Q17</f>
        <v>51.646841328530392</v>
      </c>
      <c r="R15" s="143">
        <f t="shared" ref="R15:U15" si="1">$P$15/$P$17*R17</f>
        <v>50.792008505641327</v>
      </c>
      <c r="S15" s="143">
        <f t="shared" si="1"/>
        <v>50.87500198359173</v>
      </c>
      <c r="T15" s="143">
        <f t="shared" si="1"/>
        <v>51.123982417442917</v>
      </c>
      <c r="U15" s="143">
        <f t="shared" si="1"/>
        <v>51.951427392608338</v>
      </c>
    </row>
    <row r="16" spans="1:21" ht="16.5" customHeight="1">
      <c r="A16" s="7" t="s">
        <v>44</v>
      </c>
      <c r="B16" s="142">
        <v>30.8</v>
      </c>
      <c r="C16" s="156">
        <f>B16*1000000*600/1000000</f>
        <v>18480</v>
      </c>
      <c r="E16" t="s">
        <v>92</v>
      </c>
      <c r="F16" s="105">
        <f>2/3*C14+2/3*C22+C18+C19+C9</f>
        <v>21414.96333333333</v>
      </c>
      <c r="G16" t="s">
        <v>96</v>
      </c>
      <c r="O16" s="7" t="s">
        <v>44</v>
      </c>
      <c r="P16" s="142">
        <v>31</v>
      </c>
      <c r="Q16" s="144">
        <f>$P$16/$P$17*Q17</f>
        <v>30.612850500658549</v>
      </c>
      <c r="R16" s="144">
        <f t="shared" ref="R16:U16" si="2">$P$16/$P$17*R17</f>
        <v>30.106161829347634</v>
      </c>
      <c r="S16" s="144">
        <f t="shared" si="2"/>
        <v>30.15535490423219</v>
      </c>
      <c r="T16" s="144">
        <f t="shared" si="2"/>
        <v>30.302934128885859</v>
      </c>
      <c r="U16" s="144">
        <f t="shared" si="2"/>
        <v>30.793389085484865</v>
      </c>
    </row>
    <row r="17" spans="1:21" ht="16.5" customHeight="1">
      <c r="A17" s="7" t="s">
        <v>45</v>
      </c>
      <c r="B17" s="28"/>
      <c r="C17" s="156">
        <v>1956</v>
      </c>
      <c r="F17" s="105">
        <f>F14+F15+F16</f>
        <v>69561.157999999996</v>
      </c>
      <c r="P17">
        <f>SUM(P14:P16)</f>
        <v>292.60000000000002</v>
      </c>
      <c r="Q17" s="143">
        <f>$P$17/$P$26*Q26</f>
        <v>288.94580827395782</v>
      </c>
      <c r="R17" s="143">
        <f>$P$17/$P$26*R26</f>
        <v>284.16332100861672</v>
      </c>
      <c r="S17" s="143">
        <f>$P$17/$P$26*S26</f>
        <v>284.62764016059162</v>
      </c>
      <c r="T17" s="143">
        <f>$P$17/$P$26*T26</f>
        <v>286.02059761651623</v>
      </c>
      <c r="U17" s="143">
        <f>$P$17/$P$26*U26</f>
        <v>290.64985956170557</v>
      </c>
    </row>
    <row r="18" spans="1:21" ht="16.5" customHeight="1">
      <c r="A18" s="7" t="s">
        <v>46</v>
      </c>
      <c r="B18" s="112">
        <v>2.96</v>
      </c>
      <c r="C18" s="156">
        <f>B18*1000000*43/1000000</f>
        <v>127.28</v>
      </c>
      <c r="P18" s="143"/>
    </row>
    <row r="19" spans="1:21" ht="16.5" customHeight="1">
      <c r="A19" s="7" t="s">
        <v>47</v>
      </c>
      <c r="B19" s="112">
        <v>4.17</v>
      </c>
      <c r="C19" s="156">
        <f>B19*1000000*73/1000000</f>
        <v>304.41000000000003</v>
      </c>
      <c r="O19" s="139" t="s">
        <v>46</v>
      </c>
      <c r="P19" s="28">
        <v>2.98</v>
      </c>
      <c r="Q19" s="104">
        <f>$P$19/$P$17*Q17</f>
        <v>2.9427836932891123</v>
      </c>
      <c r="R19" s="104">
        <f t="shared" ref="R19:U19" si="3">$P$19/$P$17*R17</f>
        <v>2.8940762016598693</v>
      </c>
      <c r="S19" s="104">
        <f t="shared" si="3"/>
        <v>2.8988050843423205</v>
      </c>
      <c r="T19" s="104">
        <f t="shared" si="3"/>
        <v>2.9129917323896728</v>
      </c>
      <c r="U19" s="104">
        <f t="shared" si="3"/>
        <v>2.9601386927337066</v>
      </c>
    </row>
    <row r="20" spans="1:21" ht="16.5" customHeight="1">
      <c r="A20" s="7" t="s">
        <v>48</v>
      </c>
      <c r="B20" s="8"/>
      <c r="C20" s="34">
        <f>1114*357/1000</f>
        <v>397.69799999999998</v>
      </c>
      <c r="O20" s="139" t="s">
        <v>47</v>
      </c>
      <c r="P20" s="28">
        <v>4.2</v>
      </c>
      <c r="Q20" s="104">
        <f>$P$20/$P$17*Q17</f>
        <v>4.1475474871859976</v>
      </c>
      <c r="R20" s="104">
        <f t="shared" ref="R20:U20" si="4">$P$20/$P$17*R17</f>
        <v>4.0788993446212931</v>
      </c>
      <c r="S20" s="104">
        <f t="shared" si="4"/>
        <v>4.0855642128314589</v>
      </c>
      <c r="T20" s="104">
        <f t="shared" si="4"/>
        <v>4.1055588174619553</v>
      </c>
      <c r="U20" s="104">
        <f t="shared" si="4"/>
        <v>4.1720075535173047</v>
      </c>
    </row>
    <row r="21" spans="1:21" ht="16.5" customHeight="1">
      <c r="A21" s="7" t="s">
        <v>49</v>
      </c>
      <c r="B21" s="8"/>
      <c r="C21" s="34">
        <v>0</v>
      </c>
      <c r="P21" s="8">
        <v>302.88000000000005</v>
      </c>
    </row>
    <row r="22" spans="1:21" ht="16.5" customHeight="1">
      <c r="A22" s="7" t="s">
        <v>147</v>
      </c>
      <c r="B22" s="8"/>
      <c r="C22" s="34">
        <v>1359.5</v>
      </c>
      <c r="P22">
        <v>2008</v>
      </c>
      <c r="Q22">
        <v>2009</v>
      </c>
      <c r="R22">
        <v>2010</v>
      </c>
      <c r="S22">
        <v>2011</v>
      </c>
      <c r="T22">
        <v>2012</v>
      </c>
      <c r="U22">
        <v>2013</v>
      </c>
    </row>
    <row r="23" spans="1:21" ht="0.75" customHeight="1">
      <c r="A23" s="174"/>
      <c r="B23" s="174"/>
      <c r="C23" s="35"/>
      <c r="O23" t="s">
        <v>120</v>
      </c>
      <c r="P23">
        <v>41322</v>
      </c>
      <c r="Q23">
        <v>40572</v>
      </c>
      <c r="R23">
        <v>40600</v>
      </c>
      <c r="S23">
        <v>40500</v>
      </c>
      <c r="T23">
        <v>40600</v>
      </c>
      <c r="U23">
        <v>40582</v>
      </c>
    </row>
    <row r="24" spans="1:21" ht="13.5" customHeight="1">
      <c r="A24" s="175"/>
      <c r="B24" s="175"/>
      <c r="C24" s="36">
        <f>C14+C15+C16+C17+C18+C19+C20+C21+C22</f>
        <v>58231.887999999999</v>
      </c>
      <c r="O24" t="s">
        <v>121</v>
      </c>
      <c r="P24">
        <v>21695</v>
      </c>
      <c r="Q24">
        <v>21658</v>
      </c>
      <c r="R24">
        <v>20600</v>
      </c>
      <c r="S24">
        <v>20800</v>
      </c>
      <c r="T24">
        <v>21000</v>
      </c>
      <c r="U24">
        <v>22015</v>
      </c>
    </row>
    <row r="25" spans="1:21" ht="0.75" customHeight="1">
      <c r="A25" s="171"/>
      <c r="B25" s="171"/>
      <c r="C25" s="40"/>
    </row>
    <row r="26" spans="1:21" ht="1.5" customHeight="1">
      <c r="A26" s="9"/>
      <c r="B26" s="41"/>
      <c r="C26" s="42">
        <f>C11+C24</f>
        <v>69561.157999999996</v>
      </c>
      <c r="P26">
        <f>SUM(P23:P25)</f>
        <v>63017</v>
      </c>
      <c r="Q26">
        <f t="shared" ref="Q26:U26" si="5">SUM(Q23:Q25)</f>
        <v>62230</v>
      </c>
      <c r="R26">
        <f t="shared" si="5"/>
        <v>61200</v>
      </c>
      <c r="S26">
        <f t="shared" si="5"/>
        <v>61300</v>
      </c>
      <c r="T26">
        <f t="shared" si="5"/>
        <v>61600</v>
      </c>
      <c r="U26">
        <f t="shared" si="5"/>
        <v>62597</v>
      </c>
    </row>
    <row r="27" spans="1:21" ht="13.5" customHeight="1">
      <c r="A27" s="43" t="s">
        <v>50</v>
      </c>
      <c r="B27" s="43"/>
      <c r="C27" s="44">
        <f>C11+C24</f>
        <v>69561.157999999996</v>
      </c>
      <c r="Q27">
        <f t="shared" ref="Q27:U27" si="6">SUM(Q24:Q26)</f>
        <v>83888</v>
      </c>
      <c r="R27">
        <f t="shared" si="6"/>
        <v>81800</v>
      </c>
      <c r="S27">
        <f t="shared" si="6"/>
        <v>82100</v>
      </c>
      <c r="T27">
        <f t="shared" si="6"/>
        <v>82600</v>
      </c>
      <c r="U27">
        <f t="shared" si="6"/>
        <v>84612</v>
      </c>
    </row>
    <row r="28" spans="1:21" ht="18" customHeight="1">
      <c r="A28" s="172" t="s">
        <v>51</v>
      </c>
      <c r="B28" s="172"/>
      <c r="C28" s="172"/>
      <c r="F28" s="34">
        <f>C6</f>
        <v>9057.39</v>
      </c>
      <c r="G28" s="125" t="s">
        <v>37</v>
      </c>
      <c r="Q28">
        <f t="shared" ref="Q28:U28" si="7">SUM(Q25:Q27)</f>
        <v>146118</v>
      </c>
      <c r="R28">
        <f t="shared" si="7"/>
        <v>143000</v>
      </c>
      <c r="S28">
        <f t="shared" si="7"/>
        <v>143400</v>
      </c>
      <c r="T28">
        <f t="shared" si="7"/>
        <v>144200</v>
      </c>
      <c r="U28">
        <f t="shared" si="7"/>
        <v>147209</v>
      </c>
    </row>
    <row r="29" spans="1:21" ht="18" customHeight="1">
      <c r="A29" s="102"/>
      <c r="B29" s="102"/>
      <c r="C29" s="102"/>
      <c r="F29" s="34">
        <f>C7</f>
        <v>211.86</v>
      </c>
      <c r="G29" s="125" t="s">
        <v>38</v>
      </c>
    </row>
    <row r="30" spans="1:21" ht="18" customHeight="1">
      <c r="A30" s="102"/>
      <c r="B30" s="102"/>
      <c r="C30" s="102"/>
      <c r="F30" s="34">
        <f>C8</f>
        <v>1.08</v>
      </c>
      <c r="G30" s="125" t="s">
        <v>39</v>
      </c>
    </row>
    <row r="31" spans="1:21" ht="18" customHeight="1">
      <c r="A31" s="102"/>
      <c r="B31" s="102"/>
      <c r="C31" s="102"/>
      <c r="F31" s="34">
        <f>C9</f>
        <v>2058.94</v>
      </c>
      <c r="G31" s="125" t="s">
        <v>40</v>
      </c>
    </row>
    <row r="32" spans="1:21" ht="18" customHeight="1">
      <c r="A32" s="102"/>
      <c r="B32" s="102"/>
      <c r="C32" s="102"/>
      <c r="F32" s="34">
        <f t="shared" ref="F32:F38" si="8">C14</f>
        <v>27027</v>
      </c>
      <c r="G32" s="125" t="s">
        <v>42</v>
      </c>
    </row>
    <row r="33" spans="1:7" ht="18" customHeight="1">
      <c r="A33" s="102"/>
      <c r="B33" s="102"/>
      <c r="C33" s="102"/>
      <c r="F33" s="34">
        <f t="shared" si="8"/>
        <v>8580</v>
      </c>
      <c r="G33" s="125" t="s">
        <v>43</v>
      </c>
    </row>
    <row r="34" spans="1:7" ht="18" customHeight="1">
      <c r="A34" s="102"/>
      <c r="B34" s="102"/>
      <c r="C34" s="102"/>
      <c r="F34" s="34">
        <f t="shared" si="8"/>
        <v>18480</v>
      </c>
      <c r="G34" s="125" t="s">
        <v>44</v>
      </c>
    </row>
    <row r="35" spans="1:7" ht="18" customHeight="1">
      <c r="A35" s="102"/>
      <c r="B35" s="102"/>
      <c r="C35" s="102"/>
      <c r="F35" s="34">
        <f t="shared" si="8"/>
        <v>1956</v>
      </c>
      <c r="G35" s="125" t="s">
        <v>45</v>
      </c>
    </row>
    <row r="36" spans="1:7" ht="18" customHeight="1">
      <c r="A36" s="102"/>
      <c r="B36" s="102"/>
      <c r="C36" s="102"/>
      <c r="F36" s="34">
        <f t="shared" si="8"/>
        <v>127.28</v>
      </c>
      <c r="G36" s="125" t="s">
        <v>46</v>
      </c>
    </row>
    <row r="37" spans="1:7" ht="18" customHeight="1">
      <c r="A37" s="102"/>
      <c r="B37" s="102"/>
      <c r="C37" s="102"/>
      <c r="F37" s="34">
        <f t="shared" si="8"/>
        <v>304.41000000000003</v>
      </c>
      <c r="G37" s="125" t="s">
        <v>47</v>
      </c>
    </row>
    <row r="38" spans="1:7" ht="18" customHeight="1">
      <c r="A38" s="102"/>
      <c r="B38" s="102"/>
      <c r="C38" s="102"/>
      <c r="F38" s="34">
        <f t="shared" si="8"/>
        <v>397.69799999999998</v>
      </c>
      <c r="G38" s="125" t="s">
        <v>48</v>
      </c>
    </row>
    <row r="39" spans="1:7" ht="18" customHeight="1">
      <c r="A39" s="102"/>
      <c r="B39" s="102"/>
      <c r="C39" s="102"/>
      <c r="F39" s="34">
        <f>C22</f>
        <v>1359.5</v>
      </c>
      <c r="G39" s="125" t="s">
        <v>147</v>
      </c>
    </row>
    <row r="40" spans="1:7" ht="6" customHeight="1">
      <c r="A40" s="102"/>
      <c r="B40" s="102"/>
      <c r="C40" s="102"/>
    </row>
    <row r="41" spans="1:7" ht="8.25" customHeight="1">
      <c r="A41" s="102"/>
      <c r="B41" s="102"/>
      <c r="C41" s="102"/>
    </row>
    <row r="42" spans="1:7" ht="5.25" customHeight="1">
      <c r="A42" s="102"/>
      <c r="B42" s="102"/>
      <c r="C42" s="102"/>
    </row>
    <row r="43" spans="1:7" ht="4.5" customHeight="1">
      <c r="A43" s="102"/>
      <c r="B43" s="102"/>
      <c r="C43" s="102"/>
    </row>
    <row r="44" spans="1:7" ht="6" customHeight="1"/>
    <row r="45" spans="1:7" ht="35.25" customHeight="1">
      <c r="B45" s="173"/>
      <c r="C45" s="173"/>
    </row>
    <row r="46" spans="1:7" ht="18" customHeight="1">
      <c r="A46" s="169"/>
      <c r="B46" s="169"/>
      <c r="C46" s="169"/>
    </row>
    <row r="47" spans="1:7" ht="52.5" customHeight="1"/>
    <row r="48" spans="1:7">
      <c r="A48" t="s">
        <v>52</v>
      </c>
    </row>
  </sheetData>
  <mergeCells count="10">
    <mergeCell ref="A25:B25"/>
    <mergeCell ref="A28:C28"/>
    <mergeCell ref="B45:C45"/>
    <mergeCell ref="A46:C46"/>
    <mergeCell ref="A2:F2"/>
    <mergeCell ref="A10:B10"/>
    <mergeCell ref="A11:B11"/>
    <mergeCell ref="A12:B12"/>
    <mergeCell ref="A23:B23"/>
    <mergeCell ref="A24:B24"/>
  </mergeCells>
  <pageMargins left="0.7" right="0.7" top="0.75" bottom="0.75" header="0.3" footer="0.3"/>
  <pageSetup paperSize="9" orientation="portrait" r:id="rId1"/>
  <ignoredErrors>
    <ignoredError sqref="P26:U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CO2 fordelt på sektorer</vt:lpstr>
      <vt:lpstr>CO2 fordeling 2012</vt:lpstr>
      <vt:lpstr>Elforbrug fordelt på forbrugere</vt:lpstr>
      <vt:lpstr>Fjernvarme og individuel varme</vt:lpstr>
      <vt:lpstr>Varmeforbrug fordelt</vt:lpstr>
      <vt:lpstr>Varmeproduktion</vt:lpstr>
      <vt:lpstr>Transport &amp; andre mobile kilder</vt:lpstr>
    </vt:vector>
  </TitlesOfParts>
  <Company>COWI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Lizzi Andersen</dc:creator>
  <cp:lastModifiedBy>Dan Kjærulff</cp:lastModifiedBy>
  <dcterms:created xsi:type="dcterms:W3CDTF">2012-07-05T14:37:14Z</dcterms:created>
  <dcterms:modified xsi:type="dcterms:W3CDTF">2014-06-10T06:30:57Z</dcterms:modified>
</cp:coreProperties>
</file>