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60" windowWidth="3540" windowHeight="3390" activeTab="3"/>
  </bookViews>
  <sheets>
    <sheet name="eludvikling" sheetId="1" r:id="rId1"/>
    <sheet name="energiforbrug" sheetId="2" r:id="rId2"/>
    <sheet name="CO2" sheetId="3" r:id="rId3"/>
    <sheet name="Rådata" sheetId="4" r:id="rId4"/>
  </sheets>
  <definedNames>
    <definedName name="_xlnm.Print_Area" localSheetId="2">'CO2'!$A$2:$G$62</definedName>
  </definedNames>
  <calcPr fullCalcOnLoad="1"/>
</workbook>
</file>

<file path=xl/sharedStrings.xml><?xml version="1.0" encoding="utf-8"?>
<sst xmlns="http://schemas.openxmlformats.org/spreadsheetml/2006/main" count="871" uniqueCount="350">
  <si>
    <t>Stenløse</t>
  </si>
  <si>
    <t>Ølstykke</t>
  </si>
  <si>
    <t>Kultur, borgerhus, spejder</t>
  </si>
  <si>
    <t>Diverse</t>
  </si>
  <si>
    <t>Integrerede institutioner</t>
  </si>
  <si>
    <t>Folkeskole</t>
  </si>
  <si>
    <t>Andre ejendomme, beredsskab, lager og lign</t>
  </si>
  <si>
    <t>Udlejningsbolig</t>
  </si>
  <si>
    <t>Pleje- og ældrebolig</t>
  </si>
  <si>
    <t>Byggelegeplads</t>
  </si>
  <si>
    <t>Børnehave</t>
  </si>
  <si>
    <t>Dagpleje</t>
  </si>
  <si>
    <t>Fritids- og ungdomsklub</t>
  </si>
  <si>
    <t>SFO</t>
  </si>
  <si>
    <t>Bibliotek</t>
  </si>
  <si>
    <t>Idræt- og svømmehal</t>
  </si>
  <si>
    <t>Administrationsbygning</t>
  </si>
  <si>
    <t>Vuggestue</t>
  </si>
  <si>
    <t>Driftsafdelingen</t>
  </si>
  <si>
    <t>Ældrecenter og lignende</t>
  </si>
  <si>
    <t>Ejendom</t>
  </si>
  <si>
    <t>Aktivitetshuset i Ledøje</t>
  </si>
  <si>
    <t>Balsmoseskolen</t>
  </si>
  <si>
    <t>Bavnehøj</t>
  </si>
  <si>
    <t>Beredskabscenteret</t>
  </si>
  <si>
    <t>Blomsterhaven</t>
  </si>
  <si>
    <t>Blåmejsen</t>
  </si>
  <si>
    <t>Boelholm</t>
  </si>
  <si>
    <t>Boesagerskolen</t>
  </si>
  <si>
    <t>Brøndsted</t>
  </si>
  <si>
    <t>Byggelegepladsen Egelund</t>
  </si>
  <si>
    <t>Bækholm</t>
  </si>
  <si>
    <t>Bækkegården Børneinstitution</t>
  </si>
  <si>
    <t>Bækkegårdsskolen</t>
  </si>
  <si>
    <t>Børnehaven Irishaven</t>
  </si>
  <si>
    <t>Børnehaven junglen,  Hvidehus</t>
  </si>
  <si>
    <t>Børnehaven Åkandehaven</t>
  </si>
  <si>
    <t>Børnehuset  Stangkær</t>
  </si>
  <si>
    <t>Børnehuset Jordbærvangen</t>
  </si>
  <si>
    <t>Børnehuset Junglen</t>
  </si>
  <si>
    <t>Børnehuset Kyllingekær</t>
  </si>
  <si>
    <t>Børnehuset Mariehønen</t>
  </si>
  <si>
    <t>Børnehuset Mælkebøtten</t>
  </si>
  <si>
    <t>Børnehuset Regnbuehytten</t>
  </si>
  <si>
    <t>Børnehuset Solsikken</t>
  </si>
  <si>
    <t>Dagplejen</t>
  </si>
  <si>
    <t>Degnebakken</t>
  </si>
  <si>
    <t>Elverhøj</t>
  </si>
  <si>
    <t>F.C. Springbrættet</t>
  </si>
  <si>
    <t>FDF huset i Smørum</t>
  </si>
  <si>
    <t>FDF-huset i Stenløse</t>
  </si>
  <si>
    <t>Fritidscenteret Sødalen</t>
  </si>
  <si>
    <t>Ganløse Bibliotek</t>
  </si>
  <si>
    <t>Ganløse Hallen</t>
  </si>
  <si>
    <t>Ganløse skole</t>
  </si>
  <si>
    <t>Genbrugspladsen, Ølstykke</t>
  </si>
  <si>
    <t>Græstedgård</t>
  </si>
  <si>
    <t>Hampeland Børnehave</t>
  </si>
  <si>
    <t>Hampelandskolen</t>
  </si>
  <si>
    <t>Havrevænget</t>
  </si>
  <si>
    <t>Hvidehøj</t>
  </si>
  <si>
    <t>Jørlunde Skole - 10 kl. center</t>
  </si>
  <si>
    <t>Jørlunde skole - Klublokaler</t>
  </si>
  <si>
    <t>Kapellet, Ølstykke</t>
  </si>
  <si>
    <t>Karmsten Børneinstitution</t>
  </si>
  <si>
    <t>Kildeholm Børnehave</t>
  </si>
  <si>
    <t>Kong Svend spejdere</t>
  </si>
  <si>
    <t>Kratkær 6</t>
  </si>
  <si>
    <t>Kulturhuset i Smørum (kultur og bibiliotek)</t>
  </si>
  <si>
    <t>Langebro, jobbroen</t>
  </si>
  <si>
    <t>Langekær Børnehave</t>
  </si>
  <si>
    <t>Langekær Vuggestue</t>
  </si>
  <si>
    <t>Ledøje-Smørum Idrætscenter</t>
  </si>
  <si>
    <t>Liselund</t>
  </si>
  <si>
    <t>Lærkeskolen</t>
  </si>
  <si>
    <t>Maglehøj Børnehave</t>
  </si>
  <si>
    <t>Maglehøjskolen</t>
  </si>
  <si>
    <t>Maglevad</t>
  </si>
  <si>
    <t>Margrethebakken Børneinstitution</t>
  </si>
  <si>
    <t>Marienlyst Børneinstition</t>
  </si>
  <si>
    <t>Materielgården, Stenløse</t>
  </si>
  <si>
    <t>Menighedsbørnehaven</t>
  </si>
  <si>
    <t>Møllehøjen</t>
  </si>
  <si>
    <t>Porsebakken Plejecenteret</t>
  </si>
  <si>
    <t>Regnbueskoven Naturbørnehave</t>
  </si>
  <si>
    <t>Rådhus, Smørum</t>
  </si>
  <si>
    <t>Rådhuset, Ølstykke</t>
  </si>
  <si>
    <t>Sandal</t>
  </si>
  <si>
    <t>Sandbjerg Gammel Skole</t>
  </si>
  <si>
    <t>Sandbjerghallen</t>
  </si>
  <si>
    <t>SFO Hampeland</t>
  </si>
  <si>
    <t>SFO Kildekær</t>
  </si>
  <si>
    <t>SFO Mosehuset</t>
  </si>
  <si>
    <t>Skenkelsø Mølle</t>
  </si>
  <si>
    <t>Slagslunde Skole</t>
  </si>
  <si>
    <t>Smørum Gamle Skole</t>
  </si>
  <si>
    <t>Spejderhytterne</t>
  </si>
  <si>
    <t>Stengårdens Byggelegeplads</t>
  </si>
  <si>
    <t>Stengårdsskolen</t>
  </si>
  <si>
    <t>Stenløsehallen</t>
  </si>
  <si>
    <t>Søagerskolen</t>
  </si>
  <si>
    <t>Tangbjerg Børnehave</t>
  </si>
  <si>
    <t>Toftehøjgård</t>
  </si>
  <si>
    <t>Toftehøjskolen</t>
  </si>
  <si>
    <t>Tofteparken 13</t>
  </si>
  <si>
    <t>Troldehøj Børnehave</t>
  </si>
  <si>
    <t>Tryllefløjten Børneinstitution</t>
  </si>
  <si>
    <t>Tungegård Skovbørnehave</t>
  </si>
  <si>
    <t>Ungdomsskolen</t>
  </si>
  <si>
    <t>Vandværket</t>
  </si>
  <si>
    <t>Veksø Kro</t>
  </si>
  <si>
    <t>Veksø Skole</t>
  </si>
  <si>
    <t>Vuggestuen Hindbærvangen</t>
  </si>
  <si>
    <t>Ølstykke Badmintonhal</t>
  </si>
  <si>
    <t>Ølstykke Bibliotek</t>
  </si>
  <si>
    <t>Ølstykke Hallen</t>
  </si>
  <si>
    <t>Ølstykke Stadion, Klubhuset</t>
  </si>
  <si>
    <t>Ølstykke Svømmehal</t>
  </si>
  <si>
    <t>Ølstykke Tennisklub</t>
  </si>
  <si>
    <t>Ørnebjerg Fritidscenter</t>
  </si>
  <si>
    <t>Adresse</t>
  </si>
  <si>
    <t>Ledøje Sdr. Gade 7</t>
  </si>
  <si>
    <t>Æblevangen 126</t>
  </si>
  <si>
    <t>Blomstervej 21</t>
  </si>
  <si>
    <t>Roskildevej 22 D</t>
  </si>
  <si>
    <t>Karmstensvej 1</t>
  </si>
  <si>
    <t>Blomstervej 25</t>
  </si>
  <si>
    <t>Blåmejsevej 1</t>
  </si>
  <si>
    <t>Boelholmvej 3</t>
  </si>
  <si>
    <t>Flodvej 89</t>
  </si>
  <si>
    <t>Slotsgyden 7</t>
  </si>
  <si>
    <t>Hassellunden 2 C</t>
  </si>
  <si>
    <t>Bækholmvej 29</t>
  </si>
  <si>
    <t>Bækkkegårds Plads 3</t>
  </si>
  <si>
    <t>Bækkegårds Plads 2</t>
  </si>
  <si>
    <t>Blomsterhaven 2</t>
  </si>
  <si>
    <t>Åkandehaven 42</t>
  </si>
  <si>
    <t>Flodvej 17</t>
  </si>
  <si>
    <t>Jordbærvangen 1</t>
  </si>
  <si>
    <t>Blomsterhaven 2-4</t>
  </si>
  <si>
    <t>Flodvej 83</t>
  </si>
  <si>
    <t>Flodvej 15</t>
  </si>
  <si>
    <t>Råbrovej 16</t>
  </si>
  <si>
    <t>Kongevænget 2</t>
  </si>
  <si>
    <t>Degnebakken 2</t>
  </si>
  <si>
    <t>Lillestræde 7</t>
  </si>
  <si>
    <t>Flodvej 62</t>
  </si>
  <si>
    <t>Hindbærvangen 220</t>
  </si>
  <si>
    <t>Åkandehaven 5</t>
  </si>
  <si>
    <t>Vestergade 5, Ganløse</t>
  </si>
  <si>
    <t>Bygaden 1, Ganløse</t>
  </si>
  <si>
    <t>Tranekærvej 6</t>
  </si>
  <si>
    <t>Udlejrevej 13 B</t>
  </si>
  <si>
    <t>Hampelandvej 9</t>
  </si>
  <si>
    <t>Hampelandvej 7A</t>
  </si>
  <si>
    <t>Degnebakken 7</t>
  </si>
  <si>
    <t>Lillestræde 5</t>
  </si>
  <si>
    <t>Roskildevej 22</t>
  </si>
  <si>
    <t>Roskildevej 22 A</t>
  </si>
  <si>
    <t>Mimosevej 7</t>
  </si>
  <si>
    <t>Visbyvej 9</t>
  </si>
  <si>
    <t>Smørumnedrevej 9</t>
  </si>
  <si>
    <t>Flodvej 68</t>
  </si>
  <si>
    <t>Langebrovej 6</t>
  </si>
  <si>
    <t>Vægten 30-32</t>
  </si>
  <si>
    <t>Vægten 31</t>
  </si>
  <si>
    <t>Strædet 1, Ganløse</t>
  </si>
  <si>
    <t>Præstegårdsvej 30</t>
  </si>
  <si>
    <t>Agervænget 38</t>
  </si>
  <si>
    <t>Skelbækvej 8 A</t>
  </si>
  <si>
    <t>Dam Holme 4</t>
  </si>
  <si>
    <t>Dronning Margrethes Vej 1</t>
  </si>
  <si>
    <t>Gl. Roskildevej 2 A</t>
  </si>
  <si>
    <t>Dam Holme 2 A</t>
  </si>
  <si>
    <t>Engholmvej 8</t>
  </si>
  <si>
    <t>Rytterbakken 2 A</t>
  </si>
  <si>
    <t>Nybøllevej 11</t>
  </si>
  <si>
    <t>Hede Enge 29</t>
  </si>
  <si>
    <t>Rådhustorvet 2</t>
  </si>
  <si>
    <t>Flodvej 77</t>
  </si>
  <si>
    <t>Rådhus Alle 1</t>
  </si>
  <si>
    <t>Toftholmvej 9</t>
  </si>
  <si>
    <t>Skolevej 10</t>
  </si>
  <si>
    <t>Ny Toftegårdsvej 9A-9 B</t>
  </si>
  <si>
    <t>Råbrovej 22</t>
  </si>
  <si>
    <t>Maglehøjvej 42</t>
  </si>
  <si>
    <t>Blomstervej 19, Slagslunde</t>
  </si>
  <si>
    <t>Smørum Bygade 35</t>
  </si>
  <si>
    <t>Udlejrevej 9</t>
  </si>
  <si>
    <t>Stengårds Plads 6</t>
  </si>
  <si>
    <t>Stengårds Plads 2</t>
  </si>
  <si>
    <t>Degnebakken 10</t>
  </si>
  <si>
    <t>Råbrovej 24 + 20</t>
  </si>
  <si>
    <t>Paukevej 3</t>
  </si>
  <si>
    <t>Gl. Roskildevej 1 A</t>
  </si>
  <si>
    <t>Ny Toftegårdsvej 4</t>
  </si>
  <si>
    <t>Tofteparken 15</t>
  </si>
  <si>
    <t>Bakkevej 7</t>
  </si>
  <si>
    <t>Hampelandvej 3</t>
  </si>
  <si>
    <t>Tungegårdsvej 3</t>
  </si>
  <si>
    <t>Hindbærvangen 224</t>
  </si>
  <si>
    <t>Svestrupvej 19</t>
  </si>
  <si>
    <t>Veksø Bygade 19</t>
  </si>
  <si>
    <t>Hindbærvangen 222</t>
  </si>
  <si>
    <t>Tranekærvej 2 (se under hallen)</t>
  </si>
  <si>
    <t>Østervej 1 A</t>
  </si>
  <si>
    <t>Tranekærvej 1</t>
  </si>
  <si>
    <t>Tranekærvej 3 (se under hallen)</t>
  </si>
  <si>
    <t>Tennisvej 6</t>
  </si>
  <si>
    <t>Irisvej 11</t>
  </si>
  <si>
    <t>Postnr.</t>
  </si>
  <si>
    <t>By</t>
  </si>
  <si>
    <t>Smørum</t>
  </si>
  <si>
    <t>Veksø Sjælland</t>
  </si>
  <si>
    <t>Ejendomsnr. BBR</t>
  </si>
  <si>
    <t>Materielgården</t>
  </si>
  <si>
    <t>Hassellunden 6-8</t>
  </si>
  <si>
    <t>Slagslunde</t>
  </si>
  <si>
    <t>lkv - eon</t>
  </si>
  <si>
    <t>Leveringsselskab</t>
  </si>
  <si>
    <t>HNG</t>
  </si>
  <si>
    <t>Q8</t>
  </si>
  <si>
    <t>Naturgas</t>
  </si>
  <si>
    <t>DN aktivitet</t>
  </si>
  <si>
    <t>Skoler</t>
  </si>
  <si>
    <t>Daginstitutioner</t>
  </si>
  <si>
    <t>Kulturfunktioner</t>
  </si>
  <si>
    <t>Tekniske anlæg</t>
  </si>
  <si>
    <t>Ældrepleje</t>
  </si>
  <si>
    <t>Olie</t>
  </si>
  <si>
    <t>Østergade 12</t>
  </si>
  <si>
    <t>Gl. Hovevej 8</t>
  </si>
  <si>
    <t>el</t>
  </si>
  <si>
    <t>DONG</t>
  </si>
  <si>
    <t>Gammeldamsgård 6</t>
  </si>
  <si>
    <t>Sundhedstjenesten Jørlunde Hus</t>
  </si>
  <si>
    <t>Hjemmeplejen</t>
  </si>
  <si>
    <t>Anvendelse DBD</t>
  </si>
  <si>
    <t>Stenløse Klubhus , stadion</t>
  </si>
  <si>
    <t>Ølstykke Renseanlæg</t>
  </si>
  <si>
    <t>Krogholmvej 6</t>
  </si>
  <si>
    <t>3650</t>
  </si>
  <si>
    <t>Genbrugsbutik</t>
  </si>
  <si>
    <t>Hassellunden 2A</t>
  </si>
  <si>
    <t>Stenløse Bibliotek</t>
  </si>
  <si>
    <t>Stenløse Center 23</t>
  </si>
  <si>
    <t>Stadionvej 14</t>
  </si>
  <si>
    <t>Rørsangervej 42</t>
  </si>
  <si>
    <t>Skatskærvej 6 X</t>
  </si>
  <si>
    <t>Renseanlæg</t>
  </si>
  <si>
    <t>Ved gadekæret</t>
  </si>
  <si>
    <t>Rådhus, Stenløse incl. Anneks</t>
  </si>
  <si>
    <t>Ledøje Sdr. gade 7</t>
  </si>
  <si>
    <t>Dam Holme 2A</t>
  </si>
  <si>
    <t>Fjernvarme MWh (aflæst) 2330 gd</t>
  </si>
  <si>
    <t>Fjernvarme MWh 2007 2198 gd</t>
  </si>
  <si>
    <t>Fjernvarme Gj (aflæst) 2330 gd</t>
  </si>
  <si>
    <t>Fjernvarme Gj 2007 2198 gd</t>
  </si>
  <si>
    <t>Fjernvarme Gj normalår 2906 gd</t>
  </si>
  <si>
    <t>Olie l 2007 2198 gd</t>
  </si>
  <si>
    <t>Olie l normalåret 2906 gd</t>
  </si>
  <si>
    <t>Tofteparken, aktivitetscenter</t>
  </si>
  <si>
    <t>Fjernvarme lkv Gj 2007 2198 gd</t>
  </si>
  <si>
    <t>Fjernvarme lkv Gj normalår 2906 gd</t>
  </si>
  <si>
    <t>Naturgas m3 2007 2198 gd</t>
  </si>
  <si>
    <t>Naturgas m3 normalår 2906 gd</t>
  </si>
  <si>
    <t>Naturgas MWh normalår 2906 gd</t>
  </si>
  <si>
    <t>lkv Fjernvarme MWh normalår 2906 gd</t>
  </si>
  <si>
    <t>Slagslunde Fjernvarme MWh normalår 2906 gd</t>
  </si>
  <si>
    <t>Smørum Fjernvarme MWh normalår 2906 gd</t>
  </si>
  <si>
    <t>Olie MWh normalåret 2906 gd</t>
  </si>
  <si>
    <t>Vølundsvej 2A(2B)</t>
  </si>
  <si>
    <t>Kirkepladsen 4</t>
  </si>
  <si>
    <t>Elvarme MWh normalår 2906 gd</t>
  </si>
  <si>
    <t>80 % Elvarme  MWh 2007 2198 gd</t>
  </si>
  <si>
    <t>Elforbrug kWh (aflæst)</t>
  </si>
  <si>
    <t>Areal</t>
  </si>
  <si>
    <t>13793</t>
  </si>
  <si>
    <t>11249</t>
  </si>
  <si>
    <t>11121</t>
  </si>
  <si>
    <t>Stengården</t>
  </si>
  <si>
    <t>12024</t>
  </si>
  <si>
    <t>Administrationsbygninger mv.</t>
  </si>
  <si>
    <t>Fritid- og ungdomsklubber</t>
  </si>
  <si>
    <t>Irishaven 276-278</t>
  </si>
  <si>
    <t>Administrationsbygninger</t>
  </si>
  <si>
    <t>Fritids- og ungdomsklubber</t>
  </si>
  <si>
    <t>Kulturinstitutioner</t>
  </si>
  <si>
    <t xml:space="preserve">Elforbrug </t>
  </si>
  <si>
    <t>Varmeforbrug</t>
  </si>
  <si>
    <t xml:space="preserve">Areal </t>
  </si>
  <si>
    <t>Co2-udledning</t>
  </si>
  <si>
    <t>Enhed</t>
  </si>
  <si>
    <t>T / år</t>
  </si>
  <si>
    <t xml:space="preserve">Obligatoriske aktiviteter i hht DN </t>
  </si>
  <si>
    <t>Sportsanlæg</t>
  </si>
  <si>
    <t xml:space="preserve">Sum </t>
  </si>
  <si>
    <t>MWh</t>
  </si>
  <si>
    <t xml:space="preserve">Co2 udledning varme T </t>
  </si>
  <si>
    <t xml:space="preserve">Co2 udledning elforbrug T </t>
  </si>
  <si>
    <t>opvarm-nings-middel</t>
  </si>
  <si>
    <t>Totale CO2 udledning T</t>
  </si>
  <si>
    <t>Elforbrug ex elvarme MWh</t>
  </si>
  <si>
    <t>2007 Varme-forbrug incl. Elvarme  i alt MWh</t>
  </si>
  <si>
    <t>Elforbrug ex varme</t>
  </si>
  <si>
    <r>
      <t>Energiforbrug og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udledning</t>
    </r>
  </si>
  <si>
    <t>Egedal Kommune 2007</t>
  </si>
  <si>
    <t>Antagelser i hht. Energistyrelsens statistik og DNs tekniske baggrundsrapport.</t>
  </si>
  <si>
    <t>Omregningsfaktorer</t>
  </si>
  <si>
    <t>1 m3 gas = 11 kWh</t>
  </si>
  <si>
    <t>1 l olie = 9,96 kWh</t>
  </si>
  <si>
    <t>T / MWh</t>
  </si>
  <si>
    <t>El øst</t>
  </si>
  <si>
    <t>Kg / kWh</t>
  </si>
  <si>
    <t>Kg / m3</t>
  </si>
  <si>
    <t>Fyringsolie</t>
  </si>
  <si>
    <t>Kg / l</t>
  </si>
  <si>
    <t>Fjernvarme</t>
  </si>
  <si>
    <t>Fjernvarme lkv</t>
  </si>
  <si>
    <t>Ledøje-Smørum</t>
  </si>
  <si>
    <t xml:space="preserve">Egedal Kommune 2007 </t>
  </si>
  <si>
    <t>Forbrugsudvikling - fordelt på de 3 oprindelige kommuner</t>
  </si>
  <si>
    <t>Udvikling i Elforbruget</t>
  </si>
  <si>
    <t xml:space="preserve">Energiforbrug </t>
  </si>
  <si>
    <t>CO2 - udledning Egedal Kommune</t>
  </si>
  <si>
    <t>Energiforbrug</t>
  </si>
  <si>
    <t>Egen anlægs- og bygningsdrift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</si>
  <si>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varmeforbrug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</si>
  <si>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elforbrug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</si>
  <si>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i alt</t>
    </r>
  </si>
  <si>
    <r>
      <t>m</t>
    </r>
    <r>
      <rPr>
        <b/>
        <vertAlign val="superscript"/>
        <sz val="10"/>
        <rFont val="Arial"/>
        <family val="2"/>
      </rPr>
      <t>2</t>
    </r>
  </si>
  <si>
    <r>
      <t>kWh / m</t>
    </r>
    <r>
      <rPr>
        <b/>
        <vertAlign val="superscript"/>
        <sz val="10"/>
        <rFont val="Arial"/>
        <family val="2"/>
      </rPr>
      <t>2</t>
    </r>
  </si>
  <si>
    <t>I alt Egedal (kWh/år)</t>
  </si>
  <si>
    <t xml:space="preserve">Obligatoriske i hht DN </t>
  </si>
  <si>
    <t xml:space="preserve">Varmeforbrug    </t>
  </si>
  <si>
    <t>ex elvarme</t>
  </si>
  <si>
    <t xml:space="preserve"> i alt</t>
  </si>
  <si>
    <t>Transport</t>
  </si>
  <si>
    <t>Kørsel</t>
  </si>
  <si>
    <t>Benzin</t>
  </si>
  <si>
    <t>Diesel</t>
  </si>
  <si>
    <t>Kørsel i kommunens biler</t>
  </si>
  <si>
    <t>C02 udledning</t>
  </si>
  <si>
    <t>Kørsel i egne biler</t>
  </si>
  <si>
    <t>Antal liter</t>
  </si>
  <si>
    <t>Ton</t>
  </si>
  <si>
    <t>Samlet CO2-udledning fra kørsel</t>
  </si>
  <si>
    <t>Sum bygninger</t>
  </si>
  <si>
    <t>Sum CO2 egen virksomhed</t>
  </si>
  <si>
    <t xml:space="preserve"> 905.161 km a 164 g/km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</si>
</sst>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0.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5.5"/>
      <name val="Arial"/>
      <family val="2"/>
    </font>
    <font>
      <b/>
      <sz val="8"/>
      <name val="Arial"/>
      <family val="0"/>
    </font>
    <font>
      <sz val="2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8.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medium"/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medium"/>
      <top style="thin">
        <color indexed="21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medium"/>
      <top style="thin">
        <color indexed="21"/>
      </top>
      <bottom style="thin">
        <color indexed="21"/>
      </bottom>
    </border>
    <border>
      <left style="medium"/>
      <right>
        <color indexed="63"/>
      </right>
      <top style="thin">
        <color indexed="21"/>
      </top>
      <bottom style="medium"/>
    </border>
    <border>
      <left>
        <color indexed="63"/>
      </left>
      <right>
        <color indexed="63"/>
      </right>
      <top style="thin">
        <color indexed="21"/>
      </top>
      <bottom style="medium"/>
    </border>
    <border>
      <left>
        <color indexed="63"/>
      </left>
      <right style="medium"/>
      <top style="thin">
        <color indexed="21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medium"/>
      <top>
        <color indexed="63"/>
      </top>
      <bottom style="thin">
        <color indexed="21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18" borderId="3" applyNumberFormat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17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Fill="1" applyBorder="1" applyAlignment="1">
      <alignment/>
    </xf>
    <xf numFmtId="3" fontId="28" fillId="24" borderId="0" xfId="0" applyNumberFormat="1" applyFont="1" applyFill="1" applyBorder="1" applyAlignment="1">
      <alignment/>
    </xf>
    <xf numFmtId="3" fontId="28" fillId="25" borderId="0" xfId="0" applyNumberFormat="1" applyFont="1" applyFill="1" applyBorder="1" applyAlignment="1">
      <alignment/>
    </xf>
    <xf numFmtId="3" fontId="28" fillId="24" borderId="13" xfId="0" applyNumberFormat="1" applyFont="1" applyFill="1" applyBorder="1" applyAlignment="1">
      <alignment/>
    </xf>
    <xf numFmtId="3" fontId="28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28" fillId="25" borderId="15" xfId="0" applyNumberFormat="1" applyFont="1" applyFill="1" applyBorder="1" applyAlignment="1">
      <alignment horizontal="left"/>
    </xf>
    <xf numFmtId="3" fontId="28" fillId="25" borderId="16" xfId="0" applyNumberFormat="1" applyFont="1" applyFill="1" applyBorder="1" applyAlignment="1">
      <alignment/>
    </xf>
    <xf numFmtId="3" fontId="28" fillId="24" borderId="15" xfId="0" applyNumberFormat="1" applyFont="1" applyFill="1" applyBorder="1" applyAlignment="1">
      <alignment horizontal="left"/>
    </xf>
    <xf numFmtId="3" fontId="28" fillId="24" borderId="16" xfId="0" applyNumberFormat="1" applyFont="1" applyFill="1" applyBorder="1" applyAlignment="1">
      <alignment/>
    </xf>
    <xf numFmtId="3" fontId="29" fillId="26" borderId="13" xfId="0" applyNumberFormat="1" applyFont="1" applyFill="1" applyBorder="1" applyAlignment="1">
      <alignment/>
    </xf>
    <xf numFmtId="3" fontId="29" fillId="26" borderId="14" xfId="0" applyNumberFormat="1" applyFont="1" applyFill="1" applyBorder="1" applyAlignment="1">
      <alignment/>
    </xf>
    <xf numFmtId="3" fontId="29" fillId="26" borderId="17" xfId="0" applyNumberFormat="1" applyFont="1" applyFill="1" applyBorder="1" applyAlignment="1">
      <alignment/>
    </xf>
    <xf numFmtId="3" fontId="29" fillId="26" borderId="18" xfId="0" applyNumberFormat="1" applyFont="1" applyFill="1" applyBorder="1" applyAlignment="1">
      <alignment horizontal="left"/>
    </xf>
    <xf numFmtId="3" fontId="29" fillId="26" borderId="19" xfId="0" applyNumberFormat="1" applyFont="1" applyFill="1" applyBorder="1" applyAlignment="1">
      <alignment/>
    </xf>
    <xf numFmtId="3" fontId="29" fillId="26" borderId="20" xfId="0" applyNumberFormat="1" applyFont="1" applyFill="1" applyBorder="1" applyAlignment="1">
      <alignment horizontal="left"/>
    </xf>
    <xf numFmtId="3" fontId="1" fillId="26" borderId="15" xfId="0" applyNumberFormat="1" applyFont="1" applyFill="1" applyBorder="1" applyAlignment="1">
      <alignment horizontal="left"/>
    </xf>
    <xf numFmtId="3" fontId="1" fillId="26" borderId="0" xfId="0" applyNumberFormat="1" applyFont="1" applyFill="1" applyBorder="1" applyAlignment="1">
      <alignment horizontal="center" wrapText="1"/>
    </xf>
    <xf numFmtId="3" fontId="1" fillId="26" borderId="16" xfId="0" applyNumberFormat="1" applyFont="1" applyFill="1" applyBorder="1" applyAlignment="1">
      <alignment horizontal="center" wrapText="1"/>
    </xf>
    <xf numFmtId="3" fontId="1" fillId="26" borderId="21" xfId="0" applyNumberFormat="1" applyFont="1" applyFill="1" applyBorder="1" applyAlignment="1">
      <alignment horizontal="left"/>
    </xf>
    <xf numFmtId="3" fontId="1" fillId="26" borderId="22" xfId="0" applyNumberFormat="1" applyFont="1" applyFill="1" applyBorder="1" applyAlignment="1">
      <alignment horizontal="center"/>
    </xf>
    <xf numFmtId="3" fontId="1" fillId="26" borderId="23" xfId="0" applyNumberFormat="1" applyFont="1" applyFill="1" applyBorder="1" applyAlignment="1">
      <alignment horizontal="center"/>
    </xf>
    <xf numFmtId="3" fontId="28" fillId="24" borderId="20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49" fontId="1" fillId="26" borderId="0" xfId="0" applyNumberFormat="1" applyFont="1" applyFill="1" applyBorder="1" applyAlignment="1" applyProtection="1">
      <alignment horizontal="center" wrapText="1"/>
      <protection locked="0"/>
    </xf>
    <xf numFmtId="3" fontId="28" fillId="27" borderId="0" xfId="0" applyNumberFormat="1" applyFont="1" applyFill="1" applyBorder="1" applyAlignment="1">
      <alignment/>
    </xf>
    <xf numFmtId="3" fontId="1" fillId="26" borderId="24" xfId="0" applyNumberFormat="1" applyFont="1" applyFill="1" applyBorder="1" applyAlignment="1" applyProtection="1">
      <alignment horizontal="left"/>
      <protection locked="0"/>
    </xf>
    <xf numFmtId="49" fontId="1" fillId="26" borderId="25" xfId="0" applyNumberFormat="1" applyFont="1" applyFill="1" applyBorder="1" applyAlignment="1" applyProtection="1">
      <alignment horizontal="center" wrapText="1"/>
      <protection locked="0"/>
    </xf>
    <xf numFmtId="3" fontId="28" fillId="25" borderId="24" xfId="0" applyNumberFormat="1" applyFont="1" applyFill="1" applyBorder="1" applyAlignment="1">
      <alignment horizontal="left"/>
    </xf>
    <xf numFmtId="3" fontId="28" fillId="25" borderId="25" xfId="0" applyNumberFormat="1" applyFont="1" applyFill="1" applyBorder="1" applyAlignment="1">
      <alignment/>
    </xf>
    <xf numFmtId="3" fontId="28" fillId="24" borderId="24" xfId="0" applyNumberFormat="1" applyFont="1" applyFill="1" applyBorder="1" applyAlignment="1">
      <alignment horizontal="left"/>
    </xf>
    <xf numFmtId="3" fontId="28" fillId="24" borderId="25" xfId="0" applyNumberFormat="1" applyFont="1" applyFill="1" applyBorder="1" applyAlignment="1">
      <alignment/>
    </xf>
    <xf numFmtId="3" fontId="28" fillId="27" borderId="24" xfId="0" applyNumberFormat="1" applyFont="1" applyFill="1" applyBorder="1" applyAlignment="1">
      <alignment horizontal="left"/>
    </xf>
    <xf numFmtId="3" fontId="28" fillId="27" borderId="25" xfId="0" applyNumberFormat="1" applyFont="1" applyFill="1" applyBorder="1" applyAlignment="1">
      <alignment/>
    </xf>
    <xf numFmtId="3" fontId="29" fillId="26" borderId="26" xfId="0" applyNumberFormat="1" applyFont="1" applyFill="1" applyBorder="1" applyAlignment="1">
      <alignment horizontal="left"/>
    </xf>
    <xf numFmtId="3" fontId="29" fillId="26" borderId="27" xfId="0" applyNumberFormat="1" applyFont="1" applyFill="1" applyBorder="1" applyAlignment="1">
      <alignment/>
    </xf>
    <xf numFmtId="3" fontId="29" fillId="26" borderId="28" xfId="0" applyNumberFormat="1" applyFont="1" applyFill="1" applyBorder="1" applyAlignment="1">
      <alignment/>
    </xf>
    <xf numFmtId="3" fontId="28" fillId="26" borderId="27" xfId="0" applyNumberFormat="1" applyFont="1" applyFill="1" applyBorder="1" applyAlignment="1">
      <alignment/>
    </xf>
    <xf numFmtId="3" fontId="28" fillId="26" borderId="28" xfId="0" applyNumberFormat="1" applyFont="1" applyFill="1" applyBorder="1" applyAlignment="1">
      <alignment/>
    </xf>
    <xf numFmtId="3" fontId="1" fillId="26" borderId="29" xfId="0" applyNumberFormat="1" applyFont="1" applyFill="1" applyBorder="1" applyAlignment="1">
      <alignment horizontal="left"/>
    </xf>
    <xf numFmtId="49" fontId="1" fillId="26" borderId="30" xfId="0" applyNumberFormat="1" applyFont="1" applyFill="1" applyBorder="1" applyAlignment="1">
      <alignment horizontal="center" wrapText="1"/>
    </xf>
    <xf numFmtId="49" fontId="1" fillId="26" borderId="31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23" fillId="0" borderId="0" xfId="0" applyFont="1" applyBorder="1" applyAlignment="1">
      <alignment vertical="top" wrapText="1"/>
    </xf>
    <xf numFmtId="177" fontId="24" fillId="0" borderId="0" xfId="0" applyNumberFormat="1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34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177" fontId="24" fillId="0" borderId="12" xfId="0" applyNumberFormat="1" applyFont="1" applyBorder="1" applyAlignment="1">
      <alignment vertical="top" wrapText="1"/>
    </xf>
    <xf numFmtId="177" fontId="24" fillId="0" borderId="32" xfId="0" applyNumberFormat="1" applyFont="1" applyBorder="1" applyAlignment="1">
      <alignment vertical="top" wrapText="1"/>
    </xf>
    <xf numFmtId="177" fontId="24" fillId="0" borderId="11" xfId="0" applyNumberFormat="1" applyFont="1" applyBorder="1" applyAlignment="1">
      <alignment vertical="top" wrapText="1"/>
    </xf>
    <xf numFmtId="3" fontId="0" fillId="17" borderId="38" xfId="0" applyNumberFormat="1" applyFill="1" applyBorder="1" applyAlignment="1">
      <alignment/>
    </xf>
    <xf numFmtId="0" fontId="0" fillId="4" borderId="39" xfId="0" applyFill="1" applyBorder="1" applyAlignment="1">
      <alignment/>
    </xf>
    <xf numFmtId="3" fontId="30" fillId="26" borderId="40" xfId="0" applyNumberFormat="1" applyFont="1" applyFill="1" applyBorder="1" applyAlignment="1">
      <alignment horizontal="left"/>
    </xf>
    <xf numFmtId="0" fontId="1" fillId="4" borderId="41" xfId="0" applyFont="1" applyFill="1" applyBorder="1" applyAlignment="1">
      <alignment/>
    </xf>
    <xf numFmtId="0" fontId="0" fillId="4" borderId="42" xfId="0" applyFill="1" applyBorder="1" applyAlignment="1">
      <alignment/>
    </xf>
    <xf numFmtId="0" fontId="0" fillId="17" borderId="43" xfId="0" applyFill="1" applyBorder="1" applyAlignment="1">
      <alignment/>
    </xf>
    <xf numFmtId="3" fontId="0" fillId="17" borderId="44" xfId="0" applyNumberFormat="1" applyFill="1" applyBorder="1" applyAlignment="1">
      <alignment/>
    </xf>
    <xf numFmtId="0" fontId="0" fillId="0" borderId="41" xfId="0" applyBorder="1" applyAlignment="1">
      <alignment/>
    </xf>
    <xf numFmtId="3" fontId="0" fillId="0" borderId="45" xfId="0" applyNumberFormat="1" applyBorder="1" applyAlignment="1">
      <alignment/>
    </xf>
    <xf numFmtId="0" fontId="0" fillId="4" borderId="46" xfId="0" applyFill="1" applyBorder="1" applyAlignment="1">
      <alignment/>
    </xf>
    <xf numFmtId="3" fontId="0" fillId="4" borderId="47" xfId="0" applyNumberFormat="1" applyFill="1" applyBorder="1" applyAlignment="1">
      <alignment/>
    </xf>
    <xf numFmtId="0" fontId="1" fillId="4" borderId="48" xfId="0" applyFont="1" applyFill="1" applyBorder="1" applyAlignment="1">
      <alignment/>
    </xf>
    <xf numFmtId="0" fontId="0" fillId="4" borderId="49" xfId="0" applyFill="1" applyBorder="1" applyAlignment="1">
      <alignment/>
    </xf>
    <xf numFmtId="3" fontId="1" fillId="4" borderId="50" xfId="0" applyNumberFormat="1" applyFont="1" applyFill="1" applyBorder="1" applyAlignment="1">
      <alignment/>
    </xf>
    <xf numFmtId="0" fontId="1" fillId="4" borderId="36" xfId="0" applyFont="1" applyFill="1" applyBorder="1" applyAlignment="1">
      <alignment/>
    </xf>
    <xf numFmtId="3" fontId="1" fillId="26" borderId="51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" fillId="4" borderId="52" xfId="0" applyFont="1" applyFill="1" applyBorder="1" applyAlignment="1">
      <alignment/>
    </xf>
    <xf numFmtId="0" fontId="1" fillId="4" borderId="53" xfId="0" applyFont="1" applyFill="1" applyBorder="1" applyAlignment="1">
      <alignment/>
    </xf>
    <xf numFmtId="3" fontId="28" fillId="24" borderId="15" xfId="0" applyNumberFormat="1" applyFont="1" applyFill="1" applyBorder="1" applyAlignment="1">
      <alignment horizontal="left"/>
    </xf>
    <xf numFmtId="3" fontId="30" fillId="26" borderId="54" xfId="0" applyNumberFormat="1" applyFont="1" applyFill="1" applyBorder="1" applyAlignment="1">
      <alignment horizontal="left"/>
    </xf>
    <xf numFmtId="3" fontId="30" fillId="26" borderId="55" xfId="0" applyNumberFormat="1" applyFont="1" applyFill="1" applyBorder="1" applyAlignment="1">
      <alignment horizontal="center"/>
    </xf>
    <xf numFmtId="3" fontId="30" fillId="26" borderId="56" xfId="0" applyNumberFormat="1" applyFont="1" applyFill="1" applyBorder="1" applyAlignment="1">
      <alignment horizontal="center"/>
    </xf>
    <xf numFmtId="3" fontId="1" fillId="26" borderId="57" xfId="0" applyNumberFormat="1" applyFont="1" applyFill="1" applyBorder="1" applyAlignment="1">
      <alignment horizontal="left"/>
    </xf>
    <xf numFmtId="3" fontId="1" fillId="26" borderId="58" xfId="0" applyNumberFormat="1" applyFont="1" applyFill="1" applyBorder="1" applyAlignment="1">
      <alignment horizontal="center"/>
    </xf>
    <xf numFmtId="3" fontId="1" fillId="26" borderId="5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2"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70C0"/>
      </font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Egedal Kommune (egne driftsområder)
Udvikling i elforbruget 
</a:t>
            </a:r>
            <a:r>
              <a:rPr lang="en-US" cap="none" sz="550" b="0" i="0" u="none" baseline="0">
                <a:latin typeface="Arial"/>
                <a:ea typeface="Arial"/>
                <a:cs typeface="Arial"/>
              </a:rPr>
              <a:t>Totalforbrug incl. Vejbelysning, pumpeanlæg, udlejningsbyggeri mv.</a:t>
            </a:r>
          </a:p>
        </c:rich>
      </c:tx>
      <c:layout>
        <c:manualLayout>
          <c:xMode val="factor"/>
          <c:yMode val="factor"/>
          <c:x val="0.0097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575"/>
          <c:y val="0.183"/>
          <c:w val="0.7785"/>
          <c:h val="0.78575"/>
        </c:manualLayout>
      </c:layout>
      <c:bar3DChart>
        <c:barDir val="col"/>
        <c:grouping val="clustered"/>
        <c:varyColors val="0"/>
        <c:ser>
          <c:idx val="0"/>
          <c:order val="0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eludvikling!$C$11</c:f>
              <c:numCache/>
            </c:numRef>
          </c:val>
          <c:shape val="box"/>
        </c:ser>
        <c:ser>
          <c:idx val="1"/>
          <c:order val="1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eludvikling!$D$11</c:f>
              <c:numCache/>
            </c:numRef>
          </c:val>
          <c:shape val="box"/>
        </c:ser>
        <c:ser>
          <c:idx val="2"/>
          <c:order val="2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eludvikling!$E$11</c:f>
              <c:numCache/>
            </c:numRef>
          </c:val>
          <c:shape val="box"/>
        </c:ser>
        <c:ser>
          <c:idx val="3"/>
          <c:order val="3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eludvikling!$F$11</c:f>
              <c:numCache/>
            </c:numRef>
          </c:val>
          <c:shape val="box"/>
        </c:ser>
        <c:shape val="box"/>
        <c:axId val="5155476"/>
        <c:axId val="61427333"/>
      </c:bar3DChart>
      <c:catAx>
        <c:axId val="515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2004 - 2007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427333"/>
        <c:crosses val="autoZero"/>
        <c:auto val="1"/>
        <c:lblOffset val="100"/>
        <c:noMultiLvlLbl val="0"/>
      </c:catAx>
      <c:valAx>
        <c:axId val="614273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5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45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 udledning Egedal Kommune</a:t>
            </a:r>
          </a:p>
        </c:rich>
      </c:tx>
      <c:layout>
        <c:manualLayout>
          <c:xMode val="factor"/>
          <c:yMode val="factor"/>
          <c:x val="-0.263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259"/>
          <c:w val="0.40575"/>
          <c:h val="0.586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'CO2'!$B$7:$B$17</c:f>
              <c:strCache/>
            </c:strRef>
          </c:cat>
          <c:val>
            <c:numRef>
              <c:f>'CO2'!$C$7:$C$17</c:f>
              <c:numCache/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'CO2'!$B$7:$B$17</c:f>
              <c:strCache/>
            </c:strRef>
          </c:cat>
          <c:val>
            <c:numRef>
              <c:f>'CO2'!$D$7:$D$17</c:f>
              <c:numCache/>
            </c:numRef>
          </c:val>
        </c:ser>
        <c:ser>
          <c:idx val="3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'CO2'!$B$7:$B$17</c:f>
              <c:strCache/>
            </c:strRef>
          </c:cat>
          <c:val>
            <c:numRef>
              <c:f>'CO2'!$E$7:$E$17</c:f>
              <c:numCache/>
            </c:numRef>
          </c:val>
        </c:ser>
        <c:ser>
          <c:idx val="4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'CO2'!$B$7:$B$17</c:f>
              <c:strCache/>
            </c:strRef>
          </c:cat>
          <c:val>
            <c:numRef>
              <c:f>'CO2'!$F$7:$F$17</c:f>
              <c:numCache/>
            </c:numRef>
          </c:val>
        </c:ser>
        <c:ser>
          <c:idx val="0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'CO2'!$B$7:$B$17</c:f>
              <c:strCache/>
            </c:strRef>
          </c:cat>
          <c:val>
            <c:numRef>
              <c:f>'CO2'!$G$7:$G$17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5"/>
          <c:y val="0.05075"/>
          <c:w val="0.43175"/>
          <c:h val="0.9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123825</xdr:rowOff>
    </xdr:from>
    <xdr:to>
      <xdr:col>4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95275" y="2228850"/>
        <a:ext cx="35718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95250</xdr:rowOff>
    </xdr:from>
    <xdr:to>
      <xdr:col>5</xdr:col>
      <xdr:colOff>0</xdr:colOff>
      <xdr:row>55</xdr:row>
      <xdr:rowOff>0</xdr:rowOff>
    </xdr:to>
    <xdr:graphicFrame>
      <xdr:nvGraphicFramePr>
        <xdr:cNvPr id="1" name="Chart 5"/>
        <xdr:cNvGraphicFramePr/>
      </xdr:nvGraphicFramePr>
      <xdr:xfrm>
        <a:off x="457200" y="6334125"/>
        <a:ext cx="4962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G11"/>
  <sheetViews>
    <sheetView workbookViewId="0" topLeftCell="A1">
      <selection activeCell="E47" sqref="E4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16.28125" style="0" customWidth="1"/>
    <col min="4" max="4" width="14.140625" style="0" customWidth="1"/>
    <col min="5" max="5" width="13.7109375" style="0" customWidth="1"/>
    <col min="6" max="6" width="11.140625" style="0" customWidth="1"/>
    <col min="7" max="7" width="15.140625" style="0" customWidth="1"/>
  </cols>
  <sheetData>
    <row r="2" ht="25.5">
      <c r="C2" s="38" t="s">
        <v>322</v>
      </c>
    </row>
    <row r="4" spans="2:7" ht="12.75">
      <c r="B4" s="4" t="s">
        <v>321</v>
      </c>
      <c r="C4" s="4"/>
      <c r="D4" s="4"/>
      <c r="E4" s="4"/>
      <c r="F4" s="4"/>
      <c r="G4" s="4"/>
    </row>
    <row r="5" spans="2:7" ht="12.75">
      <c r="B5" s="4"/>
      <c r="C5" s="4"/>
      <c r="D5" s="4"/>
      <c r="E5" s="4"/>
      <c r="F5" s="4"/>
      <c r="G5" s="4"/>
    </row>
    <row r="6" spans="2:7" ht="12.75">
      <c r="B6" s="4"/>
      <c r="C6" s="4">
        <v>2004</v>
      </c>
      <c r="D6" s="4">
        <v>2005</v>
      </c>
      <c r="E6" s="4">
        <v>2006</v>
      </c>
      <c r="F6" s="4">
        <v>2007</v>
      </c>
      <c r="G6" s="40">
        <v>2008</v>
      </c>
    </row>
    <row r="7" spans="2:7" ht="12.75" hidden="1">
      <c r="B7" s="4" t="s">
        <v>0</v>
      </c>
      <c r="C7" s="34">
        <v>2931953</v>
      </c>
      <c r="D7" s="34">
        <v>2155754</v>
      </c>
      <c r="E7" s="34">
        <v>3435991</v>
      </c>
      <c r="F7" s="4"/>
      <c r="G7" s="4"/>
    </row>
    <row r="8" spans="2:7" ht="12.75" hidden="1">
      <c r="B8" s="4" t="s">
        <v>1</v>
      </c>
      <c r="C8" s="34">
        <v>4985001</v>
      </c>
      <c r="D8" s="34">
        <v>4779727</v>
      </c>
      <c r="E8" s="34">
        <v>5285473</v>
      </c>
      <c r="F8" s="4"/>
      <c r="G8" s="4"/>
    </row>
    <row r="9" spans="2:7" ht="12.75" hidden="1">
      <c r="B9" s="4" t="s">
        <v>319</v>
      </c>
      <c r="C9" s="34">
        <v>1435644</v>
      </c>
      <c r="D9" s="34">
        <v>1791322</v>
      </c>
      <c r="E9" s="34">
        <v>1696865</v>
      </c>
      <c r="F9" s="4"/>
      <c r="G9" s="4"/>
    </row>
    <row r="10" spans="2:7" ht="12.75" hidden="1">
      <c r="B10" s="4"/>
      <c r="C10" s="4"/>
      <c r="D10" s="4"/>
      <c r="E10" s="4"/>
      <c r="F10" s="4"/>
      <c r="G10" s="4"/>
    </row>
    <row r="11" spans="2:7" ht="12.75">
      <c r="B11" s="4" t="s">
        <v>332</v>
      </c>
      <c r="C11" s="34">
        <v>9352598</v>
      </c>
      <c r="D11" s="34">
        <v>8726803</v>
      </c>
      <c r="E11" s="34">
        <v>10418329</v>
      </c>
      <c r="F11" s="34">
        <v>9351830</v>
      </c>
      <c r="G11" s="34">
        <v>10361959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2:N36"/>
  <sheetViews>
    <sheetView workbookViewId="0" topLeftCell="A1">
      <selection activeCell="F31" sqref="F31"/>
    </sheetView>
  </sheetViews>
  <sheetFormatPr defaultColWidth="9.140625" defaultRowHeight="12.75"/>
  <cols>
    <col min="1" max="1" width="5.140625" style="0" customWidth="1"/>
    <col min="2" max="2" width="28.57421875" style="0" customWidth="1"/>
    <col min="3" max="3" width="10.7109375" style="0" customWidth="1"/>
    <col min="4" max="4" width="14.57421875" style="0" customWidth="1"/>
    <col min="5" max="5" width="14.421875" style="0" customWidth="1"/>
    <col min="6" max="6" width="13.8515625" style="0" customWidth="1"/>
    <col min="7" max="7" width="10.57421875" style="0" customWidth="1"/>
    <col min="8" max="8" width="14.00390625" style="0" bestFit="1" customWidth="1"/>
  </cols>
  <sheetData>
    <row r="2" spans="3:8" ht="25.5">
      <c r="C2" s="39" t="s">
        <v>323</v>
      </c>
      <c r="H2" s="45"/>
    </row>
    <row r="3" ht="34.5" customHeight="1">
      <c r="I3" s="10"/>
    </row>
    <row r="4" spans="2:9" ht="15.75">
      <c r="B4" s="115" t="s">
        <v>306</v>
      </c>
      <c r="C4" s="116"/>
      <c r="D4" s="116"/>
      <c r="E4" s="116"/>
      <c r="F4" s="116"/>
      <c r="G4" s="116"/>
      <c r="H4" s="117"/>
      <c r="I4" s="10"/>
    </row>
    <row r="5" spans="2:9" s="63" customFormat="1" ht="12.75">
      <c r="B5" s="66"/>
      <c r="C5" s="64" t="s">
        <v>290</v>
      </c>
      <c r="D5" s="64" t="s">
        <v>288</v>
      </c>
      <c r="E5" s="64" t="s">
        <v>334</v>
      </c>
      <c r="F5" s="64" t="s">
        <v>325</v>
      </c>
      <c r="G5" s="64" t="s">
        <v>288</v>
      </c>
      <c r="H5" s="67" t="s">
        <v>289</v>
      </c>
      <c r="I5" s="82"/>
    </row>
    <row r="6" spans="2:9" s="63" customFormat="1" ht="12.75" customHeight="1">
      <c r="B6" s="66" t="s">
        <v>325</v>
      </c>
      <c r="C6" s="64"/>
      <c r="D6" s="64" t="s">
        <v>335</v>
      </c>
      <c r="E6" s="64"/>
      <c r="F6" s="64" t="s">
        <v>336</v>
      </c>
      <c r="G6" s="64"/>
      <c r="H6" s="67"/>
      <c r="I6" s="82"/>
    </row>
    <row r="7" spans="2:9" ht="14.25">
      <c r="B7" s="79" t="s">
        <v>326</v>
      </c>
      <c r="C7" s="80" t="s">
        <v>330</v>
      </c>
      <c r="D7" s="80" t="s">
        <v>297</v>
      </c>
      <c r="E7" s="80" t="s">
        <v>297</v>
      </c>
      <c r="F7" s="80" t="s">
        <v>297</v>
      </c>
      <c r="G7" s="80" t="s">
        <v>331</v>
      </c>
      <c r="H7" s="81" t="s">
        <v>331</v>
      </c>
      <c r="I7" s="10"/>
    </row>
    <row r="8" spans="2:9" ht="12.75">
      <c r="B8" s="68" t="s">
        <v>285</v>
      </c>
      <c r="C8" s="42">
        <v>15099</v>
      </c>
      <c r="D8" s="42">
        <v>1062.77</v>
      </c>
      <c r="E8" s="42">
        <v>1714.2</v>
      </c>
      <c r="F8" s="42">
        <f>SUM(D8:E8)</f>
        <v>2776.9700000000003</v>
      </c>
      <c r="G8" s="42">
        <f aca="true" t="shared" si="0" ref="G8:G15">D8/C8*1000</f>
        <v>70.38678058149546</v>
      </c>
      <c r="H8" s="69">
        <f aca="true" t="shared" si="1" ref="H8:H16">E8/C8*1000</f>
        <v>113.53069739717863</v>
      </c>
      <c r="I8" s="10"/>
    </row>
    <row r="9" spans="2:9" ht="12.75">
      <c r="B9" s="70" t="s">
        <v>224</v>
      </c>
      <c r="C9" s="41">
        <v>113467</v>
      </c>
      <c r="D9" s="41">
        <v>3030.87</v>
      </c>
      <c r="E9" s="41">
        <v>14770.78</v>
      </c>
      <c r="F9" s="41">
        <f aca="true" t="shared" si="2" ref="F9:F17">SUM(D9:E9)</f>
        <v>17801.65</v>
      </c>
      <c r="G9" s="41">
        <f t="shared" si="0"/>
        <v>26.711466770074118</v>
      </c>
      <c r="H9" s="71">
        <f t="shared" si="1"/>
        <v>130.1768796213877</v>
      </c>
      <c r="I9" s="10"/>
    </row>
    <row r="10" spans="2:14" ht="12.75">
      <c r="B10" s="68" t="s">
        <v>225</v>
      </c>
      <c r="C10" s="42">
        <v>24765</v>
      </c>
      <c r="D10" s="42">
        <v>1190.44</v>
      </c>
      <c r="E10" s="42">
        <v>4003.91</v>
      </c>
      <c r="F10" s="42">
        <f t="shared" si="2"/>
        <v>5194.35</v>
      </c>
      <c r="G10" s="42">
        <f t="shared" si="0"/>
        <v>48.06945285685443</v>
      </c>
      <c r="H10" s="69">
        <f t="shared" si="1"/>
        <v>161.67615586513224</v>
      </c>
      <c r="J10" s="10"/>
      <c r="K10" s="10"/>
      <c r="L10" s="10"/>
      <c r="M10" s="10"/>
      <c r="N10" s="10"/>
    </row>
    <row r="11" spans="2:14" ht="12.75">
      <c r="B11" s="70" t="s">
        <v>286</v>
      </c>
      <c r="C11" s="41">
        <v>4287</v>
      </c>
      <c r="D11" s="41">
        <v>220.35</v>
      </c>
      <c r="E11" s="41">
        <v>736.9</v>
      </c>
      <c r="F11" s="41">
        <f t="shared" si="2"/>
        <v>957.25</v>
      </c>
      <c r="G11" s="41">
        <f t="shared" si="0"/>
        <v>51.39958012596221</v>
      </c>
      <c r="H11" s="71">
        <f t="shared" si="1"/>
        <v>171.89176580359225</v>
      </c>
      <c r="J11" s="10"/>
      <c r="K11" s="10"/>
      <c r="L11" s="10"/>
      <c r="M11" s="10"/>
      <c r="N11" s="10"/>
    </row>
    <row r="12" spans="2:14" ht="12.75">
      <c r="B12" s="68" t="s">
        <v>228</v>
      </c>
      <c r="C12" s="42">
        <v>5906</v>
      </c>
      <c r="D12" s="42">
        <v>297.31</v>
      </c>
      <c r="E12" s="42">
        <v>696.41</v>
      </c>
      <c r="F12" s="42">
        <f t="shared" si="2"/>
        <v>993.72</v>
      </c>
      <c r="G12" s="42">
        <f t="shared" si="0"/>
        <v>50.34033186589908</v>
      </c>
      <c r="H12" s="69">
        <f t="shared" si="1"/>
        <v>117.91567897053842</v>
      </c>
      <c r="J12" s="10"/>
      <c r="K12" s="10"/>
      <c r="L12" s="10"/>
      <c r="M12" s="10"/>
      <c r="N12" s="10"/>
    </row>
    <row r="13" spans="2:14" ht="12.75">
      <c r="B13" s="70" t="s">
        <v>287</v>
      </c>
      <c r="C13" s="41">
        <v>15117</v>
      </c>
      <c r="D13" s="41">
        <v>675.71</v>
      </c>
      <c r="E13" s="41">
        <v>2221.29</v>
      </c>
      <c r="F13" s="41">
        <f t="shared" si="2"/>
        <v>2897</v>
      </c>
      <c r="G13" s="41">
        <f t="shared" si="0"/>
        <v>44.69868360124364</v>
      </c>
      <c r="H13" s="71">
        <f t="shared" si="1"/>
        <v>146.93986902163127</v>
      </c>
      <c r="J13" s="10"/>
      <c r="K13" s="10"/>
      <c r="L13" s="10"/>
      <c r="M13" s="10"/>
      <c r="N13" s="10"/>
    </row>
    <row r="14" spans="2:14" ht="16.5" customHeight="1">
      <c r="B14" s="74" t="s">
        <v>333</v>
      </c>
      <c r="C14" s="75">
        <f>SUM(C8:C13)</f>
        <v>178641</v>
      </c>
      <c r="D14" s="75">
        <f>SUM(D8:D13)</f>
        <v>6477.450000000001</v>
      </c>
      <c r="E14" s="75">
        <f>SUM(E8:E13)</f>
        <v>24143.49</v>
      </c>
      <c r="F14" s="75">
        <f t="shared" si="2"/>
        <v>30620.940000000002</v>
      </c>
      <c r="G14" s="75">
        <f t="shared" si="0"/>
        <v>36.259593262464946</v>
      </c>
      <c r="H14" s="76">
        <f t="shared" si="1"/>
        <v>135.1508892135624</v>
      </c>
      <c r="J14" s="10"/>
      <c r="K14" s="10"/>
      <c r="L14" s="10"/>
      <c r="M14" s="10"/>
      <c r="N14" s="10"/>
    </row>
    <row r="15" spans="2:14" ht="12.75">
      <c r="B15" s="72" t="s">
        <v>295</v>
      </c>
      <c r="C15" s="65">
        <v>23737</v>
      </c>
      <c r="D15" s="65">
        <v>1113.96</v>
      </c>
      <c r="E15" s="65">
        <v>3183.67</v>
      </c>
      <c r="F15" s="65">
        <f t="shared" si="2"/>
        <v>4297.63</v>
      </c>
      <c r="G15" s="65">
        <f t="shared" si="0"/>
        <v>46.92926654589881</v>
      </c>
      <c r="H15" s="73">
        <f t="shared" si="1"/>
        <v>134.1226776762017</v>
      </c>
      <c r="J15" s="10"/>
      <c r="K15" s="10"/>
      <c r="L15" s="10"/>
      <c r="M15" s="10"/>
      <c r="N15" s="10"/>
    </row>
    <row r="16" spans="2:14" ht="12.75">
      <c r="B16" s="72" t="s">
        <v>227</v>
      </c>
      <c r="C16" s="65">
        <v>6809</v>
      </c>
      <c r="D16" s="65">
        <f>1466.602</f>
        <v>1466.602</v>
      </c>
      <c r="E16" s="65">
        <v>477.01</v>
      </c>
      <c r="F16" s="65">
        <f t="shared" si="2"/>
        <v>1943.612</v>
      </c>
      <c r="G16" s="65"/>
      <c r="H16" s="73">
        <f t="shared" si="1"/>
        <v>70.05580848876487</v>
      </c>
      <c r="J16" s="10"/>
      <c r="K16" s="10"/>
      <c r="L16" s="10"/>
      <c r="M16" s="10"/>
      <c r="N16" s="10"/>
    </row>
    <row r="17" spans="2:14" ht="12.75">
      <c r="B17" s="74" t="s">
        <v>296</v>
      </c>
      <c r="C17" s="75">
        <f>SUM(C14:C16)</f>
        <v>209187</v>
      </c>
      <c r="D17" s="75">
        <f>SUM(D14:D16)</f>
        <v>9058.012</v>
      </c>
      <c r="E17" s="75">
        <f>SUM(E14:E16)</f>
        <v>27804.170000000002</v>
      </c>
      <c r="F17" s="75">
        <f t="shared" si="2"/>
        <v>36862.182</v>
      </c>
      <c r="G17" s="77"/>
      <c r="H17" s="78"/>
      <c r="J17" s="10"/>
      <c r="K17" s="10"/>
      <c r="L17" s="10"/>
      <c r="M17" s="10"/>
      <c r="N17" s="10"/>
    </row>
    <row r="18" spans="10:14" ht="12.75">
      <c r="J18" s="10"/>
      <c r="K18" s="10"/>
      <c r="L18" s="10"/>
      <c r="M18" s="10"/>
      <c r="N18" s="10"/>
    </row>
    <row r="19" spans="10:14" ht="12.75">
      <c r="J19" s="10"/>
      <c r="K19" s="10"/>
      <c r="L19" s="10"/>
      <c r="M19" s="10"/>
      <c r="N19" s="10"/>
    </row>
    <row r="20" spans="10:14" ht="12.75">
      <c r="J20" s="10"/>
      <c r="K20" s="10"/>
      <c r="L20" s="10"/>
      <c r="M20" s="10"/>
      <c r="N20" s="10"/>
    </row>
    <row r="21" spans="2:14" ht="12.75">
      <c r="B21" s="32"/>
      <c r="J21" s="10"/>
      <c r="K21" s="10"/>
      <c r="L21" s="10"/>
      <c r="M21" s="10"/>
      <c r="N21" s="10"/>
    </row>
    <row r="22" spans="10:14" ht="12.75">
      <c r="J22" s="10"/>
      <c r="K22" s="10"/>
      <c r="L22" s="10"/>
      <c r="M22" s="10"/>
      <c r="N22" s="10"/>
    </row>
    <row r="23" spans="10:14" ht="12.75">
      <c r="J23" s="10"/>
      <c r="K23" s="10"/>
      <c r="L23" s="10"/>
      <c r="M23" s="10"/>
      <c r="N23" s="10"/>
    </row>
    <row r="24" spans="6:12" ht="12.75">
      <c r="F24" s="10"/>
      <c r="G24" s="10"/>
      <c r="H24" s="10"/>
      <c r="I24" s="10"/>
      <c r="J24" s="10"/>
      <c r="K24" s="10"/>
      <c r="L24" s="10"/>
    </row>
    <row r="25" spans="6:12" ht="12.75">
      <c r="F25" s="10"/>
      <c r="G25" s="10"/>
      <c r="H25" s="10"/>
      <c r="I25" s="10"/>
      <c r="J25" s="10"/>
      <c r="K25" s="10"/>
      <c r="L25" s="10"/>
    </row>
    <row r="26" spans="6:12" ht="12.75">
      <c r="F26" s="10"/>
      <c r="G26" s="10"/>
      <c r="H26" s="10"/>
      <c r="I26" s="10"/>
      <c r="J26" s="10"/>
      <c r="K26" s="10"/>
      <c r="L26" s="10"/>
    </row>
    <row r="27" spans="6:12" ht="12.75">
      <c r="F27" s="10"/>
      <c r="G27" s="10"/>
      <c r="H27" s="10"/>
      <c r="I27" s="10"/>
      <c r="J27" s="10"/>
      <c r="K27" s="10"/>
      <c r="L27" s="10"/>
    </row>
    <row r="28" spans="6:12" ht="12.75">
      <c r="F28" s="10"/>
      <c r="G28" s="10"/>
      <c r="H28" s="10"/>
      <c r="I28" s="10"/>
      <c r="J28" s="10"/>
      <c r="K28" s="10"/>
      <c r="L28" s="10"/>
    </row>
    <row r="29" spans="6:12" ht="12.75">
      <c r="F29" s="10"/>
      <c r="G29" s="10"/>
      <c r="H29" s="10"/>
      <c r="I29" s="10"/>
      <c r="J29" s="10"/>
      <c r="K29" s="10"/>
      <c r="L29" s="10"/>
    </row>
    <row r="30" spans="6:12" ht="12.75">
      <c r="F30" s="10"/>
      <c r="G30" s="10"/>
      <c r="H30" s="10"/>
      <c r="I30" s="10"/>
      <c r="J30" s="10"/>
      <c r="K30" s="10"/>
      <c r="L30" s="10"/>
    </row>
    <row r="31" spans="6:12" ht="12.75">
      <c r="F31" s="10"/>
      <c r="G31" s="10"/>
      <c r="H31" s="10"/>
      <c r="I31" s="10"/>
      <c r="J31" s="10"/>
      <c r="K31" s="10"/>
      <c r="L31" s="10"/>
    </row>
    <row r="32" spans="6:12" ht="12.75">
      <c r="F32" s="10"/>
      <c r="G32" s="10"/>
      <c r="H32" s="10"/>
      <c r="I32" s="10"/>
      <c r="J32" s="10"/>
      <c r="K32" s="10"/>
      <c r="L32" s="10"/>
    </row>
    <row r="33" spans="9:14" ht="12.75">
      <c r="I33" s="10"/>
      <c r="J33" s="10"/>
      <c r="K33" s="10"/>
      <c r="L33" s="10"/>
      <c r="M33" s="10"/>
      <c r="N33" s="10"/>
    </row>
    <row r="34" spans="10:12" ht="12.75">
      <c r="J34" s="10"/>
      <c r="K34" s="10"/>
      <c r="L34" s="10"/>
    </row>
    <row r="36" ht="12.75">
      <c r="B36" s="32"/>
    </row>
  </sheetData>
  <mergeCells count="1">
    <mergeCell ref="B4:H4"/>
  </mergeCells>
  <printOptions/>
  <pageMargins left="0.75" right="0.65" top="1" bottom="1" header="0" footer="0"/>
  <pageSetup horizontalDpi="600" verticalDpi="600" orientation="landscape" paperSize="9" r:id="rId1"/>
  <ignoredErrors>
    <ignoredError sqref="F8:F13 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I37"/>
  <sheetViews>
    <sheetView zoomScalePageLayoutView="0" workbookViewId="0" topLeftCell="A12">
      <selection activeCell="H45" sqref="H45"/>
    </sheetView>
  </sheetViews>
  <sheetFormatPr defaultColWidth="9.140625" defaultRowHeight="12.75"/>
  <cols>
    <col min="1" max="1" width="6.8515625" style="0" customWidth="1"/>
    <col min="2" max="2" width="32.8515625" style="0" customWidth="1"/>
    <col min="3" max="3" width="12.57421875" style="0" customWidth="1"/>
    <col min="4" max="4" width="14.00390625" style="0" customWidth="1"/>
    <col min="5" max="5" width="15.00390625" style="0" customWidth="1"/>
    <col min="6" max="6" width="16.57421875" style="0" customWidth="1"/>
    <col min="7" max="7" width="14.57421875" style="0" customWidth="1"/>
    <col min="8" max="8" width="19.28125" style="0" customWidth="1"/>
  </cols>
  <sheetData>
    <row r="2" ht="25.5">
      <c r="C2" s="38" t="s">
        <v>324</v>
      </c>
    </row>
    <row r="3" ht="13.5" thickBot="1"/>
    <row r="4" spans="2:7" ht="13.5" thickTop="1">
      <c r="B4" s="118" t="s">
        <v>320</v>
      </c>
      <c r="C4" s="119"/>
      <c r="D4" s="119"/>
      <c r="E4" s="119"/>
      <c r="F4" s="119"/>
      <c r="G4" s="120"/>
    </row>
    <row r="5" spans="2:7" ht="27.75">
      <c r="B5" s="56" t="s">
        <v>305</v>
      </c>
      <c r="C5" s="57" t="s">
        <v>304</v>
      </c>
      <c r="D5" s="57" t="s">
        <v>289</v>
      </c>
      <c r="E5" s="57" t="s">
        <v>327</v>
      </c>
      <c r="F5" s="57" t="s">
        <v>328</v>
      </c>
      <c r="G5" s="58" t="s">
        <v>329</v>
      </c>
    </row>
    <row r="6" spans="2:7" ht="12.75">
      <c r="B6" s="59" t="s">
        <v>326</v>
      </c>
      <c r="C6" s="60" t="s">
        <v>297</v>
      </c>
      <c r="D6" s="60" t="s">
        <v>297</v>
      </c>
      <c r="E6" s="60" t="s">
        <v>293</v>
      </c>
      <c r="F6" s="60" t="s">
        <v>293</v>
      </c>
      <c r="G6" s="61" t="s">
        <v>293</v>
      </c>
    </row>
    <row r="7" spans="2:7" ht="12.75">
      <c r="B7" s="46" t="s">
        <v>285</v>
      </c>
      <c r="C7" s="42">
        <f>Rådata!AF9</f>
        <v>1062.7649999999999</v>
      </c>
      <c r="D7" s="42">
        <f>Rådata!AC9</f>
        <v>1714.201711399126</v>
      </c>
      <c r="E7" s="42">
        <f>Rådata!AG9</f>
        <v>244.09652062577123</v>
      </c>
      <c r="F7" s="42">
        <f>Rådata!AH9</f>
        <v>622.7802899999999</v>
      </c>
      <c r="G7" s="47">
        <f>Rådata!AI9</f>
        <v>866.8768106257712</v>
      </c>
    </row>
    <row r="8" spans="2:7" ht="12.75">
      <c r="B8" s="48" t="s">
        <v>224</v>
      </c>
      <c r="C8" s="41">
        <f>Rådata!AF113</f>
        <v>3030.872</v>
      </c>
      <c r="D8" s="41">
        <f>Rådata!AC113</f>
        <v>14770.776246628662</v>
      </c>
      <c r="E8" s="41">
        <f>Rådata!AG113</f>
        <v>2289.3768840615667</v>
      </c>
      <c r="F8" s="41">
        <f>Rådata!AH113</f>
        <v>1776.0909920000004</v>
      </c>
      <c r="G8" s="49">
        <f>Rådata!AI113</f>
        <v>4065.467876061567</v>
      </c>
    </row>
    <row r="9" spans="2:7" ht="12.75">
      <c r="B9" s="46" t="s">
        <v>225</v>
      </c>
      <c r="C9" s="42">
        <f>Rådata!AF55</f>
        <v>1190.4432</v>
      </c>
      <c r="D9" s="42">
        <f>Rådata!AC55</f>
        <v>4003.9138189992386</v>
      </c>
      <c r="E9" s="42">
        <f>Rådata!AG55</f>
        <v>852.3644920346576</v>
      </c>
      <c r="F9" s="42">
        <f>Rådata!AH55</f>
        <v>697.5997152</v>
      </c>
      <c r="G9" s="47">
        <f>Rådata!AI55</f>
        <v>1549.9642072346576</v>
      </c>
    </row>
    <row r="10" spans="2:7" ht="12.75">
      <c r="B10" s="48" t="s">
        <v>286</v>
      </c>
      <c r="C10" s="41">
        <f>Rådata!AF64</f>
        <v>220.346</v>
      </c>
      <c r="D10" s="41">
        <f>Rådata!AC64</f>
        <v>736.8984516656969</v>
      </c>
      <c r="E10" s="41">
        <f>Rådata!AG64</f>
        <v>137.86005772778498</v>
      </c>
      <c r="F10" s="41">
        <f>Rådata!AH64</f>
        <v>129.122756</v>
      </c>
      <c r="G10" s="49">
        <f>Rådata!AI64</f>
        <v>266.982813727785</v>
      </c>
    </row>
    <row r="11" spans="2:7" ht="12.75">
      <c r="B11" s="46" t="s">
        <v>228</v>
      </c>
      <c r="C11" s="42">
        <f>Rådata!AF128</f>
        <v>297.312</v>
      </c>
      <c r="D11" s="42">
        <f>Rådata!AC128</f>
        <v>696.4119793630573</v>
      </c>
      <c r="E11" s="42">
        <f>Rådata!AG128</f>
        <v>121.65596132964512</v>
      </c>
      <c r="F11" s="42">
        <f>Rådata!AH128</f>
        <v>174.224832</v>
      </c>
      <c r="G11" s="47">
        <f>Rådata!AI128</f>
        <v>295.88079332964514</v>
      </c>
    </row>
    <row r="12" spans="2:7" ht="12.75">
      <c r="B12" s="48" t="s">
        <v>287</v>
      </c>
      <c r="C12" s="41">
        <f>Rådata!AF96</f>
        <v>439.9792</v>
      </c>
      <c r="D12" s="41">
        <v>2221.29</v>
      </c>
      <c r="E12" s="41">
        <f>Rådata!AG96</f>
        <v>373.93772266359457</v>
      </c>
      <c r="F12" s="41">
        <f>Rådata!AH96</f>
        <v>257.8278112</v>
      </c>
      <c r="G12" s="49">
        <f>Rådata!AI96</f>
        <v>631.7655338635946</v>
      </c>
    </row>
    <row r="13" spans="2:7" ht="12.75" hidden="1">
      <c r="B13" s="55" t="s">
        <v>294</v>
      </c>
      <c r="C13" s="50">
        <f>SUM(C7:C12)</f>
        <v>6241.7173999999995</v>
      </c>
      <c r="D13" s="50">
        <f>SUM(D7:D12)</f>
        <v>24143.49220805578</v>
      </c>
      <c r="E13" s="50">
        <f>SUM(E7:E12)</f>
        <v>4019.2916384430196</v>
      </c>
      <c r="F13" s="50">
        <f>SUM(F7:F12)</f>
        <v>3657.6463964</v>
      </c>
      <c r="G13" s="51">
        <f>SUM(G7:G12)</f>
        <v>7676.93803484302</v>
      </c>
    </row>
    <row r="14" spans="2:7" ht="12.75">
      <c r="B14" s="62" t="s">
        <v>295</v>
      </c>
      <c r="C14" s="43">
        <f>Rådata!AF76</f>
        <v>1113.9644</v>
      </c>
      <c r="D14" s="43">
        <f>Rådata!AC76</f>
        <v>3183.666563165156</v>
      </c>
      <c r="E14" s="43">
        <f>Rådata!AG76</f>
        <v>638.6371949698524</v>
      </c>
      <c r="F14" s="43">
        <f>Rådata!AH76</f>
        <v>652.7831384</v>
      </c>
      <c r="G14" s="44">
        <f>Rådata!AI76</f>
        <v>1291.4203333698524</v>
      </c>
    </row>
    <row r="15" spans="2:7" ht="12.75">
      <c r="B15" s="62" t="s">
        <v>227</v>
      </c>
      <c r="C15" s="43">
        <f>Rådata!AF123</f>
        <v>1466.6020000000003</v>
      </c>
      <c r="D15" s="43">
        <f>Rådata!AC123</f>
        <v>477.01445869042084</v>
      </c>
      <c r="E15" s="43">
        <f>Rådata!AG123</f>
        <v>82.5930947573952</v>
      </c>
      <c r="F15" s="43">
        <f>Rådata!AH123</f>
        <v>859.428772</v>
      </c>
      <c r="G15" s="44">
        <f>Rådata!AI123</f>
        <v>942.0218667573952</v>
      </c>
    </row>
    <row r="16" spans="2:7" ht="13.5" hidden="1" thickBot="1">
      <c r="B16" s="53" t="s">
        <v>347</v>
      </c>
      <c r="C16" s="52">
        <f>SUM(C13:C15)</f>
        <v>8822.2838</v>
      </c>
      <c r="D16" s="52">
        <f>SUM(D13:D15)</f>
        <v>27804.173229911357</v>
      </c>
      <c r="E16" s="52">
        <f>SUM(E13:E15)</f>
        <v>4740.5219281702675</v>
      </c>
      <c r="F16" s="52">
        <f>SUM(F13:F15)</f>
        <v>5169.8583068</v>
      </c>
      <c r="G16" s="54">
        <f>SUM(G13:G15)</f>
        <v>9910.38023497027</v>
      </c>
    </row>
    <row r="17" spans="2:7" ht="12.75">
      <c r="B17" s="114" t="s">
        <v>338</v>
      </c>
      <c r="G17" s="121">
        <f>'CO2'!H30</f>
        <v>640.918604</v>
      </c>
    </row>
    <row r="18" spans="2:7" ht="13.5" thickBot="1">
      <c r="B18" s="53" t="s">
        <v>348</v>
      </c>
      <c r="C18" s="52"/>
      <c r="D18" s="52"/>
      <c r="E18" s="52"/>
      <c r="F18" s="52"/>
      <c r="G18" s="54">
        <f>SUM(G16:G17)</f>
        <v>10551.29883897027</v>
      </c>
    </row>
    <row r="19" ht="13.5" thickTop="1"/>
    <row r="20" spans="2:7" ht="15.75">
      <c r="B20" s="35" t="s">
        <v>307</v>
      </c>
      <c r="G20" s="122" t="s">
        <v>337</v>
      </c>
    </row>
    <row r="21" spans="2:7" ht="16.5" thickBot="1">
      <c r="B21" s="35"/>
      <c r="G21" s="122"/>
    </row>
    <row r="22" spans="2:4" ht="16.5" thickBot="1">
      <c r="B22" s="36" t="s">
        <v>291</v>
      </c>
      <c r="C22" s="87" t="s">
        <v>292</v>
      </c>
      <c r="D22" s="36" t="s">
        <v>311</v>
      </c>
    </row>
    <row r="23" spans="2:9" ht="16.5" thickBot="1">
      <c r="B23" s="37" t="s">
        <v>312</v>
      </c>
      <c r="C23" s="88" t="s">
        <v>313</v>
      </c>
      <c r="D23" s="91">
        <v>0.586</v>
      </c>
      <c r="F23" s="96" t="s">
        <v>306</v>
      </c>
      <c r="G23" s="108" t="s">
        <v>344</v>
      </c>
      <c r="H23" s="109" t="s">
        <v>342</v>
      </c>
      <c r="I23" s="10"/>
    </row>
    <row r="24" spans="2:9" ht="16.5" thickBot="1">
      <c r="B24" s="37" t="s">
        <v>222</v>
      </c>
      <c r="C24" s="88" t="s">
        <v>314</v>
      </c>
      <c r="D24" s="91">
        <v>0.204</v>
      </c>
      <c r="F24" s="97" t="s">
        <v>342</v>
      </c>
      <c r="G24" s="110"/>
      <c r="H24" s="111" t="s">
        <v>345</v>
      </c>
      <c r="I24" s="10"/>
    </row>
    <row r="25" spans="2:9" ht="16.5" thickBot="1">
      <c r="B25" s="37" t="s">
        <v>315</v>
      </c>
      <c r="C25" s="88" t="s">
        <v>316</v>
      </c>
      <c r="D25" s="91">
        <v>0.266</v>
      </c>
      <c r="F25" s="98" t="s">
        <v>341</v>
      </c>
      <c r="G25" s="112"/>
      <c r="H25" s="113"/>
      <c r="I25" s="10"/>
    </row>
    <row r="26" spans="2:9" ht="16.5" thickBot="1">
      <c r="B26" s="37" t="s">
        <v>317</v>
      </c>
      <c r="C26" s="88" t="s">
        <v>313</v>
      </c>
      <c r="D26" s="91">
        <v>0.126</v>
      </c>
      <c r="F26" s="99" t="s">
        <v>339</v>
      </c>
      <c r="G26" s="94">
        <v>66932</v>
      </c>
      <c r="H26" s="100">
        <f>2.4*G26/1000</f>
        <v>160.6368</v>
      </c>
      <c r="I26" s="10"/>
    </row>
    <row r="27" spans="2:9" ht="16.5" thickBot="1">
      <c r="B27" s="85" t="s">
        <v>318</v>
      </c>
      <c r="C27" s="89" t="s">
        <v>313</v>
      </c>
      <c r="D27" s="92">
        <v>0.1</v>
      </c>
      <c r="F27" s="101" t="s">
        <v>340</v>
      </c>
      <c r="G27" s="16">
        <v>122436</v>
      </c>
      <c r="H27" s="102">
        <f>2.65*G27/1000</f>
        <v>324.45539999999994</v>
      </c>
      <c r="I27" s="10"/>
    </row>
    <row r="28" spans="2:9" ht="16.5" thickBot="1">
      <c r="B28" s="86" t="s">
        <v>340</v>
      </c>
      <c r="C28" s="90" t="s">
        <v>316</v>
      </c>
      <c r="D28" s="93">
        <v>2.65</v>
      </c>
      <c r="F28" s="103" t="s">
        <v>343</v>
      </c>
      <c r="G28" s="95"/>
      <c r="I28" s="10"/>
    </row>
    <row r="29" spans="2:9" ht="16.5" thickBot="1">
      <c r="B29" s="86" t="s">
        <v>339</v>
      </c>
      <c r="C29" s="90" t="s">
        <v>316</v>
      </c>
      <c r="D29" s="93">
        <v>2.4</v>
      </c>
      <c r="F29" s="101" t="s">
        <v>349</v>
      </c>
      <c r="G29" s="10"/>
      <c r="H29" s="104">
        <f>950161*0.164/1000</f>
        <v>155.826404</v>
      </c>
      <c r="I29" s="10"/>
    </row>
    <row r="30" spans="2:9" ht="16.5" thickBot="1">
      <c r="B30" s="83"/>
      <c r="C30" s="83"/>
      <c r="D30" s="84"/>
      <c r="F30" s="105" t="s">
        <v>346</v>
      </c>
      <c r="G30" s="106"/>
      <c r="H30" s="107">
        <f>SUM(H26:H29)</f>
        <v>640.918604</v>
      </c>
      <c r="I30" s="10"/>
    </row>
    <row r="31" spans="2:9" ht="15.75">
      <c r="B31" s="35"/>
      <c r="I31" s="10"/>
    </row>
    <row r="32" ht="15.75">
      <c r="B32" s="35" t="s">
        <v>308</v>
      </c>
    </row>
    <row r="33" ht="15.75">
      <c r="B33" s="35" t="s">
        <v>309</v>
      </c>
    </row>
    <row r="34" ht="15.75">
      <c r="B34" s="35" t="s">
        <v>310</v>
      </c>
    </row>
    <row r="37" ht="25.5">
      <c r="C37" s="38"/>
    </row>
  </sheetData>
  <sheetProtection/>
  <mergeCells count="1">
    <mergeCell ref="B4:G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I532"/>
  <sheetViews>
    <sheetView tabSelected="1" zoomScalePageLayoutView="0" workbookViewId="0" topLeftCell="A1">
      <pane xSplit="3" topLeftCell="D1" activePane="topRight" state="frozen"/>
      <selection pane="topLeft" activeCell="C1" sqref="C1"/>
      <selection pane="topRight" activeCell="X131" sqref="X131"/>
    </sheetView>
  </sheetViews>
  <sheetFormatPr defaultColWidth="9.140625" defaultRowHeight="12.75"/>
  <cols>
    <col min="1" max="1" width="6.8515625" style="18" customWidth="1"/>
    <col min="2" max="2" width="22.00390625" style="4" customWidth="1"/>
    <col min="3" max="3" width="29.421875" style="4" customWidth="1"/>
    <col min="4" max="4" width="8.57421875" style="4" customWidth="1"/>
    <col min="5" max="5" width="25.57421875" style="4" customWidth="1"/>
    <col min="6" max="6" width="27.421875" style="4" customWidth="1"/>
    <col min="7" max="7" width="7.28125" style="4" customWidth="1"/>
    <col min="8" max="8" width="14.28125" style="4" customWidth="1"/>
    <col min="9" max="9" width="10.140625" style="4" customWidth="1"/>
    <col min="10" max="10" width="10.7109375" style="4" customWidth="1"/>
    <col min="11" max="11" width="8.8515625" style="4" customWidth="1"/>
    <col min="12" max="12" width="11.28125" style="4" customWidth="1"/>
    <col min="13" max="13" width="11.7109375" style="4" customWidth="1"/>
    <col min="14" max="14" width="7.28125" style="4" customWidth="1"/>
    <col min="15" max="15" width="9.140625" style="4" customWidth="1"/>
    <col min="16" max="16" width="11.7109375" style="4" customWidth="1"/>
    <col min="17" max="19" width="7.28125" style="4" customWidth="1"/>
    <col min="20" max="20" width="11.7109375" style="4" customWidth="1"/>
    <col min="21" max="22" width="7.28125" style="4" customWidth="1"/>
    <col min="23" max="23" width="11.7109375" style="4" customWidth="1"/>
    <col min="24" max="25" width="10.28125" style="0" customWidth="1"/>
    <col min="26" max="29" width="11.7109375" style="0" customWidth="1"/>
    <col min="31" max="33" width="11.7109375" style="0" customWidth="1"/>
    <col min="34" max="34" width="11.7109375" style="2" customWidth="1"/>
    <col min="35" max="35" width="14.7109375" style="0" customWidth="1"/>
  </cols>
  <sheetData>
    <row r="1" spans="1:35" ht="108.75" customHeight="1">
      <c r="A1" s="17" t="s">
        <v>214</v>
      </c>
      <c r="B1" s="5" t="s">
        <v>237</v>
      </c>
      <c r="C1" s="5" t="s">
        <v>223</v>
      </c>
      <c r="D1" s="5" t="s">
        <v>276</v>
      </c>
      <c r="E1" s="5" t="s">
        <v>20</v>
      </c>
      <c r="F1" s="5" t="s">
        <v>120</v>
      </c>
      <c r="G1" s="5" t="s">
        <v>210</v>
      </c>
      <c r="H1" s="5" t="s">
        <v>211</v>
      </c>
      <c r="I1" s="5" t="s">
        <v>219</v>
      </c>
      <c r="J1" s="5" t="s">
        <v>300</v>
      </c>
      <c r="K1" s="6" t="s">
        <v>264</v>
      </c>
      <c r="L1" s="6" t="s">
        <v>265</v>
      </c>
      <c r="M1" s="5" t="s">
        <v>266</v>
      </c>
      <c r="N1" s="6" t="s">
        <v>262</v>
      </c>
      <c r="O1" s="6" t="s">
        <v>263</v>
      </c>
      <c r="P1" s="5" t="s">
        <v>267</v>
      </c>
      <c r="Q1" s="6" t="s">
        <v>256</v>
      </c>
      <c r="R1" s="6" t="s">
        <v>257</v>
      </c>
      <c r="S1" s="6" t="s">
        <v>258</v>
      </c>
      <c r="T1" s="5" t="s">
        <v>268</v>
      </c>
      <c r="U1" s="6" t="s">
        <v>254</v>
      </c>
      <c r="V1" s="6" t="s">
        <v>255</v>
      </c>
      <c r="W1" s="5" t="s">
        <v>269</v>
      </c>
      <c r="X1" s="3" t="s">
        <v>259</v>
      </c>
      <c r="Y1" s="3" t="s">
        <v>260</v>
      </c>
      <c r="Z1" s="1" t="s">
        <v>270</v>
      </c>
      <c r="AA1" s="3" t="s">
        <v>274</v>
      </c>
      <c r="AB1" s="1" t="s">
        <v>273</v>
      </c>
      <c r="AC1" s="1" t="s">
        <v>303</v>
      </c>
      <c r="AE1" s="1" t="s">
        <v>275</v>
      </c>
      <c r="AF1" s="1" t="s">
        <v>302</v>
      </c>
      <c r="AG1" s="1" t="s">
        <v>298</v>
      </c>
      <c r="AH1" s="31" t="s">
        <v>299</v>
      </c>
      <c r="AI1" s="33" t="s">
        <v>301</v>
      </c>
    </row>
    <row r="2" spans="1:35" ht="12.75">
      <c r="A2" s="8">
        <v>3475</v>
      </c>
      <c r="B2" s="7" t="s">
        <v>16</v>
      </c>
      <c r="C2" s="7" t="s">
        <v>282</v>
      </c>
      <c r="D2" s="14">
        <v>159</v>
      </c>
      <c r="E2" s="7" t="s">
        <v>67</v>
      </c>
      <c r="F2" s="7" t="s">
        <v>67</v>
      </c>
      <c r="G2" s="8">
        <v>2765</v>
      </c>
      <c r="H2" s="7" t="s">
        <v>212</v>
      </c>
      <c r="I2" s="7" t="s">
        <v>220</v>
      </c>
      <c r="J2" s="7" t="s">
        <v>222</v>
      </c>
      <c r="K2" s="9">
        <v>3717.15</v>
      </c>
      <c r="L2" s="9">
        <f>2906/2198*K2</f>
        <v>4914.484940855323</v>
      </c>
      <c r="M2" s="9">
        <f>11*L2/1000</f>
        <v>54.05933434940855</v>
      </c>
      <c r="N2" s="9"/>
      <c r="O2" s="9"/>
      <c r="P2" s="9"/>
      <c r="Q2" s="10"/>
      <c r="R2" s="10"/>
      <c r="S2" s="10"/>
      <c r="T2" s="10"/>
      <c r="U2" s="10"/>
      <c r="V2" s="9"/>
      <c r="W2" s="9"/>
      <c r="AC2" s="2">
        <f aca="true" t="shared" si="0" ref="AC2:AC8">M2+P2+T2+W2+Z2+AB2</f>
        <v>54.05933434940855</v>
      </c>
      <c r="AE2" s="2">
        <v>4115</v>
      </c>
      <c r="AF2" s="2">
        <f aca="true" t="shared" si="1" ref="AF2:AF8">0.001*AE2</f>
        <v>4.115</v>
      </c>
      <c r="AG2" s="2">
        <f>0.204*M2</f>
        <v>11.028104207279345</v>
      </c>
      <c r="AH2" s="2">
        <f>0.586*AF2</f>
        <v>2.41139</v>
      </c>
      <c r="AI2" s="2">
        <f aca="true" t="shared" si="2" ref="AI2:AI9">AG2+AH2</f>
        <v>13.439494207279346</v>
      </c>
    </row>
    <row r="3" spans="1:35" ht="12.75">
      <c r="A3" s="8">
        <v>11632</v>
      </c>
      <c r="B3" s="7" t="s">
        <v>16</v>
      </c>
      <c r="C3" s="7" t="s">
        <v>282</v>
      </c>
      <c r="D3" s="14">
        <v>886</v>
      </c>
      <c r="E3" s="7" t="s">
        <v>69</v>
      </c>
      <c r="F3" s="7" t="s">
        <v>163</v>
      </c>
      <c r="G3" s="8"/>
      <c r="H3" s="7"/>
      <c r="I3" s="7" t="s">
        <v>220</v>
      </c>
      <c r="J3" s="7" t="s">
        <v>222</v>
      </c>
      <c r="K3" s="9">
        <v>10285.58</v>
      </c>
      <c r="L3" s="9">
        <f>2906/2198*K3</f>
        <v>13598.678562329389</v>
      </c>
      <c r="M3" s="9">
        <f>11*L3/1000</f>
        <v>149.58546418562327</v>
      </c>
      <c r="N3" s="9"/>
      <c r="O3" s="9"/>
      <c r="P3" s="9"/>
      <c r="Q3" s="10"/>
      <c r="R3" s="10"/>
      <c r="S3" s="10"/>
      <c r="T3" s="10"/>
      <c r="U3" s="10"/>
      <c r="V3" s="9"/>
      <c r="W3" s="9"/>
      <c r="AC3" s="2">
        <f t="shared" si="0"/>
        <v>149.58546418562327</v>
      </c>
      <c r="AE3" s="2">
        <v>36709</v>
      </c>
      <c r="AF3" s="2">
        <f t="shared" si="1"/>
        <v>36.709</v>
      </c>
      <c r="AG3" s="2">
        <f>0.204*M3</f>
        <v>30.515434693867146</v>
      </c>
      <c r="AH3" s="2">
        <f aca="true" t="shared" si="3" ref="AH3:AH69">0.586*AF3</f>
        <v>21.511474</v>
      </c>
      <c r="AI3" s="2">
        <f t="shared" si="2"/>
        <v>52.02690869386714</v>
      </c>
    </row>
    <row r="4" spans="1:35" ht="12.75">
      <c r="A4" s="8">
        <v>4587</v>
      </c>
      <c r="B4" s="7" t="s">
        <v>16</v>
      </c>
      <c r="C4" s="7" t="s">
        <v>282</v>
      </c>
      <c r="D4" s="14">
        <v>4862</v>
      </c>
      <c r="E4" s="7" t="s">
        <v>251</v>
      </c>
      <c r="F4" s="7" t="s">
        <v>178</v>
      </c>
      <c r="G4" s="8">
        <v>3660</v>
      </c>
      <c r="H4" s="7" t="s">
        <v>0</v>
      </c>
      <c r="I4" s="7" t="s">
        <v>220</v>
      </c>
      <c r="J4" s="7" t="s">
        <v>222</v>
      </c>
      <c r="K4" s="9">
        <v>10936.83</v>
      </c>
      <c r="L4" s="9">
        <f>2906/2198*K4</f>
        <v>14459.703357597815</v>
      </c>
      <c r="M4" s="9">
        <f>11*L4/1000</f>
        <v>159.05673693357596</v>
      </c>
      <c r="N4" s="9"/>
      <c r="O4" s="9"/>
      <c r="P4" s="9"/>
      <c r="Q4" s="10"/>
      <c r="R4" s="10"/>
      <c r="S4" s="10"/>
      <c r="T4" s="10"/>
      <c r="U4" s="10"/>
      <c r="V4" s="9"/>
      <c r="W4" s="9"/>
      <c r="AC4" s="2">
        <f t="shared" si="0"/>
        <v>159.05673693357596</v>
      </c>
      <c r="AE4" s="2">
        <f>254531+66842</f>
        <v>321373</v>
      </c>
      <c r="AF4" s="2">
        <f t="shared" si="1"/>
        <v>321.373</v>
      </c>
      <c r="AG4" s="2">
        <f>0.204*M4</f>
        <v>32.44757433444949</v>
      </c>
      <c r="AH4" s="2">
        <f t="shared" si="3"/>
        <v>188.32457799999997</v>
      </c>
      <c r="AI4" s="2">
        <f t="shared" si="2"/>
        <v>220.77215233444946</v>
      </c>
    </row>
    <row r="5" spans="1:35" ht="12.75">
      <c r="A5" s="8">
        <v>12720</v>
      </c>
      <c r="B5" s="7" t="s">
        <v>16</v>
      </c>
      <c r="C5" s="7" t="s">
        <v>282</v>
      </c>
      <c r="D5" s="14">
        <v>5270</v>
      </c>
      <c r="E5" s="7" t="s">
        <v>86</v>
      </c>
      <c r="F5" s="7" t="s">
        <v>180</v>
      </c>
      <c r="G5" s="8"/>
      <c r="H5" s="7"/>
      <c r="I5" s="7" t="s">
        <v>218</v>
      </c>
      <c r="J5" s="7" t="s">
        <v>222</v>
      </c>
      <c r="K5" s="9"/>
      <c r="L5" s="9"/>
      <c r="M5" s="9"/>
      <c r="N5" s="10">
        <v>2310</v>
      </c>
      <c r="O5" s="9">
        <f>2906/2198*N5</f>
        <v>3054.076433121019</v>
      </c>
      <c r="P5" s="9">
        <f>0.278*O5</f>
        <v>849.0332484076433</v>
      </c>
      <c r="Q5" s="10"/>
      <c r="R5" s="10"/>
      <c r="S5" s="10"/>
      <c r="T5" s="10"/>
      <c r="U5" s="10"/>
      <c r="V5" s="9"/>
      <c r="W5" s="9"/>
      <c r="AC5" s="2">
        <f t="shared" si="0"/>
        <v>849.0332484076433</v>
      </c>
      <c r="AE5" s="2">
        <v>319727</v>
      </c>
      <c r="AF5" s="2">
        <f t="shared" si="1"/>
        <v>319.72700000000003</v>
      </c>
      <c r="AG5" s="2">
        <f>0.1*P5</f>
        <v>84.90332484076434</v>
      </c>
      <c r="AH5" s="2">
        <f t="shared" si="3"/>
        <v>187.36002200000001</v>
      </c>
      <c r="AI5" s="2">
        <f t="shared" si="2"/>
        <v>272.26334684076437</v>
      </c>
    </row>
    <row r="6" spans="1:35" ht="12.75">
      <c r="A6" s="8">
        <v>10031</v>
      </c>
      <c r="B6" s="7" t="s">
        <v>6</v>
      </c>
      <c r="C6" s="7" t="s">
        <v>282</v>
      </c>
      <c r="D6" s="14">
        <v>234</v>
      </c>
      <c r="E6" s="7" t="s">
        <v>235</v>
      </c>
      <c r="F6" s="7" t="s">
        <v>124</v>
      </c>
      <c r="G6" s="8"/>
      <c r="H6" s="7"/>
      <c r="I6" s="10" t="s">
        <v>221</v>
      </c>
      <c r="J6" s="7" t="s">
        <v>229</v>
      </c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9"/>
      <c r="W6" s="9"/>
      <c r="X6">
        <v>4252</v>
      </c>
      <c r="Y6" s="2">
        <f>2906/2198*X6</f>
        <v>5621.616014558689</v>
      </c>
      <c r="Z6" s="2">
        <f>10/1000*Y6</f>
        <v>56.21616014558689</v>
      </c>
      <c r="AA6" s="2"/>
      <c r="AB6" s="2"/>
      <c r="AC6" s="2">
        <f t="shared" si="0"/>
        <v>56.21616014558689</v>
      </c>
      <c r="AE6" s="2">
        <v>3246</v>
      </c>
      <c r="AF6" s="2">
        <f t="shared" si="1"/>
        <v>3.246</v>
      </c>
      <c r="AG6" s="2">
        <f>0.266*Z6</f>
        <v>14.953498598726114</v>
      </c>
      <c r="AH6" s="2">
        <f t="shared" si="3"/>
        <v>1.902156</v>
      </c>
      <c r="AI6" s="2">
        <f t="shared" si="2"/>
        <v>16.855654598726115</v>
      </c>
    </row>
    <row r="7" spans="1:35" ht="12.75">
      <c r="A7" s="8">
        <v>9269</v>
      </c>
      <c r="B7" s="7" t="s">
        <v>7</v>
      </c>
      <c r="C7" s="7" t="s">
        <v>282</v>
      </c>
      <c r="D7" s="14">
        <v>200</v>
      </c>
      <c r="E7" s="7" t="s">
        <v>236</v>
      </c>
      <c r="F7" s="7" t="s">
        <v>175</v>
      </c>
      <c r="G7" s="8"/>
      <c r="H7" s="7"/>
      <c r="I7" s="10" t="s">
        <v>221</v>
      </c>
      <c r="J7" s="7" t="s">
        <v>229</v>
      </c>
      <c r="K7" s="9"/>
      <c r="L7" s="9"/>
      <c r="M7" s="9"/>
      <c r="N7" s="9"/>
      <c r="O7" s="9"/>
      <c r="P7" s="9"/>
      <c r="Q7" s="10"/>
      <c r="R7" s="10"/>
      <c r="S7" s="10"/>
      <c r="T7" s="10"/>
      <c r="U7" s="10"/>
      <c r="V7" s="9"/>
      <c r="W7" s="9"/>
      <c r="X7">
        <v>7575</v>
      </c>
      <c r="Y7" s="2">
        <f>2906/2198*X7</f>
        <v>10014.990900818926</v>
      </c>
      <c r="Z7" s="2">
        <f>10/1000*Y7</f>
        <v>100.14990900818927</v>
      </c>
      <c r="AA7" s="2"/>
      <c r="AB7" s="2"/>
      <c r="AC7" s="2">
        <f t="shared" si="0"/>
        <v>100.14990900818927</v>
      </c>
      <c r="AE7" s="2">
        <v>40813</v>
      </c>
      <c r="AF7" s="2">
        <f t="shared" si="1"/>
        <v>40.813</v>
      </c>
      <c r="AG7" s="2">
        <f>0.266*Z7</f>
        <v>26.639875796178348</v>
      </c>
      <c r="AH7" s="2">
        <f t="shared" si="3"/>
        <v>23.916418</v>
      </c>
      <c r="AI7" s="2">
        <f t="shared" si="2"/>
        <v>50.55629379617835</v>
      </c>
    </row>
    <row r="8" spans="1:35" ht="13.5" customHeight="1">
      <c r="A8" s="8">
        <v>618</v>
      </c>
      <c r="B8" s="7" t="s">
        <v>16</v>
      </c>
      <c r="C8" s="7" t="s">
        <v>282</v>
      </c>
      <c r="D8" s="14">
        <v>3488</v>
      </c>
      <c r="E8" s="7" t="s">
        <v>85</v>
      </c>
      <c r="F8" s="7" t="s">
        <v>179</v>
      </c>
      <c r="G8" s="8">
        <v>2765</v>
      </c>
      <c r="H8" s="7" t="s">
        <v>212</v>
      </c>
      <c r="I8" s="7" t="s">
        <v>212</v>
      </c>
      <c r="J8" s="7" t="s">
        <v>222</v>
      </c>
      <c r="K8" s="9"/>
      <c r="L8" s="9"/>
      <c r="M8" s="9"/>
      <c r="N8" s="9"/>
      <c r="O8" s="9"/>
      <c r="P8" s="9"/>
      <c r="Q8" s="10"/>
      <c r="R8" s="10"/>
      <c r="S8" s="10"/>
      <c r="T8" s="10"/>
      <c r="U8" s="10">
        <v>277.5</v>
      </c>
      <c r="V8" s="9">
        <f>2198/2330*U8</f>
        <v>261.77896995708153</v>
      </c>
      <c r="W8" s="9">
        <f>2906/2198*V8</f>
        <v>346.10085836909866</v>
      </c>
      <c r="AC8" s="2">
        <f t="shared" si="0"/>
        <v>346.10085836909866</v>
      </c>
      <c r="AE8" s="2">
        <v>336782</v>
      </c>
      <c r="AF8" s="2">
        <f t="shared" si="1"/>
        <v>336.782</v>
      </c>
      <c r="AG8" s="2">
        <f>0.126*W8</f>
        <v>43.60870815450643</v>
      </c>
      <c r="AH8" s="2">
        <f t="shared" si="3"/>
        <v>197.35425199999997</v>
      </c>
      <c r="AI8" s="2">
        <f t="shared" si="2"/>
        <v>240.9629601545064</v>
      </c>
    </row>
    <row r="9" spans="1:35" s="27" customFormat="1" ht="12.75">
      <c r="A9" s="23"/>
      <c r="B9" s="21"/>
      <c r="C9" s="21" t="s">
        <v>282</v>
      </c>
      <c r="D9" s="24">
        <f>SUM(D2:D8)</f>
        <v>15099</v>
      </c>
      <c r="E9" s="21"/>
      <c r="F9" s="21"/>
      <c r="G9" s="23"/>
      <c r="H9" s="21"/>
      <c r="I9" s="21"/>
      <c r="J9" s="21"/>
      <c r="K9" s="25"/>
      <c r="L9" s="25"/>
      <c r="M9" s="25"/>
      <c r="N9" s="25"/>
      <c r="O9" s="25"/>
      <c r="P9" s="25"/>
      <c r="Q9" s="26"/>
      <c r="R9" s="26"/>
      <c r="S9" s="26"/>
      <c r="T9" s="26"/>
      <c r="U9" s="26"/>
      <c r="V9" s="25"/>
      <c r="W9" s="25"/>
      <c r="AC9" s="19">
        <f>SUM(AC2:AC8)</f>
        <v>1714.201711399126</v>
      </c>
      <c r="AE9" s="19">
        <f>SUM(AE2:AE8)</f>
        <v>1062765</v>
      </c>
      <c r="AF9" s="19">
        <f>SUM(AF2:AF8)</f>
        <v>1062.7649999999999</v>
      </c>
      <c r="AG9" s="19">
        <f>SUM(AG2:AG8)</f>
        <v>244.09652062577123</v>
      </c>
      <c r="AH9" s="19">
        <f>SUM(AH2:AH8)</f>
        <v>622.7802899999999</v>
      </c>
      <c r="AI9" s="19">
        <f t="shared" si="2"/>
        <v>866.8768106257712</v>
      </c>
    </row>
    <row r="10" spans="1:35" s="27" customFormat="1" ht="12.75">
      <c r="A10" s="23"/>
      <c r="B10" s="21"/>
      <c r="C10" s="21"/>
      <c r="D10" s="24"/>
      <c r="E10" s="21"/>
      <c r="F10" s="21"/>
      <c r="G10" s="23"/>
      <c r="H10" s="21"/>
      <c r="I10" s="21"/>
      <c r="J10" s="21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6"/>
      <c r="V10" s="25"/>
      <c r="W10" s="25"/>
      <c r="AC10" s="19"/>
      <c r="AE10" s="19"/>
      <c r="AF10" s="19"/>
      <c r="AG10" s="19"/>
      <c r="AH10" s="19"/>
      <c r="AI10" s="19"/>
    </row>
    <row r="11" spans="1:35" ht="12.75">
      <c r="A11" s="8">
        <v>9309</v>
      </c>
      <c r="B11" s="7" t="s">
        <v>10</v>
      </c>
      <c r="C11" s="7" t="s">
        <v>225</v>
      </c>
      <c r="D11" s="14">
        <v>447</v>
      </c>
      <c r="E11" s="7" t="s">
        <v>75</v>
      </c>
      <c r="F11" s="7" t="s">
        <v>168</v>
      </c>
      <c r="G11" s="8"/>
      <c r="H11" s="7"/>
      <c r="I11" s="7" t="s">
        <v>233</v>
      </c>
      <c r="J11" s="7" t="s">
        <v>232</v>
      </c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9"/>
      <c r="W11" s="9"/>
      <c r="AA11" s="2">
        <f>0.8/1000*AE11</f>
        <v>46.7736</v>
      </c>
      <c r="AB11" s="2">
        <f>2906/2198*AA11</f>
        <v>61.8398915377616</v>
      </c>
      <c r="AC11" s="2">
        <f aca="true" t="shared" si="4" ref="AC11:AC54">M11+P11+T11+W11+Z11+AB11</f>
        <v>61.8398915377616</v>
      </c>
      <c r="AE11" s="2">
        <v>58467</v>
      </c>
      <c r="AF11" s="2">
        <f>0.2/1000*AE11</f>
        <v>11.6934</v>
      </c>
      <c r="AG11" s="2">
        <f>0.586*AB11</f>
        <v>36.238176441128296</v>
      </c>
      <c r="AH11" s="2">
        <f t="shared" si="3"/>
        <v>6.8523324</v>
      </c>
      <c r="AI11" s="2">
        <f aca="true" t="shared" si="5" ref="AI11:AI55">AG11+AH11</f>
        <v>43.0905088411283</v>
      </c>
    </row>
    <row r="12" spans="1:35" ht="12.75">
      <c r="A12" s="8">
        <v>8855</v>
      </c>
      <c r="B12" s="7" t="s">
        <v>4</v>
      </c>
      <c r="C12" s="7" t="s">
        <v>225</v>
      </c>
      <c r="D12" s="14">
        <v>720</v>
      </c>
      <c r="E12" s="7" t="s">
        <v>27</v>
      </c>
      <c r="F12" s="7" t="s">
        <v>128</v>
      </c>
      <c r="G12" s="8">
        <v>3660</v>
      </c>
      <c r="H12" s="7" t="s">
        <v>0</v>
      </c>
      <c r="I12" s="7" t="s">
        <v>233</v>
      </c>
      <c r="J12" s="7" t="s">
        <v>232</v>
      </c>
      <c r="K12" s="9"/>
      <c r="L12" s="9"/>
      <c r="M12" s="9"/>
      <c r="N12" s="9"/>
      <c r="O12" s="9"/>
      <c r="P12" s="9"/>
      <c r="Q12" s="10"/>
      <c r="R12" s="10"/>
      <c r="S12" s="10"/>
      <c r="T12" s="10"/>
      <c r="U12" s="10"/>
      <c r="V12" s="9"/>
      <c r="W12" s="9"/>
      <c r="AA12" s="2">
        <f>0.8/1000*AE12</f>
        <v>84.67920000000001</v>
      </c>
      <c r="AB12" s="2">
        <f>2906/2198*AA12</f>
        <v>111.95530263876252</v>
      </c>
      <c r="AC12" s="2">
        <f t="shared" si="4"/>
        <v>111.95530263876252</v>
      </c>
      <c r="AE12" s="2">
        <v>105849</v>
      </c>
      <c r="AF12" s="2">
        <f>0.2/1000*AE12</f>
        <v>21.169800000000002</v>
      </c>
      <c r="AG12" s="2">
        <f>0.586*AB12</f>
        <v>65.60580734631483</v>
      </c>
      <c r="AH12" s="2">
        <f t="shared" si="3"/>
        <v>12.4055028</v>
      </c>
      <c r="AI12" s="2">
        <f t="shared" si="5"/>
        <v>78.01131014631483</v>
      </c>
    </row>
    <row r="13" spans="1:35" ht="12.75">
      <c r="A13" s="8">
        <v>121</v>
      </c>
      <c r="B13" s="7" t="s">
        <v>10</v>
      </c>
      <c r="C13" s="7" t="s">
        <v>225</v>
      </c>
      <c r="D13" s="14">
        <v>200</v>
      </c>
      <c r="E13" s="7" t="s">
        <v>84</v>
      </c>
      <c r="F13" s="7" t="s">
        <v>177</v>
      </c>
      <c r="G13" s="8">
        <v>2765</v>
      </c>
      <c r="H13" s="7" t="s">
        <v>212</v>
      </c>
      <c r="I13" s="7" t="s">
        <v>233</v>
      </c>
      <c r="J13" s="7" t="s">
        <v>232</v>
      </c>
      <c r="K13" s="9"/>
      <c r="L13" s="9"/>
      <c r="M13" s="9"/>
      <c r="N13" s="9"/>
      <c r="O13" s="9"/>
      <c r="P13" s="9"/>
      <c r="Q13" s="10"/>
      <c r="R13" s="10"/>
      <c r="S13" s="10"/>
      <c r="T13" s="10"/>
      <c r="U13" s="10"/>
      <c r="V13" s="9"/>
      <c r="W13" s="9"/>
      <c r="AA13" s="2">
        <f>0.8/1000*AE13</f>
        <v>18.952</v>
      </c>
      <c r="AB13" s="2">
        <f>2906/2198*AA13</f>
        <v>25.05664786169245</v>
      </c>
      <c r="AC13" s="2">
        <f t="shared" si="4"/>
        <v>25.05664786169245</v>
      </c>
      <c r="AE13" s="2">
        <v>23690</v>
      </c>
      <c r="AF13" s="2">
        <f>0.2/1000*AE13</f>
        <v>4.738</v>
      </c>
      <c r="AG13" s="2">
        <f>0.586*AB13</f>
        <v>14.683195646951775</v>
      </c>
      <c r="AH13" s="2">
        <f t="shared" si="3"/>
        <v>2.776468</v>
      </c>
      <c r="AI13" s="2">
        <f t="shared" si="5"/>
        <v>17.459663646951775</v>
      </c>
    </row>
    <row r="14" spans="1:35" ht="12.75">
      <c r="A14" s="8">
        <v>2580</v>
      </c>
      <c r="B14" s="7" t="s">
        <v>13</v>
      </c>
      <c r="C14" s="7" t="s">
        <v>225</v>
      </c>
      <c r="D14" s="14">
        <v>913</v>
      </c>
      <c r="E14" s="7" t="s">
        <v>92</v>
      </c>
      <c r="F14" s="7" t="s">
        <v>122</v>
      </c>
      <c r="G14" s="8">
        <v>2765</v>
      </c>
      <c r="H14" s="7" t="s">
        <v>212</v>
      </c>
      <c r="I14" s="7" t="s">
        <v>233</v>
      </c>
      <c r="J14" s="7" t="s">
        <v>232</v>
      </c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9"/>
      <c r="W14" s="9"/>
      <c r="AA14" s="2">
        <f>0.8/1000*AE14</f>
        <v>78.044</v>
      </c>
      <c r="AB14" s="2">
        <f>2906/2198*AA14</f>
        <v>103.18283166515013</v>
      </c>
      <c r="AC14" s="2">
        <f t="shared" si="4"/>
        <v>103.18283166515013</v>
      </c>
      <c r="AE14" s="2">
        <v>97555</v>
      </c>
      <c r="AF14" s="2">
        <f>0.2/1000*AE14</f>
        <v>19.511</v>
      </c>
      <c r="AG14" s="2">
        <f>0.586*AB14</f>
        <v>60.46513935577797</v>
      </c>
      <c r="AH14" s="2">
        <f t="shared" si="3"/>
        <v>11.433445999999998</v>
      </c>
      <c r="AI14" s="2">
        <f t="shared" si="5"/>
        <v>71.89858535577797</v>
      </c>
    </row>
    <row r="15" spans="1:35" ht="12.75">
      <c r="A15" s="8">
        <v>5336</v>
      </c>
      <c r="B15" s="7" t="s">
        <v>4</v>
      </c>
      <c r="C15" s="7" t="s">
        <v>225</v>
      </c>
      <c r="D15" s="14">
        <v>712</v>
      </c>
      <c r="E15" s="7" t="s">
        <v>26</v>
      </c>
      <c r="F15" s="7" t="s">
        <v>127</v>
      </c>
      <c r="G15" s="8">
        <v>3660</v>
      </c>
      <c r="H15" s="7" t="s">
        <v>0</v>
      </c>
      <c r="I15" s="7" t="s">
        <v>220</v>
      </c>
      <c r="J15" s="7" t="s">
        <v>222</v>
      </c>
      <c r="K15" s="9">
        <v>7385.07</v>
      </c>
      <c r="L15" s="9">
        <f aca="true" t="shared" si="6" ref="L15:L42">2906/2198*K15</f>
        <v>9763.882356687898</v>
      </c>
      <c r="M15" s="9">
        <f aca="true" t="shared" si="7" ref="M15:M42">11*L15/1000</f>
        <v>107.40270592356688</v>
      </c>
      <c r="N15" s="9"/>
      <c r="O15" s="9"/>
      <c r="P15" s="9"/>
      <c r="Q15" s="10"/>
      <c r="R15" s="10"/>
      <c r="S15" s="10"/>
      <c r="T15" s="10"/>
      <c r="U15" s="10"/>
      <c r="V15" s="9"/>
      <c r="W15" s="9"/>
      <c r="AC15" s="2">
        <f t="shared" si="4"/>
        <v>107.40270592356688</v>
      </c>
      <c r="AE15" s="2">
        <v>13737</v>
      </c>
      <c r="AF15" s="2">
        <f aca="true" t="shared" si="8" ref="AF15:AF54">0.001*AE15</f>
        <v>13.737</v>
      </c>
      <c r="AG15" s="2">
        <f aca="true" t="shared" si="9" ref="AG15:AG42">0.204*M15</f>
        <v>21.910152008407643</v>
      </c>
      <c r="AH15" s="2">
        <f t="shared" si="3"/>
        <v>8.049882</v>
      </c>
      <c r="AI15" s="2">
        <f t="shared" si="5"/>
        <v>29.960034008407643</v>
      </c>
    </row>
    <row r="16" spans="1:35" ht="12.75">
      <c r="A16" s="8">
        <v>14393</v>
      </c>
      <c r="B16" s="7" t="s">
        <v>4</v>
      </c>
      <c r="C16" s="7" t="s">
        <v>225</v>
      </c>
      <c r="D16" s="14">
        <v>909</v>
      </c>
      <c r="E16" s="7" t="s">
        <v>32</v>
      </c>
      <c r="F16" s="7" t="s">
        <v>133</v>
      </c>
      <c r="G16" s="8"/>
      <c r="H16" s="7"/>
      <c r="I16" s="7" t="s">
        <v>220</v>
      </c>
      <c r="J16" s="7" t="s">
        <v>222</v>
      </c>
      <c r="K16" s="9">
        <v>11870.93</v>
      </c>
      <c r="L16" s="9">
        <f t="shared" si="6"/>
        <v>15694.687252047315</v>
      </c>
      <c r="M16" s="9">
        <f t="shared" si="7"/>
        <v>172.64155977252048</v>
      </c>
      <c r="N16" s="9"/>
      <c r="O16" s="9"/>
      <c r="P16" s="9"/>
      <c r="Q16" s="10"/>
      <c r="R16" s="10"/>
      <c r="S16" s="10"/>
      <c r="T16" s="10"/>
      <c r="U16" s="10"/>
      <c r="V16" s="9"/>
      <c r="W16" s="9"/>
      <c r="AC16" s="2">
        <f t="shared" si="4"/>
        <v>172.64155977252048</v>
      </c>
      <c r="AE16" s="2">
        <f>17755+24460</f>
        <v>42215</v>
      </c>
      <c r="AF16" s="2">
        <f t="shared" si="8"/>
        <v>42.215</v>
      </c>
      <c r="AG16" s="2">
        <f t="shared" si="9"/>
        <v>35.21887819359418</v>
      </c>
      <c r="AH16" s="2">
        <f t="shared" si="3"/>
        <v>24.73799</v>
      </c>
      <c r="AI16" s="2">
        <f t="shared" si="5"/>
        <v>59.956868193594175</v>
      </c>
    </row>
    <row r="17" spans="1:35" ht="12.75">
      <c r="A17" s="8">
        <v>8989</v>
      </c>
      <c r="B17" s="7" t="s">
        <v>4</v>
      </c>
      <c r="C17" s="7" t="s">
        <v>225</v>
      </c>
      <c r="D17" s="14">
        <v>633</v>
      </c>
      <c r="E17" s="7" t="s">
        <v>59</v>
      </c>
      <c r="F17" s="7" t="s">
        <v>155</v>
      </c>
      <c r="G17" s="8">
        <v>3660</v>
      </c>
      <c r="H17" s="7" t="s">
        <v>0</v>
      </c>
      <c r="I17" s="7" t="s">
        <v>220</v>
      </c>
      <c r="J17" s="7" t="s">
        <v>222</v>
      </c>
      <c r="K17" s="9">
        <v>5236.58</v>
      </c>
      <c r="L17" s="9">
        <f t="shared" si="6"/>
        <v>6923.340072793449</v>
      </c>
      <c r="M17" s="9">
        <f t="shared" si="7"/>
        <v>76.15674080072793</v>
      </c>
      <c r="N17" s="9"/>
      <c r="O17" s="9"/>
      <c r="P17" s="9"/>
      <c r="Q17" s="10"/>
      <c r="R17" s="10"/>
      <c r="S17" s="10"/>
      <c r="T17" s="10"/>
      <c r="U17" s="10"/>
      <c r="V17" s="9"/>
      <c r="W17" s="9"/>
      <c r="AC17" s="2">
        <f t="shared" si="4"/>
        <v>76.15674080072793</v>
      </c>
      <c r="AE17" s="2">
        <v>15974</v>
      </c>
      <c r="AF17" s="2">
        <f t="shared" si="8"/>
        <v>15.974</v>
      </c>
      <c r="AG17" s="2">
        <f t="shared" si="9"/>
        <v>15.535975123348496</v>
      </c>
      <c r="AH17" s="2">
        <f t="shared" si="3"/>
        <v>9.360764</v>
      </c>
      <c r="AI17" s="2">
        <f t="shared" si="5"/>
        <v>24.896739123348496</v>
      </c>
    </row>
    <row r="18" spans="1:35" ht="12.75">
      <c r="A18" s="8">
        <v>9583</v>
      </c>
      <c r="B18" s="7" t="s">
        <v>4</v>
      </c>
      <c r="C18" s="7" t="s">
        <v>225</v>
      </c>
      <c r="D18" s="14">
        <v>677</v>
      </c>
      <c r="E18" s="7" t="s">
        <v>78</v>
      </c>
      <c r="F18" s="7" t="s">
        <v>171</v>
      </c>
      <c r="G18" s="8"/>
      <c r="H18" s="7"/>
      <c r="I18" s="7" t="s">
        <v>220</v>
      </c>
      <c r="J18" s="7" t="s">
        <v>222</v>
      </c>
      <c r="K18" s="9">
        <v>5519</v>
      </c>
      <c r="L18" s="9">
        <f t="shared" si="6"/>
        <v>7296.730664240218</v>
      </c>
      <c r="M18" s="9">
        <f t="shared" si="7"/>
        <v>80.2640373066424</v>
      </c>
      <c r="N18" s="9"/>
      <c r="O18" s="9"/>
      <c r="P18" s="9"/>
      <c r="Q18" s="10"/>
      <c r="R18" s="10"/>
      <c r="S18" s="10"/>
      <c r="T18" s="10"/>
      <c r="U18" s="10"/>
      <c r="V18" s="9"/>
      <c r="W18" s="9"/>
      <c r="AC18" s="2">
        <f t="shared" si="4"/>
        <v>80.2640373066424</v>
      </c>
      <c r="AE18" s="2">
        <v>34128</v>
      </c>
      <c r="AF18" s="2">
        <f t="shared" si="8"/>
        <v>34.128</v>
      </c>
      <c r="AG18" s="2">
        <f t="shared" si="9"/>
        <v>16.37386361055505</v>
      </c>
      <c r="AH18" s="2">
        <f t="shared" si="3"/>
        <v>19.999008</v>
      </c>
      <c r="AI18" s="2">
        <f t="shared" si="5"/>
        <v>36.37287161055505</v>
      </c>
    </row>
    <row r="19" spans="1:35" ht="12.75">
      <c r="A19" s="8">
        <v>4830</v>
      </c>
      <c r="B19" s="7" t="s">
        <v>4</v>
      </c>
      <c r="C19" s="7" t="s">
        <v>225</v>
      </c>
      <c r="D19" s="14">
        <v>295</v>
      </c>
      <c r="E19" s="7" t="s">
        <v>81</v>
      </c>
      <c r="F19" s="7" t="s">
        <v>174</v>
      </c>
      <c r="G19" s="8">
        <v>3660</v>
      </c>
      <c r="H19" s="7" t="s">
        <v>0</v>
      </c>
      <c r="I19" s="7" t="s">
        <v>220</v>
      </c>
      <c r="J19" s="7" t="s">
        <v>222</v>
      </c>
      <c r="K19" s="9">
        <v>4116</v>
      </c>
      <c r="L19" s="9">
        <f t="shared" si="6"/>
        <v>5441.8089171974525</v>
      </c>
      <c r="M19" s="9">
        <f t="shared" si="7"/>
        <v>59.85989808917198</v>
      </c>
      <c r="N19" s="9"/>
      <c r="O19" s="9"/>
      <c r="P19" s="9"/>
      <c r="Q19" s="10"/>
      <c r="R19" s="10"/>
      <c r="S19" s="10"/>
      <c r="T19" s="10"/>
      <c r="U19" s="10"/>
      <c r="V19" s="9"/>
      <c r="W19" s="9"/>
      <c r="AC19" s="2">
        <f t="shared" si="4"/>
        <v>59.85989808917198</v>
      </c>
      <c r="AE19" s="2">
        <v>1046</v>
      </c>
      <c r="AF19" s="2">
        <f t="shared" si="8"/>
        <v>1.046</v>
      </c>
      <c r="AG19" s="2">
        <f t="shared" si="9"/>
        <v>12.211419210191083</v>
      </c>
      <c r="AH19" s="2">
        <f t="shared" si="3"/>
        <v>0.612956</v>
      </c>
      <c r="AI19" s="2">
        <f t="shared" si="5"/>
        <v>12.824375210191084</v>
      </c>
    </row>
    <row r="20" spans="1:35" ht="12.75">
      <c r="A20" s="8">
        <v>612</v>
      </c>
      <c r="B20" s="7" t="s">
        <v>4</v>
      </c>
      <c r="C20" s="7" t="s">
        <v>225</v>
      </c>
      <c r="D20" s="14">
        <v>630</v>
      </c>
      <c r="E20" s="7" t="s">
        <v>42</v>
      </c>
      <c r="F20" s="7" t="s">
        <v>141</v>
      </c>
      <c r="G20" s="8">
        <v>2765</v>
      </c>
      <c r="H20" s="7" t="s">
        <v>212</v>
      </c>
      <c r="I20" s="7" t="s">
        <v>220</v>
      </c>
      <c r="J20" s="7" t="s">
        <v>222</v>
      </c>
      <c r="K20" s="9">
        <v>7337.38</v>
      </c>
      <c r="L20" s="9">
        <f t="shared" si="6"/>
        <v>9700.830882620565</v>
      </c>
      <c r="M20" s="9">
        <f t="shared" si="7"/>
        <v>106.70913970882621</v>
      </c>
      <c r="N20" s="9"/>
      <c r="O20" s="9"/>
      <c r="P20" s="9"/>
      <c r="Q20" s="10"/>
      <c r="R20" s="10"/>
      <c r="S20" s="10"/>
      <c r="T20" s="10"/>
      <c r="U20" s="10"/>
      <c r="V20" s="9"/>
      <c r="W20" s="9"/>
      <c r="AC20" s="2">
        <f t="shared" si="4"/>
        <v>106.70913970882621</v>
      </c>
      <c r="AE20" s="2">
        <v>21162</v>
      </c>
      <c r="AF20" s="2">
        <f t="shared" si="8"/>
        <v>21.162</v>
      </c>
      <c r="AG20" s="2">
        <f t="shared" si="9"/>
        <v>21.768664500600547</v>
      </c>
      <c r="AH20" s="2">
        <f t="shared" si="3"/>
        <v>12.400932</v>
      </c>
      <c r="AI20" s="2">
        <f t="shared" si="5"/>
        <v>34.16959650060055</v>
      </c>
    </row>
    <row r="21" spans="1:35" ht="12.75">
      <c r="A21" s="8">
        <v>1032</v>
      </c>
      <c r="B21" s="7" t="s">
        <v>4</v>
      </c>
      <c r="C21" s="7" t="s">
        <v>225</v>
      </c>
      <c r="D21" s="14">
        <v>622</v>
      </c>
      <c r="E21" s="7" t="s">
        <v>37</v>
      </c>
      <c r="F21" s="7" t="s">
        <v>137</v>
      </c>
      <c r="G21" s="8">
        <v>2765</v>
      </c>
      <c r="H21" s="7" t="s">
        <v>212</v>
      </c>
      <c r="I21" s="7" t="s">
        <v>220</v>
      </c>
      <c r="J21" s="7" t="s">
        <v>222</v>
      </c>
      <c r="K21" s="9">
        <v>7270.81</v>
      </c>
      <c r="L21" s="9">
        <f t="shared" si="6"/>
        <v>9612.817952684258</v>
      </c>
      <c r="M21" s="9">
        <f t="shared" si="7"/>
        <v>105.74099747952684</v>
      </c>
      <c r="N21" s="9"/>
      <c r="O21" s="9"/>
      <c r="P21" s="9"/>
      <c r="Q21" s="10"/>
      <c r="R21" s="10"/>
      <c r="S21" s="10"/>
      <c r="T21" s="10"/>
      <c r="U21" s="10"/>
      <c r="V21" s="9"/>
      <c r="W21" s="9"/>
      <c r="AC21" s="2">
        <f t="shared" si="4"/>
        <v>105.74099747952684</v>
      </c>
      <c r="AE21" s="2">
        <v>20355</v>
      </c>
      <c r="AF21" s="2">
        <f t="shared" si="8"/>
        <v>20.355</v>
      </c>
      <c r="AG21" s="2">
        <f t="shared" si="9"/>
        <v>21.571163485823472</v>
      </c>
      <c r="AH21" s="2">
        <f t="shared" si="3"/>
        <v>11.92803</v>
      </c>
      <c r="AI21" s="2">
        <f t="shared" si="5"/>
        <v>33.49919348582347</v>
      </c>
    </row>
    <row r="22" spans="1:35" ht="12.75">
      <c r="A22" s="8">
        <v>511001</v>
      </c>
      <c r="B22" s="7" t="s">
        <v>11</v>
      </c>
      <c r="C22" s="7" t="s">
        <v>225</v>
      </c>
      <c r="D22" s="14">
        <v>314</v>
      </c>
      <c r="E22" s="7" t="s">
        <v>45</v>
      </c>
      <c r="F22" s="7" t="s">
        <v>234</v>
      </c>
      <c r="G22" s="8">
        <v>2765</v>
      </c>
      <c r="H22" s="7" t="s">
        <v>212</v>
      </c>
      <c r="I22" s="7" t="s">
        <v>220</v>
      </c>
      <c r="J22" s="7" t="s">
        <v>222</v>
      </c>
      <c r="K22" s="9">
        <v>2810.31</v>
      </c>
      <c r="L22" s="9">
        <f t="shared" si="6"/>
        <v>3715.5417925386714</v>
      </c>
      <c r="M22" s="9">
        <f t="shared" si="7"/>
        <v>40.87095971792538</v>
      </c>
      <c r="N22" s="9"/>
      <c r="O22" s="9"/>
      <c r="P22" s="9"/>
      <c r="Q22" s="10"/>
      <c r="R22" s="10"/>
      <c r="S22" s="10"/>
      <c r="T22" s="10"/>
      <c r="U22" s="10"/>
      <c r="V22" s="9"/>
      <c r="W22" s="9"/>
      <c r="AC22" s="2">
        <f t="shared" si="4"/>
        <v>40.87095971792538</v>
      </c>
      <c r="AE22" s="2">
        <v>21976</v>
      </c>
      <c r="AF22" s="2">
        <f t="shared" si="8"/>
        <v>21.976</v>
      </c>
      <c r="AG22" s="2">
        <f t="shared" si="9"/>
        <v>8.337675782456778</v>
      </c>
      <c r="AH22" s="2">
        <f t="shared" si="3"/>
        <v>12.877935999999998</v>
      </c>
      <c r="AI22" s="2">
        <f t="shared" si="5"/>
        <v>21.215611782456776</v>
      </c>
    </row>
    <row r="23" spans="1:35" ht="12.75">
      <c r="A23" s="8">
        <v>9976</v>
      </c>
      <c r="B23" s="7" t="s">
        <v>4</v>
      </c>
      <c r="C23" s="7" t="s">
        <v>225</v>
      </c>
      <c r="D23" s="14">
        <v>1048</v>
      </c>
      <c r="E23" s="7" t="s">
        <v>79</v>
      </c>
      <c r="F23" s="7" t="s">
        <v>172</v>
      </c>
      <c r="G23" s="8">
        <v>3650</v>
      </c>
      <c r="H23" s="7" t="s">
        <v>1</v>
      </c>
      <c r="I23" s="7" t="s">
        <v>220</v>
      </c>
      <c r="J23" s="7" t="s">
        <v>222</v>
      </c>
      <c r="K23" s="9">
        <v>6622.82</v>
      </c>
      <c r="L23" s="9">
        <f t="shared" si="6"/>
        <v>8756.103239308462</v>
      </c>
      <c r="M23" s="9">
        <f t="shared" si="7"/>
        <v>96.31713563239308</v>
      </c>
      <c r="N23" s="9"/>
      <c r="O23" s="9"/>
      <c r="P23" s="9"/>
      <c r="Q23" s="10"/>
      <c r="R23" s="10"/>
      <c r="S23" s="10"/>
      <c r="T23" s="10"/>
      <c r="U23" s="10"/>
      <c r="V23" s="9"/>
      <c r="W23" s="9"/>
      <c r="AC23" s="2">
        <f t="shared" si="4"/>
        <v>96.31713563239308</v>
      </c>
      <c r="AE23" s="2">
        <v>20512</v>
      </c>
      <c r="AF23" s="2">
        <f t="shared" si="8"/>
        <v>20.512</v>
      </c>
      <c r="AG23" s="2">
        <f t="shared" si="9"/>
        <v>19.648695669008188</v>
      </c>
      <c r="AH23" s="2">
        <f t="shared" si="3"/>
        <v>12.020031999999999</v>
      </c>
      <c r="AI23" s="2">
        <f t="shared" si="5"/>
        <v>31.668727669008184</v>
      </c>
    </row>
    <row r="24" spans="1:35" ht="12.75">
      <c r="A24" s="8">
        <v>14391</v>
      </c>
      <c r="B24" s="7" t="s">
        <v>4</v>
      </c>
      <c r="C24" s="7" t="s">
        <v>225</v>
      </c>
      <c r="D24" s="14">
        <v>560</v>
      </c>
      <c r="E24" s="7" t="s">
        <v>106</v>
      </c>
      <c r="F24" s="7" t="s">
        <v>198</v>
      </c>
      <c r="G24" s="8"/>
      <c r="H24" s="7"/>
      <c r="I24" s="7" t="s">
        <v>220</v>
      </c>
      <c r="J24" s="7" t="s">
        <v>222</v>
      </c>
      <c r="K24" s="9">
        <v>4358.38</v>
      </c>
      <c r="L24" s="9">
        <f t="shared" si="6"/>
        <v>5762.262183803457</v>
      </c>
      <c r="M24" s="9">
        <f t="shared" si="7"/>
        <v>63.38488402183803</v>
      </c>
      <c r="N24" s="9"/>
      <c r="O24" s="9"/>
      <c r="P24" s="9"/>
      <c r="Q24" s="10"/>
      <c r="R24" s="10"/>
      <c r="S24" s="10"/>
      <c r="T24" s="10"/>
      <c r="U24" s="10"/>
      <c r="V24" s="9"/>
      <c r="W24" s="9"/>
      <c r="AC24" s="2">
        <f t="shared" si="4"/>
        <v>63.38488402183803</v>
      </c>
      <c r="AE24" s="2">
        <v>19049</v>
      </c>
      <c r="AF24" s="2">
        <f t="shared" si="8"/>
        <v>19.049</v>
      </c>
      <c r="AG24" s="2">
        <f t="shared" si="9"/>
        <v>12.930516340454957</v>
      </c>
      <c r="AH24" s="2">
        <f t="shared" si="3"/>
        <v>11.162714</v>
      </c>
      <c r="AI24" s="2">
        <f t="shared" si="5"/>
        <v>24.09323034045496</v>
      </c>
    </row>
    <row r="25" spans="1:35" ht="12.75">
      <c r="A25" s="8">
        <v>13617</v>
      </c>
      <c r="B25" s="7" t="s">
        <v>10</v>
      </c>
      <c r="C25" s="7" t="s">
        <v>225</v>
      </c>
      <c r="D25" s="14">
        <v>833</v>
      </c>
      <c r="E25" s="7" t="s">
        <v>57</v>
      </c>
      <c r="F25" s="7" t="s">
        <v>153</v>
      </c>
      <c r="G25" s="8"/>
      <c r="H25" s="7"/>
      <c r="I25" s="7" t="s">
        <v>220</v>
      </c>
      <c r="J25" s="7" t="s">
        <v>222</v>
      </c>
      <c r="K25" s="9">
        <v>4852</v>
      </c>
      <c r="L25" s="9">
        <f t="shared" si="6"/>
        <v>6414.882620564149</v>
      </c>
      <c r="M25" s="9">
        <f t="shared" si="7"/>
        <v>70.56370882620564</v>
      </c>
      <c r="N25" s="9"/>
      <c r="O25" s="9"/>
      <c r="P25" s="9"/>
      <c r="Q25" s="10"/>
      <c r="R25" s="10"/>
      <c r="S25" s="10"/>
      <c r="T25" s="10"/>
      <c r="U25" s="10"/>
      <c r="V25" s="9"/>
      <c r="W25" s="9"/>
      <c r="AC25" s="2">
        <f t="shared" si="4"/>
        <v>70.56370882620564</v>
      </c>
      <c r="AE25" s="2">
        <v>39462</v>
      </c>
      <c r="AF25" s="2">
        <f t="shared" si="8"/>
        <v>39.462</v>
      </c>
      <c r="AG25" s="2">
        <f t="shared" si="9"/>
        <v>14.39499660054595</v>
      </c>
      <c r="AH25" s="2">
        <f t="shared" si="3"/>
        <v>23.124732</v>
      </c>
      <c r="AI25" s="2">
        <f t="shared" si="5"/>
        <v>37.51972860054595</v>
      </c>
    </row>
    <row r="26" spans="1:35" ht="12.75">
      <c r="A26" s="8">
        <v>2532</v>
      </c>
      <c r="B26" s="7" t="s">
        <v>17</v>
      </c>
      <c r="C26" s="7" t="s">
        <v>225</v>
      </c>
      <c r="D26" s="14">
        <v>480</v>
      </c>
      <c r="E26" s="7" t="s">
        <v>112</v>
      </c>
      <c r="F26" s="7" t="s">
        <v>203</v>
      </c>
      <c r="G26" s="8">
        <v>2765</v>
      </c>
      <c r="H26" s="7" t="s">
        <v>212</v>
      </c>
      <c r="I26" s="7" t="s">
        <v>220</v>
      </c>
      <c r="J26" s="7" t="s">
        <v>222</v>
      </c>
      <c r="K26" s="9">
        <v>4323.89</v>
      </c>
      <c r="L26" s="9">
        <f t="shared" si="6"/>
        <v>5716.662575068244</v>
      </c>
      <c r="M26" s="9">
        <f t="shared" si="7"/>
        <v>62.883288325750684</v>
      </c>
      <c r="N26" s="9"/>
      <c r="O26" s="9"/>
      <c r="P26" s="9"/>
      <c r="Q26" s="10"/>
      <c r="R26" s="10"/>
      <c r="S26" s="10"/>
      <c r="T26" s="10"/>
      <c r="U26" s="10"/>
      <c r="V26" s="9"/>
      <c r="W26" s="9"/>
      <c r="AC26" s="2">
        <f t="shared" si="4"/>
        <v>62.883288325750684</v>
      </c>
      <c r="AE26" s="2">
        <v>18485</v>
      </c>
      <c r="AF26" s="2">
        <f t="shared" si="8"/>
        <v>18.485</v>
      </c>
      <c r="AG26" s="2">
        <f t="shared" si="9"/>
        <v>12.82819081845314</v>
      </c>
      <c r="AH26" s="2">
        <f t="shared" si="3"/>
        <v>10.83221</v>
      </c>
      <c r="AI26" s="2">
        <f t="shared" si="5"/>
        <v>23.66040081845314</v>
      </c>
    </row>
    <row r="27" spans="1:35" ht="12.75">
      <c r="A27" s="8">
        <v>943</v>
      </c>
      <c r="B27" s="7" t="s">
        <v>4</v>
      </c>
      <c r="C27" s="7" t="s">
        <v>225</v>
      </c>
      <c r="D27" s="14">
        <v>442</v>
      </c>
      <c r="E27" s="7" t="s">
        <v>38</v>
      </c>
      <c r="F27" s="7" t="s">
        <v>138</v>
      </c>
      <c r="G27" s="8">
        <v>2765</v>
      </c>
      <c r="H27" s="7" t="s">
        <v>212</v>
      </c>
      <c r="I27" s="7" t="s">
        <v>220</v>
      </c>
      <c r="J27" s="7" t="s">
        <v>222</v>
      </c>
      <c r="K27" s="9">
        <v>3747.97</v>
      </c>
      <c r="L27" s="9">
        <f t="shared" si="6"/>
        <v>4955.232402183803</v>
      </c>
      <c r="M27" s="9">
        <f t="shared" si="7"/>
        <v>54.507556424021836</v>
      </c>
      <c r="N27" s="9"/>
      <c r="O27" s="9"/>
      <c r="P27" s="9"/>
      <c r="Q27" s="10"/>
      <c r="R27" s="10"/>
      <c r="S27" s="10"/>
      <c r="T27" s="10"/>
      <c r="U27" s="10"/>
      <c r="V27" s="9"/>
      <c r="W27" s="9"/>
      <c r="AC27" s="2">
        <f t="shared" si="4"/>
        <v>54.507556424021836</v>
      </c>
      <c r="AE27" s="2">
        <v>22413</v>
      </c>
      <c r="AF27" s="2">
        <f t="shared" si="8"/>
        <v>22.413</v>
      </c>
      <c r="AG27" s="2">
        <f t="shared" si="9"/>
        <v>11.119541510500454</v>
      </c>
      <c r="AH27" s="2">
        <f t="shared" si="3"/>
        <v>13.134018</v>
      </c>
      <c r="AI27" s="2">
        <f t="shared" si="5"/>
        <v>24.253559510500452</v>
      </c>
    </row>
    <row r="28" spans="1:35" ht="12.75">
      <c r="A28" s="8">
        <v>228</v>
      </c>
      <c r="B28" s="7" t="s">
        <v>4</v>
      </c>
      <c r="C28" s="7" t="s">
        <v>225</v>
      </c>
      <c r="D28" s="14">
        <v>959</v>
      </c>
      <c r="E28" s="7" t="s">
        <v>41</v>
      </c>
      <c r="F28" s="7" t="s">
        <v>252</v>
      </c>
      <c r="G28" s="8">
        <v>2765</v>
      </c>
      <c r="H28" s="7" t="s">
        <v>212</v>
      </c>
      <c r="I28" s="7" t="s">
        <v>220</v>
      </c>
      <c r="J28" s="7" t="s">
        <v>222</v>
      </c>
      <c r="K28" s="9">
        <v>13422.14</v>
      </c>
      <c r="L28" s="9">
        <f t="shared" si="6"/>
        <v>17745.55907188353</v>
      </c>
      <c r="M28" s="9">
        <f t="shared" si="7"/>
        <v>195.20114979071883</v>
      </c>
      <c r="N28" s="9"/>
      <c r="O28" s="9"/>
      <c r="P28" s="9"/>
      <c r="Q28" s="10"/>
      <c r="R28" s="10"/>
      <c r="S28" s="10"/>
      <c r="T28" s="10"/>
      <c r="U28" s="10"/>
      <c r="V28" s="9"/>
      <c r="W28" s="9"/>
      <c r="AC28" s="2">
        <f t="shared" si="4"/>
        <v>195.20114979071883</v>
      </c>
      <c r="AE28" s="2">
        <v>3155</v>
      </c>
      <c r="AF28" s="2">
        <f t="shared" si="8"/>
        <v>3.1550000000000002</v>
      </c>
      <c r="AG28" s="2">
        <f t="shared" si="9"/>
        <v>39.82103455730664</v>
      </c>
      <c r="AH28" s="2">
        <f t="shared" si="3"/>
        <v>1.84883</v>
      </c>
      <c r="AI28" s="2">
        <f t="shared" si="5"/>
        <v>41.66986455730664</v>
      </c>
    </row>
    <row r="29" spans="1:35" ht="12.75">
      <c r="A29" s="8">
        <v>5882</v>
      </c>
      <c r="B29" s="7" t="s">
        <v>4</v>
      </c>
      <c r="C29" s="7" t="s">
        <v>225</v>
      </c>
      <c r="D29" s="14">
        <v>414</v>
      </c>
      <c r="E29" s="7" t="s">
        <v>60</v>
      </c>
      <c r="F29" s="7" t="s">
        <v>156</v>
      </c>
      <c r="G29" s="8">
        <v>3660</v>
      </c>
      <c r="H29" s="7" t="s">
        <v>0</v>
      </c>
      <c r="I29" s="7" t="s">
        <v>220</v>
      </c>
      <c r="J29" s="7" t="s">
        <v>222</v>
      </c>
      <c r="K29" s="9">
        <v>2826.77</v>
      </c>
      <c r="L29" s="9">
        <f t="shared" si="6"/>
        <v>3737.303739763421</v>
      </c>
      <c r="M29" s="9">
        <f t="shared" si="7"/>
        <v>41.11034113739763</v>
      </c>
      <c r="N29" s="9"/>
      <c r="O29" s="9"/>
      <c r="P29" s="9"/>
      <c r="Q29" s="10"/>
      <c r="R29" s="10"/>
      <c r="S29" s="10"/>
      <c r="T29" s="10"/>
      <c r="U29" s="10"/>
      <c r="V29" s="9"/>
      <c r="W29" s="9"/>
      <c r="AC29" s="2">
        <f t="shared" si="4"/>
        <v>41.11034113739763</v>
      </c>
      <c r="AE29" s="2">
        <v>8621</v>
      </c>
      <c r="AF29" s="2">
        <f t="shared" si="8"/>
        <v>8.621</v>
      </c>
      <c r="AG29" s="2">
        <f t="shared" si="9"/>
        <v>8.386509592029116</v>
      </c>
      <c r="AH29" s="2">
        <f t="shared" si="3"/>
        <v>5.051906</v>
      </c>
      <c r="AI29" s="2">
        <f t="shared" si="5"/>
        <v>13.438415592029116</v>
      </c>
    </row>
    <row r="30" spans="1:35" ht="12.75">
      <c r="A30" s="8">
        <v>5883</v>
      </c>
      <c r="B30" s="7" t="s">
        <v>4</v>
      </c>
      <c r="C30" s="7" t="s">
        <v>225</v>
      </c>
      <c r="D30" s="14">
        <v>470</v>
      </c>
      <c r="E30" s="7" t="s">
        <v>47</v>
      </c>
      <c r="F30" s="7" t="s">
        <v>145</v>
      </c>
      <c r="G30" s="8">
        <v>3660</v>
      </c>
      <c r="H30" s="7" t="s">
        <v>0</v>
      </c>
      <c r="I30" s="7" t="s">
        <v>220</v>
      </c>
      <c r="J30" s="7" t="s">
        <v>222</v>
      </c>
      <c r="K30" s="9">
        <v>4557</v>
      </c>
      <c r="L30" s="9">
        <f t="shared" si="6"/>
        <v>6024.859872611465</v>
      </c>
      <c r="M30" s="9">
        <f t="shared" si="7"/>
        <v>66.27345859872611</v>
      </c>
      <c r="N30" s="9"/>
      <c r="O30" s="9"/>
      <c r="P30" s="9"/>
      <c r="Q30" s="10"/>
      <c r="R30" s="10"/>
      <c r="S30" s="10"/>
      <c r="T30" s="10"/>
      <c r="U30" s="10"/>
      <c r="V30" s="9"/>
      <c r="W30" s="9"/>
      <c r="AC30" s="2">
        <f t="shared" si="4"/>
        <v>66.27345859872611</v>
      </c>
      <c r="AE30" s="2">
        <v>7570</v>
      </c>
      <c r="AF30" s="2">
        <f t="shared" si="8"/>
        <v>7.57</v>
      </c>
      <c r="AG30" s="2">
        <f t="shared" si="9"/>
        <v>13.519785554140125</v>
      </c>
      <c r="AH30" s="2">
        <f t="shared" si="3"/>
        <v>4.43602</v>
      </c>
      <c r="AI30" s="2">
        <f t="shared" si="5"/>
        <v>17.955805554140124</v>
      </c>
    </row>
    <row r="31" spans="1:35" ht="12.75">
      <c r="A31" s="8">
        <v>5883</v>
      </c>
      <c r="B31" s="7" t="s">
        <v>4</v>
      </c>
      <c r="C31" s="7" t="s">
        <v>225</v>
      </c>
      <c r="D31" s="14">
        <v>0</v>
      </c>
      <c r="E31" s="7" t="s">
        <v>82</v>
      </c>
      <c r="F31" s="7" t="s">
        <v>145</v>
      </c>
      <c r="G31" s="8">
        <v>3660</v>
      </c>
      <c r="H31" s="7" t="s">
        <v>0</v>
      </c>
      <c r="I31" s="7" t="s">
        <v>220</v>
      </c>
      <c r="J31" s="7" t="s">
        <v>222</v>
      </c>
      <c r="K31" s="9">
        <v>3135.42</v>
      </c>
      <c r="L31" s="9">
        <f t="shared" si="6"/>
        <v>4145.37330300273</v>
      </c>
      <c r="M31" s="9">
        <f t="shared" si="7"/>
        <v>45.59910633303002</v>
      </c>
      <c r="N31" s="9"/>
      <c r="O31" s="9"/>
      <c r="P31" s="9"/>
      <c r="Q31" s="10"/>
      <c r="R31" s="10"/>
      <c r="S31" s="10"/>
      <c r="T31" s="10"/>
      <c r="U31" s="10"/>
      <c r="V31" s="9"/>
      <c r="W31" s="9"/>
      <c r="AC31" s="2">
        <f t="shared" si="4"/>
        <v>45.59910633303002</v>
      </c>
      <c r="AE31" s="2">
        <v>48860</v>
      </c>
      <c r="AF31" s="2">
        <f t="shared" si="8"/>
        <v>48.86</v>
      </c>
      <c r="AG31" s="2">
        <f t="shared" si="9"/>
        <v>9.302217691938123</v>
      </c>
      <c r="AH31" s="2">
        <f t="shared" si="3"/>
        <v>28.63196</v>
      </c>
      <c r="AI31" s="2">
        <f t="shared" si="5"/>
        <v>37.934177691938125</v>
      </c>
    </row>
    <row r="32" spans="1:35" ht="12.75">
      <c r="A32" s="8" t="s">
        <v>279</v>
      </c>
      <c r="B32" s="7" t="s">
        <v>4</v>
      </c>
      <c r="C32" s="7" t="s">
        <v>225</v>
      </c>
      <c r="D32" s="15">
        <v>803</v>
      </c>
      <c r="E32" s="7" t="s">
        <v>64</v>
      </c>
      <c r="F32" s="7" t="s">
        <v>159</v>
      </c>
      <c r="G32" s="8"/>
      <c r="H32" s="7"/>
      <c r="I32" s="7" t="s">
        <v>220</v>
      </c>
      <c r="J32" s="7" t="s">
        <v>222</v>
      </c>
      <c r="K32" s="9">
        <v>11021.29</v>
      </c>
      <c r="L32" s="9">
        <f t="shared" si="6"/>
        <v>14571.368853503185</v>
      </c>
      <c r="M32" s="9">
        <f t="shared" si="7"/>
        <v>160.28505738853502</v>
      </c>
      <c r="N32" s="9"/>
      <c r="O32" s="9"/>
      <c r="P32" s="9"/>
      <c r="Q32" s="10"/>
      <c r="R32" s="10"/>
      <c r="S32" s="10"/>
      <c r="T32" s="10"/>
      <c r="U32" s="10"/>
      <c r="V32" s="9"/>
      <c r="W32" s="9"/>
      <c r="AC32" s="2">
        <f t="shared" si="4"/>
        <v>160.28505738853502</v>
      </c>
      <c r="AE32" s="2">
        <v>28687</v>
      </c>
      <c r="AF32" s="2">
        <f t="shared" si="8"/>
        <v>28.687</v>
      </c>
      <c r="AG32" s="2">
        <f t="shared" si="9"/>
        <v>32.69815170726114</v>
      </c>
      <c r="AH32" s="2">
        <f t="shared" si="3"/>
        <v>16.810582</v>
      </c>
      <c r="AI32" s="2">
        <f t="shared" si="5"/>
        <v>49.50873370726114</v>
      </c>
    </row>
    <row r="33" spans="1:35" ht="12.75">
      <c r="A33" s="8" t="s">
        <v>278</v>
      </c>
      <c r="B33" s="7" t="s">
        <v>13</v>
      </c>
      <c r="C33" s="7" t="s">
        <v>225</v>
      </c>
      <c r="D33" s="14">
        <v>1002</v>
      </c>
      <c r="E33" s="7" t="s">
        <v>90</v>
      </c>
      <c r="F33" s="7" t="s">
        <v>183</v>
      </c>
      <c r="G33" s="8">
        <v>3650</v>
      </c>
      <c r="H33" s="7" t="s">
        <v>1</v>
      </c>
      <c r="I33" s="7" t="s">
        <v>220</v>
      </c>
      <c r="J33" s="7" t="s">
        <v>222</v>
      </c>
      <c r="K33" s="9">
        <v>17618.95</v>
      </c>
      <c r="L33" s="9">
        <f t="shared" si="6"/>
        <v>23294.207779799817</v>
      </c>
      <c r="M33" s="9">
        <f t="shared" si="7"/>
        <v>256.236285577798</v>
      </c>
      <c r="N33" s="9"/>
      <c r="O33" s="9"/>
      <c r="P33" s="9"/>
      <c r="Q33" s="10"/>
      <c r="R33" s="10"/>
      <c r="S33" s="10"/>
      <c r="T33" s="10"/>
      <c r="U33" s="10"/>
      <c r="V33" s="9"/>
      <c r="W33" s="9"/>
      <c r="AC33" s="2">
        <f t="shared" si="4"/>
        <v>256.236285577798</v>
      </c>
      <c r="AE33" s="2">
        <v>14923</v>
      </c>
      <c r="AF33" s="2">
        <f t="shared" si="8"/>
        <v>14.923</v>
      </c>
      <c r="AG33" s="2">
        <f t="shared" si="9"/>
        <v>52.272202257870795</v>
      </c>
      <c r="AH33" s="2">
        <f t="shared" si="3"/>
        <v>8.744878</v>
      </c>
      <c r="AI33" s="2">
        <f t="shared" si="5"/>
        <v>61.017080257870795</v>
      </c>
    </row>
    <row r="34" spans="1:35" ht="12.75">
      <c r="A34" s="8">
        <v>11398</v>
      </c>
      <c r="B34" s="7" t="s">
        <v>10</v>
      </c>
      <c r="C34" s="7" t="s">
        <v>225</v>
      </c>
      <c r="D34" s="14">
        <v>187</v>
      </c>
      <c r="E34" s="7" t="s">
        <v>101</v>
      </c>
      <c r="F34" s="7" t="s">
        <v>193</v>
      </c>
      <c r="G34" s="8"/>
      <c r="H34" s="7"/>
      <c r="I34" s="7" t="s">
        <v>220</v>
      </c>
      <c r="J34" s="7" t="s">
        <v>222</v>
      </c>
      <c r="K34" s="9">
        <v>3662.47</v>
      </c>
      <c r="L34" s="9">
        <f t="shared" si="6"/>
        <v>4842.191910828025</v>
      </c>
      <c r="M34" s="9">
        <f t="shared" si="7"/>
        <v>53.26411101910828</v>
      </c>
      <c r="N34" s="9"/>
      <c r="O34" s="9"/>
      <c r="P34" s="9"/>
      <c r="Q34" s="10"/>
      <c r="R34" s="10"/>
      <c r="S34" s="10"/>
      <c r="T34" s="10"/>
      <c r="U34" s="10"/>
      <c r="V34" s="9"/>
      <c r="W34" s="9"/>
      <c r="AC34" s="2">
        <f t="shared" si="4"/>
        <v>53.26411101910828</v>
      </c>
      <c r="AE34" s="2">
        <v>639</v>
      </c>
      <c r="AF34" s="2">
        <f t="shared" si="8"/>
        <v>0.639</v>
      </c>
      <c r="AG34" s="2">
        <f t="shared" si="9"/>
        <v>10.865878647898088</v>
      </c>
      <c r="AH34" s="2">
        <f t="shared" si="3"/>
        <v>0.374454</v>
      </c>
      <c r="AI34" s="2">
        <f t="shared" si="5"/>
        <v>11.240332647898088</v>
      </c>
    </row>
    <row r="35" spans="1:35" ht="12.75">
      <c r="A35" s="8"/>
      <c r="B35" s="7"/>
      <c r="C35" s="7" t="s">
        <v>225</v>
      </c>
      <c r="D35" s="16">
        <v>124</v>
      </c>
      <c r="E35" s="7" t="s">
        <v>64</v>
      </c>
      <c r="F35" s="7" t="s">
        <v>247</v>
      </c>
      <c r="G35" s="8"/>
      <c r="H35" s="7"/>
      <c r="I35" s="7" t="s">
        <v>220</v>
      </c>
      <c r="J35" s="7" t="s">
        <v>222</v>
      </c>
      <c r="K35" s="9">
        <v>1996.03</v>
      </c>
      <c r="L35" s="9">
        <f t="shared" si="6"/>
        <v>2638.9732393084623</v>
      </c>
      <c r="M35" s="9">
        <f t="shared" si="7"/>
        <v>29.028705632393084</v>
      </c>
      <c r="N35" s="9"/>
      <c r="O35" s="9"/>
      <c r="P35" s="9"/>
      <c r="Q35" s="10"/>
      <c r="R35" s="10"/>
      <c r="S35" s="10"/>
      <c r="T35" s="10"/>
      <c r="U35" s="10"/>
      <c r="V35" s="9"/>
      <c r="W35" s="9"/>
      <c r="AC35" s="2">
        <f t="shared" si="4"/>
        <v>29.028705632393084</v>
      </c>
      <c r="AE35" s="2">
        <v>7337</v>
      </c>
      <c r="AF35" s="2">
        <f t="shared" si="8"/>
        <v>7.337</v>
      </c>
      <c r="AG35" s="2">
        <f t="shared" si="9"/>
        <v>5.921855949008188</v>
      </c>
      <c r="AH35" s="2">
        <f t="shared" si="3"/>
        <v>4.299481999999999</v>
      </c>
      <c r="AI35" s="2">
        <f t="shared" si="5"/>
        <v>10.221337949008188</v>
      </c>
    </row>
    <row r="36" spans="1:35" ht="12.75">
      <c r="A36" s="8">
        <v>1479</v>
      </c>
      <c r="B36" s="7" t="s">
        <v>13</v>
      </c>
      <c r="C36" s="7" t="s">
        <v>225</v>
      </c>
      <c r="D36" s="14">
        <v>490</v>
      </c>
      <c r="E36" s="7" t="s">
        <v>91</v>
      </c>
      <c r="F36" s="7" t="s">
        <v>184</v>
      </c>
      <c r="G36" s="8">
        <v>2765</v>
      </c>
      <c r="H36" s="7" t="s">
        <v>212</v>
      </c>
      <c r="I36" s="7" t="s">
        <v>220</v>
      </c>
      <c r="J36" s="7" t="s">
        <v>222</v>
      </c>
      <c r="K36" s="9">
        <v>3073.41</v>
      </c>
      <c r="L36" s="9">
        <f t="shared" si="6"/>
        <v>4063.389199272065</v>
      </c>
      <c r="M36" s="9">
        <f t="shared" si="7"/>
        <v>44.69728119199272</v>
      </c>
      <c r="N36" s="9"/>
      <c r="O36" s="9"/>
      <c r="P36" s="9"/>
      <c r="Q36" s="10"/>
      <c r="R36" s="10"/>
      <c r="S36" s="10"/>
      <c r="T36" s="10"/>
      <c r="U36" s="10"/>
      <c r="V36" s="9"/>
      <c r="W36" s="9"/>
      <c r="AC36" s="2">
        <f t="shared" si="4"/>
        <v>44.69728119199272</v>
      </c>
      <c r="AE36" s="2">
        <f>2383+6127</f>
        <v>8510</v>
      </c>
      <c r="AF36" s="2">
        <f t="shared" si="8"/>
        <v>8.51</v>
      </c>
      <c r="AG36" s="2">
        <f t="shared" si="9"/>
        <v>9.118245363166515</v>
      </c>
      <c r="AH36" s="2">
        <f t="shared" si="3"/>
        <v>4.986859999999999</v>
      </c>
      <c r="AI36" s="2">
        <f t="shared" si="5"/>
        <v>14.105105363166516</v>
      </c>
    </row>
    <row r="37" spans="1:35" ht="12.75">
      <c r="A37" s="8">
        <v>8842</v>
      </c>
      <c r="B37" s="7" t="s">
        <v>4</v>
      </c>
      <c r="C37" s="7" t="s">
        <v>225</v>
      </c>
      <c r="D37" s="14">
        <v>746</v>
      </c>
      <c r="E37" s="7" t="s">
        <v>29</v>
      </c>
      <c r="F37" s="7" t="s">
        <v>130</v>
      </c>
      <c r="G37" s="8">
        <v>3670</v>
      </c>
      <c r="H37" s="7" t="s">
        <v>213</v>
      </c>
      <c r="I37" s="7" t="s">
        <v>220</v>
      </c>
      <c r="J37" s="7" t="s">
        <v>222</v>
      </c>
      <c r="K37" s="9">
        <v>6111</v>
      </c>
      <c r="L37" s="9">
        <f t="shared" si="6"/>
        <v>8079.420382165605</v>
      </c>
      <c r="M37" s="9">
        <f t="shared" si="7"/>
        <v>88.87362420382165</v>
      </c>
      <c r="N37" s="9"/>
      <c r="O37" s="9"/>
      <c r="P37" s="9"/>
      <c r="Q37" s="10"/>
      <c r="R37" s="10"/>
      <c r="S37" s="10"/>
      <c r="T37" s="10"/>
      <c r="U37" s="10"/>
      <c r="V37" s="9"/>
      <c r="W37" s="9"/>
      <c r="AC37" s="2">
        <f t="shared" si="4"/>
        <v>88.87362420382165</v>
      </c>
      <c r="AE37" s="2">
        <v>38290</v>
      </c>
      <c r="AF37" s="2">
        <f t="shared" si="8"/>
        <v>38.29</v>
      </c>
      <c r="AG37" s="2">
        <f t="shared" si="9"/>
        <v>18.130219337579614</v>
      </c>
      <c r="AH37" s="2">
        <f t="shared" si="3"/>
        <v>22.437939999999998</v>
      </c>
      <c r="AI37" s="2">
        <f t="shared" si="5"/>
        <v>40.568159337579615</v>
      </c>
    </row>
    <row r="38" spans="1:35" ht="12.75">
      <c r="A38" s="8">
        <v>7231</v>
      </c>
      <c r="B38" s="7" t="s">
        <v>4</v>
      </c>
      <c r="C38" s="7" t="s">
        <v>225</v>
      </c>
      <c r="D38" s="14">
        <v>520</v>
      </c>
      <c r="E38" s="7" t="s">
        <v>87</v>
      </c>
      <c r="F38" s="7" t="s">
        <v>181</v>
      </c>
      <c r="G38" s="8">
        <v>3660</v>
      </c>
      <c r="H38" s="7" t="s">
        <v>0</v>
      </c>
      <c r="I38" s="7" t="s">
        <v>220</v>
      </c>
      <c r="J38" s="7" t="s">
        <v>222</v>
      </c>
      <c r="K38" s="9">
        <v>1994</v>
      </c>
      <c r="L38" s="9">
        <f t="shared" si="6"/>
        <v>2636.2893539581437</v>
      </c>
      <c r="M38" s="9">
        <f t="shared" si="7"/>
        <v>28.999182893539583</v>
      </c>
      <c r="N38" s="9"/>
      <c r="O38" s="9"/>
      <c r="P38" s="9"/>
      <c r="Q38" s="10"/>
      <c r="R38" s="10"/>
      <c r="S38" s="10"/>
      <c r="T38" s="10"/>
      <c r="U38" s="10"/>
      <c r="V38" s="9"/>
      <c r="W38" s="9"/>
      <c r="AC38" s="2">
        <f t="shared" si="4"/>
        <v>28.999182893539583</v>
      </c>
      <c r="AE38" s="2">
        <v>18872</v>
      </c>
      <c r="AF38" s="2">
        <f t="shared" si="8"/>
        <v>18.872</v>
      </c>
      <c r="AG38" s="2">
        <f t="shared" si="9"/>
        <v>5.915833310282075</v>
      </c>
      <c r="AH38" s="2">
        <f t="shared" si="3"/>
        <v>11.058992</v>
      </c>
      <c r="AI38" s="2">
        <f t="shared" si="5"/>
        <v>16.974825310282075</v>
      </c>
    </row>
    <row r="39" spans="1:35" ht="12.75">
      <c r="A39" s="8">
        <v>12712</v>
      </c>
      <c r="B39" s="7" t="s">
        <v>10</v>
      </c>
      <c r="C39" s="7" t="s">
        <v>225</v>
      </c>
      <c r="D39" s="14">
        <v>484</v>
      </c>
      <c r="E39" s="7" t="s">
        <v>65</v>
      </c>
      <c r="F39" s="7" t="s">
        <v>160</v>
      </c>
      <c r="G39" s="8"/>
      <c r="H39" s="7"/>
      <c r="I39" s="7" t="s">
        <v>220</v>
      </c>
      <c r="J39" s="7" t="s">
        <v>222</v>
      </c>
      <c r="K39" s="9">
        <v>4291.35</v>
      </c>
      <c r="L39" s="9">
        <f t="shared" si="6"/>
        <v>5673.641082802548</v>
      </c>
      <c r="M39" s="9">
        <f t="shared" si="7"/>
        <v>62.41005191082803</v>
      </c>
      <c r="N39" s="9"/>
      <c r="O39" s="9"/>
      <c r="P39" s="9"/>
      <c r="Q39" s="10"/>
      <c r="R39" s="10"/>
      <c r="S39" s="10"/>
      <c r="T39" s="10"/>
      <c r="U39" s="10"/>
      <c r="V39" s="9"/>
      <c r="W39" s="9"/>
      <c r="AC39" s="2">
        <f t="shared" si="4"/>
        <v>62.41005191082803</v>
      </c>
      <c r="AE39" s="2">
        <v>31537</v>
      </c>
      <c r="AF39" s="2">
        <f t="shared" si="8"/>
        <v>31.537</v>
      </c>
      <c r="AG39" s="2">
        <f t="shared" si="9"/>
        <v>12.731650589808918</v>
      </c>
      <c r="AH39" s="2">
        <f t="shared" si="3"/>
        <v>18.480681999999998</v>
      </c>
      <c r="AI39" s="2">
        <f t="shared" si="5"/>
        <v>31.212332589808916</v>
      </c>
    </row>
    <row r="40" spans="1:35" ht="12.75">
      <c r="A40" s="8">
        <v>12595</v>
      </c>
      <c r="B40" s="7" t="s">
        <v>10</v>
      </c>
      <c r="C40" s="7" t="s">
        <v>225</v>
      </c>
      <c r="D40" s="14">
        <v>1230</v>
      </c>
      <c r="E40" s="7" t="s">
        <v>70</v>
      </c>
      <c r="F40" s="7" t="s">
        <v>164</v>
      </c>
      <c r="G40" s="8" t="s">
        <v>241</v>
      </c>
      <c r="H40" s="7" t="s">
        <v>1</v>
      </c>
      <c r="I40" s="7" t="s">
        <v>220</v>
      </c>
      <c r="J40" s="7" t="s">
        <v>222</v>
      </c>
      <c r="K40" s="9">
        <v>21524.42</v>
      </c>
      <c r="L40" s="9">
        <f t="shared" si="6"/>
        <v>28457.67266606005</v>
      </c>
      <c r="M40" s="9">
        <f t="shared" si="7"/>
        <v>313.03439932666055</v>
      </c>
      <c r="N40" s="9"/>
      <c r="O40" s="9"/>
      <c r="P40" s="9"/>
      <c r="Q40" s="10"/>
      <c r="R40" s="10"/>
      <c r="S40" s="10"/>
      <c r="T40" s="10"/>
      <c r="U40" s="10"/>
      <c r="V40" s="9"/>
      <c r="W40" s="9"/>
      <c r="AC40" s="2">
        <f t="shared" si="4"/>
        <v>313.03439932666055</v>
      </c>
      <c r="AE40" s="2">
        <v>41272</v>
      </c>
      <c r="AF40" s="2">
        <f t="shared" si="8"/>
        <v>41.272</v>
      </c>
      <c r="AG40" s="2">
        <f t="shared" si="9"/>
        <v>63.85901746263875</v>
      </c>
      <c r="AH40" s="2">
        <f t="shared" si="3"/>
        <v>24.185391999999997</v>
      </c>
      <c r="AI40" s="2">
        <f t="shared" si="5"/>
        <v>88.04440946263874</v>
      </c>
    </row>
    <row r="41" spans="1:35" ht="12.75">
      <c r="A41" s="13">
        <v>12595</v>
      </c>
      <c r="B41" s="7" t="s">
        <v>17</v>
      </c>
      <c r="C41" s="7" t="s">
        <v>225</v>
      </c>
      <c r="D41" s="14">
        <v>0</v>
      </c>
      <c r="E41" s="7" t="s">
        <v>71</v>
      </c>
      <c r="F41" s="7" t="s">
        <v>165</v>
      </c>
      <c r="G41" s="13">
        <v>3650</v>
      </c>
      <c r="H41" s="7" t="s">
        <v>1</v>
      </c>
      <c r="I41" s="7" t="s">
        <v>220</v>
      </c>
      <c r="J41" s="7" t="s">
        <v>222</v>
      </c>
      <c r="K41" s="9">
        <v>0</v>
      </c>
      <c r="L41" s="9">
        <f t="shared" si="6"/>
        <v>0</v>
      </c>
      <c r="M41" s="9">
        <f t="shared" si="7"/>
        <v>0</v>
      </c>
      <c r="N41" s="9"/>
      <c r="O41" s="9"/>
      <c r="P41" s="9"/>
      <c r="Q41" s="10"/>
      <c r="R41" s="10"/>
      <c r="S41" s="10"/>
      <c r="T41" s="10"/>
      <c r="U41" s="10"/>
      <c r="V41" s="9"/>
      <c r="W41" s="9"/>
      <c r="AC41" s="2">
        <f t="shared" si="4"/>
        <v>0</v>
      </c>
      <c r="AE41" s="2">
        <v>16625</v>
      </c>
      <c r="AF41" s="2">
        <f t="shared" si="8"/>
        <v>16.625</v>
      </c>
      <c r="AG41" s="2">
        <f t="shared" si="9"/>
        <v>0</v>
      </c>
      <c r="AH41" s="2">
        <f t="shared" si="3"/>
        <v>9.74225</v>
      </c>
      <c r="AI41" s="2">
        <f t="shared" si="5"/>
        <v>9.74225</v>
      </c>
    </row>
    <row r="42" spans="1:35" ht="12.75">
      <c r="A42" s="8">
        <v>13246</v>
      </c>
      <c r="B42" s="10"/>
      <c r="C42" s="7" t="s">
        <v>225</v>
      </c>
      <c r="D42" s="14">
        <v>1011</v>
      </c>
      <c r="E42" s="7" t="s">
        <v>280</v>
      </c>
      <c r="F42" s="7" t="s">
        <v>271</v>
      </c>
      <c r="G42" s="11"/>
      <c r="H42" s="10"/>
      <c r="I42" s="7" t="s">
        <v>220</v>
      </c>
      <c r="J42" s="7" t="s">
        <v>222</v>
      </c>
      <c r="K42" s="9">
        <v>10858.29</v>
      </c>
      <c r="L42" s="9">
        <f t="shared" si="6"/>
        <v>14355.864758871703</v>
      </c>
      <c r="M42" s="9">
        <f t="shared" si="7"/>
        <v>157.91451234758873</v>
      </c>
      <c r="N42" s="9"/>
      <c r="O42" s="9"/>
      <c r="P42" s="9"/>
      <c r="Q42" s="10"/>
      <c r="R42" s="10"/>
      <c r="S42" s="10"/>
      <c r="T42" s="10"/>
      <c r="U42" s="10"/>
      <c r="V42" s="9"/>
      <c r="W42" s="9"/>
      <c r="AC42" s="2">
        <f t="shared" si="4"/>
        <v>157.91451234758873</v>
      </c>
      <c r="AE42" s="2">
        <v>47487</v>
      </c>
      <c r="AF42" s="2">
        <f t="shared" si="8"/>
        <v>47.487</v>
      </c>
      <c r="AG42" s="2">
        <f t="shared" si="9"/>
        <v>32.2145605189081</v>
      </c>
      <c r="AH42" s="2">
        <f t="shared" si="3"/>
        <v>27.827382</v>
      </c>
      <c r="AI42" s="2">
        <f t="shared" si="5"/>
        <v>60.0419425189081</v>
      </c>
    </row>
    <row r="43" spans="1:35" ht="12.75">
      <c r="A43" s="8">
        <v>9424</v>
      </c>
      <c r="B43" s="7" t="s">
        <v>10</v>
      </c>
      <c r="C43" s="7" t="s">
        <v>225</v>
      </c>
      <c r="D43" s="14">
        <v>281</v>
      </c>
      <c r="E43" s="7" t="s">
        <v>105</v>
      </c>
      <c r="F43" s="7" t="s">
        <v>197</v>
      </c>
      <c r="G43" s="8"/>
      <c r="H43" s="7"/>
      <c r="I43" s="7" t="s">
        <v>218</v>
      </c>
      <c r="J43" s="7" t="s">
        <v>222</v>
      </c>
      <c r="K43" s="9"/>
      <c r="L43" s="9"/>
      <c r="M43" s="9"/>
      <c r="N43" s="10">
        <v>176</v>
      </c>
      <c r="O43" s="9">
        <f>2906/2198*N43</f>
        <v>232.69153776160144</v>
      </c>
      <c r="P43" s="9">
        <f>0.278*O43</f>
        <v>64.6882474977252</v>
      </c>
      <c r="Q43" s="10"/>
      <c r="R43" s="10"/>
      <c r="S43" s="10"/>
      <c r="T43" s="10"/>
      <c r="U43" s="10"/>
      <c r="V43" s="9"/>
      <c r="W43" s="9"/>
      <c r="AC43" s="2">
        <f t="shared" si="4"/>
        <v>64.6882474977252</v>
      </c>
      <c r="AE43" s="2">
        <v>11023</v>
      </c>
      <c r="AF43" s="2">
        <f t="shared" si="8"/>
        <v>11.023</v>
      </c>
      <c r="AG43" s="2">
        <f>0.1*P43</f>
        <v>6.46882474977252</v>
      </c>
      <c r="AH43" s="2">
        <f t="shared" si="3"/>
        <v>6.459478</v>
      </c>
      <c r="AI43" s="2">
        <f t="shared" si="5"/>
        <v>12.92830274977252</v>
      </c>
    </row>
    <row r="44" spans="1:35" ht="12.75">
      <c r="A44" s="8">
        <v>8972</v>
      </c>
      <c r="B44" s="7" t="s">
        <v>4</v>
      </c>
      <c r="C44" s="7" t="s">
        <v>225</v>
      </c>
      <c r="D44" s="14">
        <v>582</v>
      </c>
      <c r="E44" s="7" t="s">
        <v>46</v>
      </c>
      <c r="F44" s="7" t="s">
        <v>144</v>
      </c>
      <c r="G44" s="8">
        <v>3660</v>
      </c>
      <c r="H44" s="7" t="s">
        <v>0</v>
      </c>
      <c r="I44" s="7" t="s">
        <v>218</v>
      </c>
      <c r="J44" s="7" t="s">
        <v>222</v>
      </c>
      <c r="K44" s="9"/>
      <c r="L44" s="9"/>
      <c r="M44" s="9"/>
      <c r="N44" s="12">
        <v>0</v>
      </c>
      <c r="O44" s="9">
        <f>2906/2198*N44</f>
        <v>0</v>
      </c>
      <c r="P44" s="9">
        <f>0.0606*1977.03</f>
        <v>119.808018</v>
      </c>
      <c r="Q44" s="10"/>
      <c r="R44" s="7"/>
      <c r="S44" s="7"/>
      <c r="T44" s="7"/>
      <c r="U44" s="7"/>
      <c r="V44" s="9"/>
      <c r="W44" s="9"/>
      <c r="AC44" s="2">
        <f t="shared" si="4"/>
        <v>119.808018</v>
      </c>
      <c r="AE44" s="2">
        <v>82755</v>
      </c>
      <c r="AF44" s="2">
        <f t="shared" si="8"/>
        <v>82.755</v>
      </c>
      <c r="AG44" s="2">
        <f>0.1*P44</f>
        <v>11.980801800000002</v>
      </c>
      <c r="AH44" s="2">
        <f t="shared" si="3"/>
        <v>48.494429999999994</v>
      </c>
      <c r="AI44" s="2">
        <f t="shared" si="5"/>
        <v>60.475231799999996</v>
      </c>
    </row>
    <row r="45" spans="1:35" ht="12.75">
      <c r="A45" s="8">
        <v>12268</v>
      </c>
      <c r="B45" s="7" t="s">
        <v>10</v>
      </c>
      <c r="C45" s="7" t="s">
        <v>225</v>
      </c>
      <c r="D45" s="14">
        <v>210</v>
      </c>
      <c r="E45" s="7" t="s">
        <v>107</v>
      </c>
      <c r="F45" s="7" t="s">
        <v>199</v>
      </c>
      <c r="G45" s="8"/>
      <c r="H45" s="7"/>
      <c r="I45" s="7" t="s">
        <v>221</v>
      </c>
      <c r="J45" s="7" t="s">
        <v>229</v>
      </c>
      <c r="K45" s="9"/>
      <c r="L45" s="9"/>
      <c r="M45" s="9"/>
      <c r="N45" s="9"/>
      <c r="O45" s="9"/>
      <c r="P45" s="9"/>
      <c r="Q45" s="10"/>
      <c r="R45" s="10"/>
      <c r="S45" s="10"/>
      <c r="T45" s="10"/>
      <c r="U45" s="10"/>
      <c r="V45" s="9"/>
      <c r="W45" s="9"/>
      <c r="X45">
        <v>4211</v>
      </c>
      <c r="Y45" s="2">
        <f>2906/2198*X45</f>
        <v>5567.409463148317</v>
      </c>
      <c r="Z45" s="2">
        <f>10/1000*Y45</f>
        <v>55.67409463148317</v>
      </c>
      <c r="AA45" s="2"/>
      <c r="AB45" s="2"/>
      <c r="AC45" s="2">
        <f t="shared" si="4"/>
        <v>55.67409463148317</v>
      </c>
      <c r="AE45" s="2">
        <v>18119</v>
      </c>
      <c r="AF45" s="2">
        <f t="shared" si="8"/>
        <v>18.119</v>
      </c>
      <c r="AG45" s="2">
        <f>0.266*Z45</f>
        <v>14.809309171974524</v>
      </c>
      <c r="AH45" s="2">
        <f t="shared" si="3"/>
        <v>10.617733999999999</v>
      </c>
      <c r="AI45" s="2">
        <f t="shared" si="5"/>
        <v>25.427043171974525</v>
      </c>
    </row>
    <row r="46" spans="1:35" ht="12.75">
      <c r="A46" s="8">
        <v>8537</v>
      </c>
      <c r="B46" s="7" t="s">
        <v>4</v>
      </c>
      <c r="C46" s="7" t="s">
        <v>225</v>
      </c>
      <c r="D46" s="14">
        <v>383</v>
      </c>
      <c r="E46" s="7" t="s">
        <v>23</v>
      </c>
      <c r="F46" s="7" t="s">
        <v>123</v>
      </c>
      <c r="G46" s="8">
        <v>3660</v>
      </c>
      <c r="H46" s="7" t="s">
        <v>0</v>
      </c>
      <c r="I46" s="7" t="s">
        <v>217</v>
      </c>
      <c r="J46" s="7" t="s">
        <v>222</v>
      </c>
      <c r="K46" s="9"/>
      <c r="L46" s="9"/>
      <c r="M46" s="9"/>
      <c r="N46" s="9"/>
      <c r="O46" s="9"/>
      <c r="P46" s="9"/>
      <c r="Q46" s="10">
        <v>205.3</v>
      </c>
      <c r="R46" s="9">
        <f>2198/2330*Q46</f>
        <v>193.6692703862661</v>
      </c>
      <c r="S46" s="9">
        <f>2906/2198*R46</f>
        <v>256.0522746781116</v>
      </c>
      <c r="T46" s="9">
        <f>0.278*S46</f>
        <v>71.18253236051503</v>
      </c>
      <c r="U46" s="10"/>
      <c r="V46" s="9"/>
      <c r="W46" s="9"/>
      <c r="AC46" s="2">
        <f t="shared" si="4"/>
        <v>71.18253236051503</v>
      </c>
      <c r="AE46" s="2">
        <v>4744</v>
      </c>
      <c r="AF46" s="2">
        <f t="shared" si="8"/>
        <v>4.744</v>
      </c>
      <c r="AG46" s="2">
        <f>0.126*T46</f>
        <v>8.968999077424893</v>
      </c>
      <c r="AH46" s="2">
        <f t="shared" si="3"/>
        <v>2.779984</v>
      </c>
      <c r="AI46" s="2">
        <f t="shared" si="5"/>
        <v>11.748983077424892</v>
      </c>
    </row>
    <row r="47" spans="1:35" ht="12.75">
      <c r="A47" s="8">
        <v>8950</v>
      </c>
      <c r="B47" s="7" t="s">
        <v>4</v>
      </c>
      <c r="C47" s="7" t="s">
        <v>225</v>
      </c>
      <c r="D47" s="14">
        <v>596</v>
      </c>
      <c r="E47" s="7" t="s">
        <v>25</v>
      </c>
      <c r="F47" s="7" t="s">
        <v>126</v>
      </c>
      <c r="G47" s="8">
        <v>3660</v>
      </c>
      <c r="H47" s="7" t="s">
        <v>0</v>
      </c>
      <c r="I47" s="7" t="s">
        <v>217</v>
      </c>
      <c r="J47" s="7" t="s">
        <v>222</v>
      </c>
      <c r="K47" s="9"/>
      <c r="L47" s="9"/>
      <c r="M47" s="9"/>
      <c r="N47" s="9"/>
      <c r="O47" s="9"/>
      <c r="P47" s="9"/>
      <c r="Q47" s="10">
        <v>241.06</v>
      </c>
      <c r="R47" s="9">
        <f>2198/2330*Q47</f>
        <v>227.40338197424893</v>
      </c>
      <c r="S47" s="9">
        <f>2906/2198*R47</f>
        <v>300.65251502145924</v>
      </c>
      <c r="T47" s="9">
        <f>0.278*S47</f>
        <v>83.58139917596567</v>
      </c>
      <c r="U47" s="10"/>
      <c r="V47" s="9"/>
      <c r="W47" s="9"/>
      <c r="AC47" s="2">
        <f t="shared" si="4"/>
        <v>83.58139917596567</v>
      </c>
      <c r="AE47" s="2">
        <v>22736</v>
      </c>
      <c r="AF47" s="2">
        <f t="shared" si="8"/>
        <v>22.736</v>
      </c>
      <c r="AG47" s="2">
        <f>0.126*T47</f>
        <v>10.531256296171675</v>
      </c>
      <c r="AH47" s="2">
        <f t="shared" si="3"/>
        <v>13.323296</v>
      </c>
      <c r="AI47" s="2">
        <f t="shared" si="5"/>
        <v>23.854552296171676</v>
      </c>
    </row>
    <row r="48" spans="1:35" ht="12.75">
      <c r="A48" s="8">
        <v>2557</v>
      </c>
      <c r="B48" s="7" t="s">
        <v>3</v>
      </c>
      <c r="C48" s="7" t="s">
        <v>225</v>
      </c>
      <c r="D48" s="14">
        <v>1033</v>
      </c>
      <c r="E48" s="7" t="s">
        <v>35</v>
      </c>
      <c r="F48" s="7" t="s">
        <v>135</v>
      </c>
      <c r="G48" s="8">
        <v>2765</v>
      </c>
      <c r="H48" s="7" t="s">
        <v>212</v>
      </c>
      <c r="I48" s="7" t="s">
        <v>212</v>
      </c>
      <c r="J48" s="7" t="s">
        <v>222</v>
      </c>
      <c r="K48" s="9"/>
      <c r="L48" s="9"/>
      <c r="M48" s="9"/>
      <c r="N48" s="9"/>
      <c r="O48" s="9"/>
      <c r="P48" s="9"/>
      <c r="Q48" s="10"/>
      <c r="R48" s="10"/>
      <c r="S48" s="10"/>
      <c r="T48" s="10"/>
      <c r="U48" s="10">
        <v>76.065</v>
      </c>
      <c r="V48" s="9">
        <f aca="true" t="shared" si="10" ref="V48:V54">2198/2330*U48</f>
        <v>71.75573819742489</v>
      </c>
      <c r="W48" s="9">
        <f aca="true" t="shared" si="11" ref="W48:W54">2906/2198*V48</f>
        <v>94.86905150214592</v>
      </c>
      <c r="AC48" s="2">
        <f t="shared" si="4"/>
        <v>94.86905150214592</v>
      </c>
      <c r="AE48" s="2">
        <v>0</v>
      </c>
      <c r="AF48" s="2">
        <f t="shared" si="8"/>
        <v>0</v>
      </c>
      <c r="AG48" s="2">
        <f aca="true" t="shared" si="12" ref="AG48:AG54">0.126*W48</f>
        <v>11.953500489270386</v>
      </c>
      <c r="AH48" s="2">
        <f t="shared" si="3"/>
        <v>0</v>
      </c>
      <c r="AI48" s="2">
        <f t="shared" si="5"/>
        <v>11.953500489270386</v>
      </c>
    </row>
    <row r="49" spans="1:35" ht="12.75">
      <c r="A49" s="8">
        <v>2557</v>
      </c>
      <c r="B49" s="7" t="s">
        <v>4</v>
      </c>
      <c r="C49" s="7" t="s">
        <v>225</v>
      </c>
      <c r="D49" s="14">
        <v>0</v>
      </c>
      <c r="E49" s="7" t="s">
        <v>39</v>
      </c>
      <c r="F49" s="7" t="s">
        <v>139</v>
      </c>
      <c r="G49" s="8">
        <v>2765</v>
      </c>
      <c r="H49" s="7" t="s">
        <v>212</v>
      </c>
      <c r="I49" s="7" t="s">
        <v>212</v>
      </c>
      <c r="J49" s="7" t="s">
        <v>222</v>
      </c>
      <c r="K49" s="9"/>
      <c r="L49" s="9"/>
      <c r="M49" s="9"/>
      <c r="N49" s="9"/>
      <c r="O49" s="9"/>
      <c r="P49" s="9"/>
      <c r="Q49" s="10"/>
      <c r="R49" s="10"/>
      <c r="S49" s="10"/>
      <c r="T49" s="10"/>
      <c r="U49" s="10">
        <v>90.245</v>
      </c>
      <c r="V49" s="9">
        <f t="shared" si="10"/>
        <v>85.1324077253219</v>
      </c>
      <c r="W49" s="9">
        <f t="shared" si="11"/>
        <v>112.55449356223177</v>
      </c>
      <c r="AC49" s="2">
        <f t="shared" si="4"/>
        <v>112.55449356223177</v>
      </c>
      <c r="AE49" s="2">
        <v>51663</v>
      </c>
      <c r="AF49" s="2">
        <f t="shared" si="8"/>
        <v>51.663000000000004</v>
      </c>
      <c r="AG49" s="2">
        <f t="shared" si="12"/>
        <v>14.181866188841203</v>
      </c>
      <c r="AH49" s="2">
        <f t="shared" si="3"/>
        <v>30.274518</v>
      </c>
      <c r="AI49" s="2">
        <f t="shared" si="5"/>
        <v>44.456384188841206</v>
      </c>
    </row>
    <row r="50" spans="1:35" ht="12.75">
      <c r="A50" s="8">
        <v>2362</v>
      </c>
      <c r="B50" s="7" t="s">
        <v>4</v>
      </c>
      <c r="C50" s="7" t="s">
        <v>225</v>
      </c>
      <c r="D50" s="14">
        <v>402</v>
      </c>
      <c r="E50" s="7" t="s">
        <v>40</v>
      </c>
      <c r="F50" s="7" t="s">
        <v>140</v>
      </c>
      <c r="G50" s="8">
        <v>2765</v>
      </c>
      <c r="H50" s="7" t="s">
        <v>212</v>
      </c>
      <c r="I50" s="7" t="s">
        <v>212</v>
      </c>
      <c r="J50" s="7" t="s">
        <v>222</v>
      </c>
      <c r="K50" s="9"/>
      <c r="L50" s="9"/>
      <c r="M50" s="9"/>
      <c r="N50" s="9"/>
      <c r="O50" s="9"/>
      <c r="P50" s="9"/>
      <c r="Q50" s="10"/>
      <c r="R50" s="10"/>
      <c r="S50" s="10"/>
      <c r="T50" s="10"/>
      <c r="U50" s="10">
        <v>20.516</v>
      </c>
      <c r="V50" s="9">
        <f t="shared" si="10"/>
        <v>19.353720171673817</v>
      </c>
      <c r="W50" s="9">
        <f t="shared" si="11"/>
        <v>25.587766523605147</v>
      </c>
      <c r="AC50" s="2">
        <f t="shared" si="4"/>
        <v>25.587766523605147</v>
      </c>
      <c r="AE50" s="2">
        <v>20357</v>
      </c>
      <c r="AF50" s="2">
        <f t="shared" si="8"/>
        <v>20.357</v>
      </c>
      <c r="AG50" s="2">
        <f t="shared" si="12"/>
        <v>3.2240585819742487</v>
      </c>
      <c r="AH50" s="2">
        <f t="shared" si="3"/>
        <v>11.929201999999998</v>
      </c>
      <c r="AI50" s="2">
        <f t="shared" si="5"/>
        <v>15.153260581974248</v>
      </c>
    </row>
    <row r="51" spans="1:35" ht="12.75">
      <c r="A51" s="8">
        <v>2388</v>
      </c>
      <c r="B51" s="7" t="s">
        <v>10</v>
      </c>
      <c r="C51" s="7" t="s">
        <v>225</v>
      </c>
      <c r="D51" s="14">
        <v>907</v>
      </c>
      <c r="E51" s="7" t="s">
        <v>34</v>
      </c>
      <c r="F51" s="7" t="s">
        <v>284</v>
      </c>
      <c r="G51" s="8">
        <v>2765</v>
      </c>
      <c r="H51" s="7" t="s">
        <v>212</v>
      </c>
      <c r="I51" s="7" t="s">
        <v>212</v>
      </c>
      <c r="J51" s="7" t="s">
        <v>222</v>
      </c>
      <c r="K51" s="9"/>
      <c r="L51" s="9"/>
      <c r="M51" s="9"/>
      <c r="N51" s="9"/>
      <c r="O51" s="9"/>
      <c r="P51" s="9"/>
      <c r="Q51" s="10"/>
      <c r="R51" s="10"/>
      <c r="S51" s="10"/>
      <c r="T51" s="10"/>
      <c r="U51" s="10">
        <v>191.89</v>
      </c>
      <c r="V51" s="9">
        <f t="shared" si="10"/>
        <v>181.01897854077254</v>
      </c>
      <c r="W51" s="9">
        <f t="shared" si="11"/>
        <v>239.32718454935622</v>
      </c>
      <c r="AC51" s="2">
        <f t="shared" si="4"/>
        <v>239.32718454935622</v>
      </c>
      <c r="AE51" s="2">
        <v>33270</v>
      </c>
      <c r="AF51" s="2">
        <f t="shared" si="8"/>
        <v>33.27</v>
      </c>
      <c r="AG51" s="2">
        <f t="shared" si="12"/>
        <v>30.155225253218884</v>
      </c>
      <c r="AH51" s="2">
        <f t="shared" si="3"/>
        <v>19.49622</v>
      </c>
      <c r="AI51" s="2">
        <f t="shared" si="5"/>
        <v>49.65144525321888</v>
      </c>
    </row>
    <row r="52" spans="1:35" ht="12.75">
      <c r="A52" s="8">
        <v>15181</v>
      </c>
      <c r="B52" s="7" t="s">
        <v>4</v>
      </c>
      <c r="C52" s="7" t="s">
        <v>225</v>
      </c>
      <c r="D52" s="14">
        <v>520</v>
      </c>
      <c r="E52" s="7" t="s">
        <v>44</v>
      </c>
      <c r="F52" s="7" t="s">
        <v>143</v>
      </c>
      <c r="G52" s="8">
        <v>2765</v>
      </c>
      <c r="H52" s="7" t="s">
        <v>212</v>
      </c>
      <c r="I52" s="7" t="s">
        <v>212</v>
      </c>
      <c r="J52" s="7" t="s">
        <v>222</v>
      </c>
      <c r="K52" s="9"/>
      <c r="L52" s="9"/>
      <c r="M52" s="9"/>
      <c r="N52" s="9"/>
      <c r="O52" s="9"/>
      <c r="P52" s="9"/>
      <c r="Q52" s="10"/>
      <c r="R52" s="10"/>
      <c r="S52" s="10"/>
      <c r="T52" s="10"/>
      <c r="U52" s="10">
        <v>80.63</v>
      </c>
      <c r="V52" s="9">
        <f t="shared" si="10"/>
        <v>76.06212017167381</v>
      </c>
      <c r="W52" s="9">
        <f t="shared" si="11"/>
        <v>100.56256652360514</v>
      </c>
      <c r="AC52" s="2">
        <f t="shared" si="4"/>
        <v>100.56256652360514</v>
      </c>
      <c r="AE52" s="2">
        <v>41159</v>
      </c>
      <c r="AF52" s="2">
        <f t="shared" si="8"/>
        <v>41.159</v>
      </c>
      <c r="AG52" s="2">
        <f t="shared" si="12"/>
        <v>12.670883381974248</v>
      </c>
      <c r="AH52" s="2">
        <f t="shared" si="3"/>
        <v>24.119173999999997</v>
      </c>
      <c r="AI52" s="2">
        <f t="shared" si="5"/>
        <v>36.79005738197424</v>
      </c>
    </row>
    <row r="53" spans="1:35" ht="12.75">
      <c r="A53" s="13">
        <v>1479</v>
      </c>
      <c r="B53" s="7" t="s">
        <v>4</v>
      </c>
      <c r="C53" s="7" t="s">
        <v>225</v>
      </c>
      <c r="D53" s="15">
        <v>499</v>
      </c>
      <c r="E53" s="7" t="s">
        <v>43</v>
      </c>
      <c r="F53" s="7" t="s">
        <v>142</v>
      </c>
      <c r="G53" s="8">
        <v>2765</v>
      </c>
      <c r="H53" s="7" t="s">
        <v>212</v>
      </c>
      <c r="I53" s="7" t="s">
        <v>212</v>
      </c>
      <c r="J53" s="7" t="s">
        <v>222</v>
      </c>
      <c r="K53" s="9"/>
      <c r="L53" s="9"/>
      <c r="M53" s="9"/>
      <c r="N53" s="9"/>
      <c r="O53" s="9"/>
      <c r="P53" s="9"/>
      <c r="Q53" s="10"/>
      <c r="R53" s="10"/>
      <c r="S53" s="10"/>
      <c r="T53" s="10"/>
      <c r="U53" s="10">
        <v>18.988</v>
      </c>
      <c r="V53" s="9">
        <f t="shared" si="10"/>
        <v>17.91228497854077</v>
      </c>
      <c r="W53" s="9">
        <f t="shared" si="11"/>
        <v>23.682029184549354</v>
      </c>
      <c r="AC53" s="2">
        <f t="shared" si="4"/>
        <v>23.682029184549354</v>
      </c>
      <c r="AE53" s="2">
        <v>222413</v>
      </c>
      <c r="AF53" s="2">
        <f t="shared" si="8"/>
        <v>222.413</v>
      </c>
      <c r="AG53" s="2">
        <f t="shared" si="12"/>
        <v>2.9839356772532186</v>
      </c>
      <c r="AH53" s="2">
        <f t="shared" si="3"/>
        <v>130.334018</v>
      </c>
      <c r="AI53" s="2">
        <f t="shared" si="5"/>
        <v>133.3179536772532</v>
      </c>
    </row>
    <row r="54" spans="1:35" ht="12.75">
      <c r="A54" s="8">
        <v>1978</v>
      </c>
      <c r="B54" s="7" t="s">
        <v>4</v>
      </c>
      <c r="C54" s="7" t="s">
        <v>225</v>
      </c>
      <c r="D54" s="14">
        <v>477</v>
      </c>
      <c r="E54" s="7" t="s">
        <v>36</v>
      </c>
      <c r="F54" s="7" t="s">
        <v>136</v>
      </c>
      <c r="G54" s="8">
        <v>2765</v>
      </c>
      <c r="H54" s="7" t="s">
        <v>212</v>
      </c>
      <c r="I54" s="7" t="s">
        <v>212</v>
      </c>
      <c r="J54" s="7" t="s">
        <v>222</v>
      </c>
      <c r="K54" s="9"/>
      <c r="L54" s="9"/>
      <c r="M54" s="9"/>
      <c r="N54" s="9"/>
      <c r="O54" s="9"/>
      <c r="P54" s="9"/>
      <c r="Q54" s="10"/>
      <c r="R54" s="10"/>
      <c r="S54" s="10"/>
      <c r="T54" s="10"/>
      <c r="U54" s="10">
        <v>56.231</v>
      </c>
      <c r="V54" s="9">
        <f t="shared" si="10"/>
        <v>53.045381115879835</v>
      </c>
      <c r="W54" s="9">
        <f t="shared" si="11"/>
        <v>70.13188240343348</v>
      </c>
      <c r="AC54" s="2">
        <f t="shared" si="4"/>
        <v>70.13188240343348</v>
      </c>
      <c r="AE54" s="2">
        <v>12193</v>
      </c>
      <c r="AF54" s="2">
        <f t="shared" si="8"/>
        <v>12.193</v>
      </c>
      <c r="AG54" s="2">
        <f t="shared" si="12"/>
        <v>8.836617182832619</v>
      </c>
      <c r="AH54" s="2">
        <f t="shared" si="3"/>
        <v>7.145097999999999</v>
      </c>
      <c r="AI54" s="2">
        <f t="shared" si="5"/>
        <v>15.981715182832618</v>
      </c>
    </row>
    <row r="55" spans="1:35" s="27" customFormat="1" ht="12.75">
      <c r="A55" s="23"/>
      <c r="B55" s="21"/>
      <c r="C55" s="21" t="s">
        <v>225</v>
      </c>
      <c r="D55" s="24">
        <f>SUM(D11:D54)</f>
        <v>24765</v>
      </c>
      <c r="E55" s="21"/>
      <c r="F55" s="21"/>
      <c r="G55" s="23"/>
      <c r="H55" s="21"/>
      <c r="I55" s="21"/>
      <c r="J55" s="21"/>
      <c r="K55" s="25"/>
      <c r="L55" s="25"/>
      <c r="M55" s="25"/>
      <c r="N55" s="25"/>
      <c r="O55" s="25"/>
      <c r="P55" s="25"/>
      <c r="Q55" s="26"/>
      <c r="R55" s="26"/>
      <c r="S55" s="26"/>
      <c r="T55" s="26"/>
      <c r="U55" s="26"/>
      <c r="V55" s="25"/>
      <c r="W55" s="25"/>
      <c r="AC55" s="19">
        <f>SUM(AC11:AC54)</f>
        <v>4003.9138189992386</v>
      </c>
      <c r="AE55" s="19">
        <f>SUM(AE11:AE54)</f>
        <v>1418892</v>
      </c>
      <c r="AF55" s="19">
        <f>SUM(AF11:AF54)</f>
        <v>1190.4432</v>
      </c>
      <c r="AG55" s="19">
        <f>SUM(AG11:AG54)</f>
        <v>852.3644920346576</v>
      </c>
      <c r="AH55" s="19">
        <f>SUM(AH11:AH54)</f>
        <v>697.5997152</v>
      </c>
      <c r="AI55" s="19">
        <f t="shared" si="5"/>
        <v>1549.9642072346576</v>
      </c>
    </row>
    <row r="56" spans="1:35" s="27" customFormat="1" ht="12.75">
      <c r="A56" s="23"/>
      <c r="B56" s="21"/>
      <c r="C56" s="21"/>
      <c r="D56" s="24"/>
      <c r="E56" s="21"/>
      <c r="F56" s="21"/>
      <c r="G56" s="23"/>
      <c r="H56" s="21"/>
      <c r="I56" s="21"/>
      <c r="J56" s="21"/>
      <c r="K56" s="25"/>
      <c r="L56" s="25"/>
      <c r="M56" s="25"/>
      <c r="N56" s="25"/>
      <c r="O56" s="25"/>
      <c r="P56" s="25"/>
      <c r="Q56" s="26"/>
      <c r="R56" s="26"/>
      <c r="S56" s="26"/>
      <c r="T56" s="26"/>
      <c r="U56" s="26"/>
      <c r="V56" s="25"/>
      <c r="W56" s="25"/>
      <c r="AC56" s="19"/>
      <c r="AE56" s="19"/>
      <c r="AF56" s="19"/>
      <c r="AG56" s="19"/>
      <c r="AH56" s="19"/>
      <c r="AI56" s="19"/>
    </row>
    <row r="57" spans="1:35" ht="12.75">
      <c r="A57" s="8">
        <v>3413</v>
      </c>
      <c r="B57" s="7" t="s">
        <v>9</v>
      </c>
      <c r="C57" s="7" t="s">
        <v>283</v>
      </c>
      <c r="D57" s="14">
        <v>225</v>
      </c>
      <c r="E57" s="7" t="s">
        <v>30</v>
      </c>
      <c r="F57" s="7" t="s">
        <v>131</v>
      </c>
      <c r="G57" s="8">
        <v>2765</v>
      </c>
      <c r="H57" s="7" t="s">
        <v>212</v>
      </c>
      <c r="I57" s="7" t="s">
        <v>220</v>
      </c>
      <c r="J57" s="7" t="s">
        <v>222</v>
      </c>
      <c r="K57" s="9">
        <v>3325.07</v>
      </c>
      <c r="L57" s="9">
        <f>2906/2198*K57</f>
        <v>4396.111656050955</v>
      </c>
      <c r="M57" s="9">
        <f>11*L57/1000</f>
        <v>48.35722821656051</v>
      </c>
      <c r="N57" s="9"/>
      <c r="O57" s="9"/>
      <c r="P57" s="9"/>
      <c r="Q57" s="10"/>
      <c r="R57" s="10"/>
      <c r="S57" s="10"/>
      <c r="T57" s="10"/>
      <c r="U57" s="10"/>
      <c r="V57" s="9"/>
      <c r="W57" s="9"/>
      <c r="AC57" s="2">
        <f aca="true" t="shared" si="13" ref="AC57:AC63">M57+P57+T57+W57+Z57+AB57</f>
        <v>48.35722821656051</v>
      </c>
      <c r="AE57" s="2">
        <v>18162</v>
      </c>
      <c r="AF57" s="2">
        <f aca="true" t="shared" si="14" ref="AF57:AF63">0.001*AE57</f>
        <v>18.162</v>
      </c>
      <c r="AG57" s="2">
        <f>0.204*M57</f>
        <v>9.864874556178343</v>
      </c>
      <c r="AH57" s="2">
        <f t="shared" si="3"/>
        <v>10.642931999999998</v>
      </c>
      <c r="AI57" s="2">
        <f aca="true" t="shared" si="15" ref="AI57:AI64">AG57+AH57</f>
        <v>20.50780655617834</v>
      </c>
    </row>
    <row r="58" spans="1:35" ht="12.75">
      <c r="A58" s="8">
        <v>10413</v>
      </c>
      <c r="B58" s="7" t="s">
        <v>12</v>
      </c>
      <c r="C58" s="7" t="s">
        <v>283</v>
      </c>
      <c r="D58" s="14">
        <v>1141</v>
      </c>
      <c r="E58" s="7" t="s">
        <v>119</v>
      </c>
      <c r="F58" s="7" t="s">
        <v>209</v>
      </c>
      <c r="G58" s="8"/>
      <c r="H58" s="7"/>
      <c r="I58" s="7" t="s">
        <v>220</v>
      </c>
      <c r="J58" s="7" t="s">
        <v>222</v>
      </c>
      <c r="K58" s="9">
        <v>7986.82</v>
      </c>
      <c r="L58" s="9">
        <f>2906/2198*K58</f>
        <v>10559.462656960874</v>
      </c>
      <c r="M58" s="9">
        <f>11*L58/1000</f>
        <v>116.1540892265696</v>
      </c>
      <c r="N58" s="9"/>
      <c r="O58" s="9"/>
      <c r="P58" s="9"/>
      <c r="Q58" s="10"/>
      <c r="R58" s="10"/>
      <c r="S58" s="10"/>
      <c r="T58" s="10"/>
      <c r="U58" s="10"/>
      <c r="V58" s="9"/>
      <c r="W58" s="9"/>
      <c r="AC58" s="2">
        <f t="shared" si="13"/>
        <v>116.1540892265696</v>
      </c>
      <c r="AE58" s="2">
        <v>36849</v>
      </c>
      <c r="AF58" s="2">
        <f t="shared" si="14"/>
        <v>36.849000000000004</v>
      </c>
      <c r="AG58" s="2">
        <f>0.204*M58</f>
        <v>23.695434202220195</v>
      </c>
      <c r="AH58" s="2">
        <f t="shared" si="3"/>
        <v>21.593514000000003</v>
      </c>
      <c r="AI58" s="2">
        <f t="shared" si="15"/>
        <v>45.2889482022202</v>
      </c>
    </row>
    <row r="59" spans="1:35" ht="12.75">
      <c r="A59" s="8">
        <v>12797</v>
      </c>
      <c r="B59" s="7" t="s">
        <v>9</v>
      </c>
      <c r="C59" s="7" t="s">
        <v>283</v>
      </c>
      <c r="D59" s="14">
        <v>907</v>
      </c>
      <c r="E59" s="7" t="s">
        <v>97</v>
      </c>
      <c r="F59" s="7" t="s">
        <v>189</v>
      </c>
      <c r="G59" s="8"/>
      <c r="H59" s="7"/>
      <c r="I59" s="7" t="s">
        <v>220</v>
      </c>
      <c r="J59" s="7" t="s">
        <v>222</v>
      </c>
      <c r="K59" s="9">
        <v>10508</v>
      </c>
      <c r="L59" s="9">
        <f>2906/2198*K59</f>
        <v>13892.742493175614</v>
      </c>
      <c r="M59" s="9">
        <f>11*L59/1000</f>
        <v>152.82016742493175</v>
      </c>
      <c r="N59" s="9"/>
      <c r="O59" s="9"/>
      <c r="P59" s="9"/>
      <c r="Q59" s="10"/>
      <c r="R59" s="10"/>
      <c r="S59" s="10"/>
      <c r="T59" s="10"/>
      <c r="U59" s="10"/>
      <c r="V59" s="9"/>
      <c r="W59" s="9"/>
      <c r="AC59" s="2">
        <f t="shared" si="13"/>
        <v>152.82016742493175</v>
      </c>
      <c r="AE59" s="2">
        <v>20133</v>
      </c>
      <c r="AF59" s="2">
        <f t="shared" si="14"/>
        <v>20.133</v>
      </c>
      <c r="AG59" s="2">
        <f>0.204*M59</f>
        <v>31.175314154686077</v>
      </c>
      <c r="AH59" s="2">
        <f t="shared" si="3"/>
        <v>11.797937999999998</v>
      </c>
      <c r="AI59" s="2">
        <f t="shared" si="15"/>
        <v>42.97325215468608</v>
      </c>
    </row>
    <row r="60" spans="1:35" ht="12.75">
      <c r="A60" s="13">
        <v>12268</v>
      </c>
      <c r="B60" s="7" t="s">
        <v>2</v>
      </c>
      <c r="C60" s="7" t="s">
        <v>283</v>
      </c>
      <c r="D60" s="14">
        <v>210</v>
      </c>
      <c r="E60" s="7" t="s">
        <v>73</v>
      </c>
      <c r="F60" s="7" t="s">
        <v>166</v>
      </c>
      <c r="G60" s="8">
        <v>3660</v>
      </c>
      <c r="H60" s="7" t="s">
        <v>0</v>
      </c>
      <c r="I60" s="7" t="s">
        <v>220</v>
      </c>
      <c r="J60" s="7" t="s">
        <v>222</v>
      </c>
      <c r="K60" s="9">
        <v>10269</v>
      </c>
      <c r="L60" s="9">
        <f>2906/2198*K60</f>
        <v>13576.75796178344</v>
      </c>
      <c r="M60" s="9">
        <f>11*L60/1000</f>
        <v>149.34433757961784</v>
      </c>
      <c r="N60" s="9"/>
      <c r="O60" s="9"/>
      <c r="P60" s="9"/>
      <c r="Q60" s="10"/>
      <c r="R60" s="10"/>
      <c r="S60" s="10"/>
      <c r="T60" s="10"/>
      <c r="U60" s="10"/>
      <c r="V60" s="9"/>
      <c r="W60" s="9"/>
      <c r="AC60" s="2">
        <f t="shared" si="13"/>
        <v>149.34433757961784</v>
      </c>
      <c r="AE60" s="2">
        <v>51610</v>
      </c>
      <c r="AF60" s="2">
        <f t="shared" si="14"/>
        <v>51.61</v>
      </c>
      <c r="AG60" s="2">
        <f>0.204*M60</f>
        <v>30.46624486624204</v>
      </c>
      <c r="AH60" s="2">
        <f t="shared" si="3"/>
        <v>30.24346</v>
      </c>
      <c r="AI60" s="2">
        <f t="shared" si="15"/>
        <v>60.709704866242035</v>
      </c>
    </row>
    <row r="61" spans="1:35" ht="12.75">
      <c r="A61" s="8">
        <v>7420</v>
      </c>
      <c r="B61" s="7" t="s">
        <v>12</v>
      </c>
      <c r="C61" s="7" t="s">
        <v>283</v>
      </c>
      <c r="D61" s="14">
        <v>700</v>
      </c>
      <c r="E61" s="7" t="s">
        <v>110</v>
      </c>
      <c r="F61" s="7" t="s">
        <v>202</v>
      </c>
      <c r="G61" s="8">
        <v>3670</v>
      </c>
      <c r="H61" s="7" t="s">
        <v>213</v>
      </c>
      <c r="I61" s="7" t="s">
        <v>220</v>
      </c>
      <c r="J61" s="7" t="s">
        <v>222</v>
      </c>
      <c r="K61" s="9">
        <v>7590.23</v>
      </c>
      <c r="L61" s="9">
        <f>2906/2198*K61</f>
        <v>10035.126651501365</v>
      </c>
      <c r="M61" s="9">
        <f>11*L61/1000</f>
        <v>110.38639316651502</v>
      </c>
      <c r="N61" s="9"/>
      <c r="O61" s="9"/>
      <c r="P61" s="9"/>
      <c r="Q61" s="10"/>
      <c r="R61" s="10"/>
      <c r="S61" s="10"/>
      <c r="T61" s="10"/>
      <c r="U61" s="10"/>
      <c r="V61" s="9"/>
      <c r="W61" s="9"/>
      <c r="AC61" s="2">
        <f t="shared" si="13"/>
        <v>110.38639316651502</v>
      </c>
      <c r="AE61" s="2">
        <f>19666+15459</f>
        <v>35125</v>
      </c>
      <c r="AF61" s="2">
        <f t="shared" si="14"/>
        <v>35.125</v>
      </c>
      <c r="AG61" s="2">
        <f>0.204*M61</f>
        <v>22.518824205969064</v>
      </c>
      <c r="AH61" s="2">
        <f t="shared" si="3"/>
        <v>20.58325</v>
      </c>
      <c r="AI61" s="2">
        <f t="shared" si="15"/>
        <v>43.10207420596906</v>
      </c>
    </row>
    <row r="62" spans="1:35" ht="12.75">
      <c r="A62" s="8">
        <v>1035</v>
      </c>
      <c r="B62" s="7" t="s">
        <v>12</v>
      </c>
      <c r="C62" s="7" t="s">
        <v>283</v>
      </c>
      <c r="D62" s="14">
        <v>570</v>
      </c>
      <c r="E62" s="7" t="s">
        <v>48</v>
      </c>
      <c r="F62" s="7" t="s">
        <v>146</v>
      </c>
      <c r="G62" s="8">
        <v>2765</v>
      </c>
      <c r="H62" s="7" t="s">
        <v>212</v>
      </c>
      <c r="I62" s="7" t="s">
        <v>212</v>
      </c>
      <c r="J62" s="7" t="s">
        <v>222</v>
      </c>
      <c r="K62" s="9"/>
      <c r="L62" s="9"/>
      <c r="M62" s="9"/>
      <c r="N62" s="9"/>
      <c r="O62" s="9"/>
      <c r="P62" s="9"/>
      <c r="Q62" s="10"/>
      <c r="R62" s="10"/>
      <c r="S62" s="10"/>
      <c r="T62" s="10"/>
      <c r="U62" s="10">
        <v>87.156</v>
      </c>
      <c r="V62" s="9">
        <f>2198/2330*U62</f>
        <v>82.2184068669528</v>
      </c>
      <c r="W62" s="9">
        <f>2906/2198*V62</f>
        <v>108.70186094420602</v>
      </c>
      <c r="AC62" s="2">
        <f t="shared" si="13"/>
        <v>108.70186094420602</v>
      </c>
      <c r="AE62" s="2">
        <v>0</v>
      </c>
      <c r="AF62" s="2">
        <f t="shared" si="14"/>
        <v>0</v>
      </c>
      <c r="AG62" s="2">
        <f>0.126*W62</f>
        <v>13.696434478969959</v>
      </c>
      <c r="AH62" s="2">
        <f t="shared" si="3"/>
        <v>0</v>
      </c>
      <c r="AI62" s="2">
        <f t="shared" si="15"/>
        <v>13.696434478969959</v>
      </c>
    </row>
    <row r="63" spans="1:35" ht="12.75">
      <c r="A63" s="8">
        <v>20</v>
      </c>
      <c r="B63" s="7" t="s">
        <v>9</v>
      </c>
      <c r="C63" s="7" t="s">
        <v>283</v>
      </c>
      <c r="D63" s="14">
        <v>534</v>
      </c>
      <c r="E63" s="7" t="s">
        <v>51</v>
      </c>
      <c r="F63" s="7" t="s">
        <v>148</v>
      </c>
      <c r="G63" s="8">
        <v>2765</v>
      </c>
      <c r="H63" s="7" t="s">
        <v>212</v>
      </c>
      <c r="I63" s="7" t="s">
        <v>212</v>
      </c>
      <c r="J63" s="7" t="s">
        <v>222</v>
      </c>
      <c r="K63" s="9"/>
      <c r="L63" s="9"/>
      <c r="M63" s="9"/>
      <c r="N63" s="9"/>
      <c r="O63" s="9"/>
      <c r="P63" s="9"/>
      <c r="Q63" s="10"/>
      <c r="R63" s="10"/>
      <c r="S63" s="10"/>
      <c r="T63" s="10"/>
      <c r="U63" s="10">
        <v>40.999</v>
      </c>
      <c r="V63" s="9">
        <f>2198/2330*U63</f>
        <v>38.67630987124464</v>
      </c>
      <c r="W63" s="9">
        <f>2906/2198*V63</f>
        <v>51.134375107296144</v>
      </c>
      <c r="AC63" s="2">
        <f t="shared" si="13"/>
        <v>51.134375107296144</v>
      </c>
      <c r="AE63" s="2">
        <v>58467</v>
      </c>
      <c r="AF63" s="2">
        <f t="shared" si="14"/>
        <v>58.467</v>
      </c>
      <c r="AG63" s="2">
        <f>0.126*W63</f>
        <v>6.4429312635193146</v>
      </c>
      <c r="AH63" s="2">
        <f t="shared" si="3"/>
        <v>34.261661999999994</v>
      </c>
      <c r="AI63" s="2">
        <f t="shared" si="15"/>
        <v>40.70459326351931</v>
      </c>
    </row>
    <row r="64" spans="1:35" s="27" customFormat="1" ht="12.75">
      <c r="A64" s="23"/>
      <c r="B64" s="21"/>
      <c r="C64" s="21" t="s">
        <v>283</v>
      </c>
      <c r="D64" s="24">
        <f>SUM(D57:D63)</f>
        <v>4287</v>
      </c>
      <c r="E64" s="21"/>
      <c r="F64" s="21"/>
      <c r="G64" s="23"/>
      <c r="H64" s="21"/>
      <c r="I64" s="21"/>
      <c r="J64" s="21"/>
      <c r="K64" s="25"/>
      <c r="L64" s="25"/>
      <c r="M64" s="25"/>
      <c r="N64" s="25"/>
      <c r="O64" s="25"/>
      <c r="P64" s="25"/>
      <c r="Q64" s="26"/>
      <c r="R64" s="26"/>
      <c r="S64" s="26"/>
      <c r="T64" s="26"/>
      <c r="U64" s="26"/>
      <c r="V64" s="25"/>
      <c r="W64" s="25"/>
      <c r="AC64" s="19">
        <f>SUM(AC57:AC63)</f>
        <v>736.8984516656969</v>
      </c>
      <c r="AE64" s="19">
        <f>SUM(AE57:AE63)</f>
        <v>220346</v>
      </c>
      <c r="AF64" s="19">
        <f>SUM(AF57:AF63)</f>
        <v>220.346</v>
      </c>
      <c r="AG64" s="19">
        <f>SUM(AG57:AG63)</f>
        <v>137.86005772778498</v>
      </c>
      <c r="AH64" s="19">
        <f>SUM(AH57:AH63)</f>
        <v>129.122756</v>
      </c>
      <c r="AI64" s="19">
        <f t="shared" si="15"/>
        <v>266.982813727785</v>
      </c>
    </row>
    <row r="65" spans="1:35" s="27" customFormat="1" ht="12.75">
      <c r="A65" s="23"/>
      <c r="B65" s="21"/>
      <c r="C65" s="21"/>
      <c r="D65" s="24"/>
      <c r="E65" s="21"/>
      <c r="F65" s="21"/>
      <c r="G65" s="23"/>
      <c r="H65" s="21"/>
      <c r="I65" s="21"/>
      <c r="J65" s="21"/>
      <c r="K65" s="25"/>
      <c r="L65" s="25"/>
      <c r="M65" s="25"/>
      <c r="N65" s="25"/>
      <c r="O65" s="25"/>
      <c r="P65" s="25"/>
      <c r="Q65" s="26"/>
      <c r="R65" s="26"/>
      <c r="S65" s="26"/>
      <c r="T65" s="26"/>
      <c r="U65" s="26"/>
      <c r="V65" s="25"/>
      <c r="W65" s="25"/>
      <c r="AC65" s="19"/>
      <c r="AE65" s="19"/>
      <c r="AF65" s="19"/>
      <c r="AG65" s="19"/>
      <c r="AH65" s="19"/>
      <c r="AI65" s="19"/>
    </row>
    <row r="66" spans="1:35" ht="12.75">
      <c r="A66" s="8">
        <v>8635</v>
      </c>
      <c r="B66" s="7" t="s">
        <v>15</v>
      </c>
      <c r="C66" s="7" t="s">
        <v>15</v>
      </c>
      <c r="D66" s="28">
        <v>300</v>
      </c>
      <c r="E66" s="7" t="s">
        <v>238</v>
      </c>
      <c r="F66" s="7" t="s">
        <v>191</v>
      </c>
      <c r="G66" s="8">
        <v>3660</v>
      </c>
      <c r="H66" s="7" t="s">
        <v>0</v>
      </c>
      <c r="I66" s="7" t="s">
        <v>233</v>
      </c>
      <c r="J66" s="7" t="s">
        <v>232</v>
      </c>
      <c r="K66" s="9"/>
      <c r="L66" s="9"/>
      <c r="M66" s="9"/>
      <c r="N66" s="9"/>
      <c r="O66" s="9"/>
      <c r="P66" s="9"/>
      <c r="Q66" s="10"/>
      <c r="R66" s="10"/>
      <c r="S66" s="10"/>
      <c r="T66" s="10"/>
      <c r="U66" s="10"/>
      <c r="V66" s="9"/>
      <c r="W66" s="9"/>
      <c r="AA66" s="2">
        <f>0.8/1000*AE66</f>
        <v>203.62480000000002</v>
      </c>
      <c r="AB66" s="2">
        <f>2906/2198*AA66</f>
        <v>269.21458999090083</v>
      </c>
      <c r="AC66" s="2">
        <f aca="true" t="shared" si="16" ref="AC66:AC75">M66+P66+T66+W66+Z66+AB66</f>
        <v>269.21458999090083</v>
      </c>
      <c r="AE66" s="2">
        <v>254531</v>
      </c>
      <c r="AF66" s="2">
        <f>0.2/1000*AE66</f>
        <v>50.906200000000005</v>
      </c>
      <c r="AG66" s="2">
        <f>0.586*AB66</f>
        <v>157.75974973466788</v>
      </c>
      <c r="AH66" s="2">
        <f t="shared" si="3"/>
        <v>29.8310332</v>
      </c>
      <c r="AI66" s="2">
        <f aca="true" t="shared" si="17" ref="AI66:AI76">AG66+AH66</f>
        <v>187.59078293466789</v>
      </c>
    </row>
    <row r="67" spans="1:35" ht="12.75">
      <c r="A67" s="8">
        <v>13821</v>
      </c>
      <c r="B67" s="7" t="s">
        <v>15</v>
      </c>
      <c r="C67" s="7" t="s">
        <v>15</v>
      </c>
      <c r="D67" s="28">
        <v>131</v>
      </c>
      <c r="E67" s="7" t="s">
        <v>118</v>
      </c>
      <c r="F67" s="7" t="s">
        <v>208</v>
      </c>
      <c r="G67" s="8"/>
      <c r="H67" s="7"/>
      <c r="I67" s="7" t="s">
        <v>233</v>
      </c>
      <c r="J67" s="7" t="s">
        <v>232</v>
      </c>
      <c r="K67" s="9"/>
      <c r="L67" s="9"/>
      <c r="M67" s="9"/>
      <c r="N67" s="9"/>
      <c r="O67" s="9"/>
      <c r="P67" s="9"/>
      <c r="Q67" s="10"/>
      <c r="R67" s="10"/>
      <c r="S67" s="10"/>
      <c r="T67" s="10"/>
      <c r="U67" s="10"/>
      <c r="V67" s="9"/>
      <c r="W67" s="9"/>
      <c r="AA67" s="2">
        <f>0.8/1000*AE67</f>
        <v>10.8568</v>
      </c>
      <c r="AB67" s="2">
        <f>2906/2198*AA67</f>
        <v>14.353894813466788</v>
      </c>
      <c r="AC67" s="2">
        <f t="shared" si="16"/>
        <v>14.353894813466788</v>
      </c>
      <c r="AE67" s="2">
        <v>13571</v>
      </c>
      <c r="AF67" s="2">
        <f>0.2/1000*AE67</f>
        <v>2.7142</v>
      </c>
      <c r="AG67" s="2">
        <f>0.586*AB67</f>
        <v>8.411382360691537</v>
      </c>
      <c r="AH67" s="2">
        <f t="shared" si="3"/>
        <v>1.5905212</v>
      </c>
      <c r="AI67" s="2">
        <f t="shared" si="17"/>
        <v>10.001903560691536</v>
      </c>
    </row>
    <row r="68" spans="1:35" ht="12.75">
      <c r="A68" s="8" t="s">
        <v>277</v>
      </c>
      <c r="B68" s="7" t="s">
        <v>15</v>
      </c>
      <c r="C68" s="7" t="s">
        <v>15</v>
      </c>
      <c r="D68" s="28">
        <v>0</v>
      </c>
      <c r="E68" s="7" t="s">
        <v>116</v>
      </c>
      <c r="F68" s="7" t="s">
        <v>207</v>
      </c>
      <c r="G68" s="8"/>
      <c r="H68" s="7"/>
      <c r="I68" s="7" t="s">
        <v>233</v>
      </c>
      <c r="J68" s="7" t="s">
        <v>232</v>
      </c>
      <c r="K68" s="9"/>
      <c r="L68" s="9"/>
      <c r="M68" s="9"/>
      <c r="N68" s="9"/>
      <c r="O68" s="9"/>
      <c r="P68" s="9"/>
      <c r="Q68" s="10"/>
      <c r="R68" s="10"/>
      <c r="S68" s="10"/>
      <c r="T68" s="10"/>
      <c r="U68" s="10"/>
      <c r="V68" s="9"/>
      <c r="W68" s="9"/>
      <c r="AA68" s="2">
        <f>0.8/1000*AE68</f>
        <v>0</v>
      </c>
      <c r="AB68" s="2">
        <f>2906/2198*AA68</f>
        <v>0</v>
      </c>
      <c r="AC68" s="2">
        <f t="shared" si="16"/>
        <v>0</v>
      </c>
      <c r="AE68" s="2">
        <v>0</v>
      </c>
      <c r="AF68" s="2">
        <f>0.2/1000*AE68</f>
        <v>0</v>
      </c>
      <c r="AG68" s="2">
        <f>0.586*AB68</f>
        <v>0</v>
      </c>
      <c r="AH68" s="2">
        <f t="shared" si="3"/>
        <v>0</v>
      </c>
      <c r="AI68" s="2">
        <f t="shared" si="17"/>
        <v>0</v>
      </c>
    </row>
    <row r="69" spans="1:35" ht="12.75">
      <c r="A69" s="8" t="s">
        <v>277</v>
      </c>
      <c r="B69" s="7" t="s">
        <v>15</v>
      </c>
      <c r="C69" s="7" t="s">
        <v>15</v>
      </c>
      <c r="D69" s="28">
        <v>0</v>
      </c>
      <c r="E69" s="7" t="s">
        <v>117</v>
      </c>
      <c r="F69" s="7" t="s">
        <v>246</v>
      </c>
      <c r="G69" s="8"/>
      <c r="H69" s="7"/>
      <c r="I69" s="7" t="s">
        <v>220</v>
      </c>
      <c r="J69" s="7" t="s">
        <v>222</v>
      </c>
      <c r="K69" s="9">
        <v>82382.73</v>
      </c>
      <c r="L69" s="9">
        <f>2906/2198*K69</f>
        <v>108919.1143676069</v>
      </c>
      <c r="M69" s="9">
        <f>11*L69/1000</f>
        <v>1198.110258043676</v>
      </c>
      <c r="N69" s="9"/>
      <c r="O69" s="9"/>
      <c r="P69" s="9"/>
      <c r="Q69" s="10"/>
      <c r="R69" s="10"/>
      <c r="S69" s="10"/>
      <c r="T69" s="10"/>
      <c r="U69" s="10"/>
      <c r="V69" s="9"/>
      <c r="W69" s="9"/>
      <c r="AC69" s="2">
        <f t="shared" si="16"/>
        <v>1198.110258043676</v>
      </c>
      <c r="AE69" s="2">
        <v>0</v>
      </c>
      <c r="AF69" s="2">
        <f aca="true" t="shared" si="18" ref="AF69:AF75">0.001*AE69</f>
        <v>0</v>
      </c>
      <c r="AG69" s="2">
        <f>0.204*M69</f>
        <v>244.41449264090988</v>
      </c>
      <c r="AH69" s="2">
        <f t="shared" si="3"/>
        <v>0</v>
      </c>
      <c r="AI69" s="2">
        <f t="shared" si="17"/>
        <v>244.41449264090988</v>
      </c>
    </row>
    <row r="70" spans="1:35" ht="12.75">
      <c r="A70" s="8">
        <v>13793</v>
      </c>
      <c r="B70" s="7" t="s">
        <v>15</v>
      </c>
      <c r="C70" s="7" t="s">
        <v>15</v>
      </c>
      <c r="D70" s="28">
        <v>6912</v>
      </c>
      <c r="E70" s="7" t="s">
        <v>115</v>
      </c>
      <c r="F70" s="7" t="s">
        <v>206</v>
      </c>
      <c r="G70" s="8"/>
      <c r="H70" s="7"/>
      <c r="I70" s="7" t="s">
        <v>220</v>
      </c>
      <c r="J70" s="7" t="s">
        <v>222</v>
      </c>
      <c r="K70" s="9">
        <v>14884.28</v>
      </c>
      <c r="L70" s="9">
        <f>2906/2198*K70</f>
        <v>19678.670464058236</v>
      </c>
      <c r="M70" s="9">
        <f>11*L70/1000</f>
        <v>216.46537510464057</v>
      </c>
      <c r="N70" s="9"/>
      <c r="O70" s="9"/>
      <c r="P70" s="9"/>
      <c r="Q70" s="10"/>
      <c r="R70" s="10"/>
      <c r="S70" s="10"/>
      <c r="T70" s="10"/>
      <c r="U70" s="10"/>
      <c r="V70" s="9"/>
      <c r="W70" s="9"/>
      <c r="AC70" s="2">
        <f t="shared" si="16"/>
        <v>216.46537510464057</v>
      </c>
      <c r="AE70" s="2">
        <v>573784</v>
      </c>
      <c r="AF70" s="2">
        <f t="shared" si="18"/>
        <v>573.784</v>
      </c>
      <c r="AG70" s="2">
        <f>0.204*M70</f>
        <v>44.158936521346675</v>
      </c>
      <c r="AH70" s="2">
        <f aca="true" t="shared" si="19" ref="AH70:AH127">0.586*AF70</f>
        <v>336.237424</v>
      </c>
      <c r="AI70" s="2">
        <f t="shared" si="17"/>
        <v>380.39636052134665</v>
      </c>
    </row>
    <row r="71" spans="1:35" ht="12.75">
      <c r="A71" s="13">
        <v>13793</v>
      </c>
      <c r="B71" s="7" t="s">
        <v>15</v>
      </c>
      <c r="C71" s="7" t="s">
        <v>15</v>
      </c>
      <c r="D71" s="28">
        <v>1063</v>
      </c>
      <c r="E71" s="7" t="s">
        <v>113</v>
      </c>
      <c r="F71" s="7" t="s">
        <v>204</v>
      </c>
      <c r="G71" s="8"/>
      <c r="H71" s="7"/>
      <c r="I71" s="7" t="s">
        <v>220</v>
      </c>
      <c r="J71" s="7" t="s">
        <v>222</v>
      </c>
      <c r="K71" s="9">
        <v>6083.19</v>
      </c>
      <c r="L71" s="9">
        <f>2906/2198*K71</f>
        <v>8042.652474977252</v>
      </c>
      <c r="M71" s="9">
        <f>11*L71/1000</f>
        <v>88.46917722474977</v>
      </c>
      <c r="N71" s="9"/>
      <c r="O71" s="9"/>
      <c r="P71" s="9"/>
      <c r="Q71" s="10"/>
      <c r="R71" s="10"/>
      <c r="S71" s="10"/>
      <c r="T71" s="10"/>
      <c r="U71" s="10"/>
      <c r="V71" s="9"/>
      <c r="W71" s="9"/>
      <c r="AC71" s="2">
        <f t="shared" si="16"/>
        <v>88.46917722474977</v>
      </c>
      <c r="AE71" s="2">
        <v>0</v>
      </c>
      <c r="AF71" s="2">
        <f t="shared" si="18"/>
        <v>0</v>
      </c>
      <c r="AG71" s="2">
        <f>0.204*M71</f>
        <v>18.047712153848952</v>
      </c>
      <c r="AH71" s="2">
        <f t="shared" si="19"/>
        <v>0</v>
      </c>
      <c r="AI71" s="2">
        <f t="shared" si="17"/>
        <v>18.047712153848952</v>
      </c>
    </row>
    <row r="72" spans="1:35" ht="12.75">
      <c r="A72" s="8">
        <v>6262</v>
      </c>
      <c r="B72" s="7" t="s">
        <v>15</v>
      </c>
      <c r="C72" s="7" t="s">
        <v>15</v>
      </c>
      <c r="D72" s="28">
        <v>3470</v>
      </c>
      <c r="E72" s="7" t="s">
        <v>99</v>
      </c>
      <c r="F72" s="7" t="s">
        <v>167</v>
      </c>
      <c r="G72" s="8">
        <v>3660</v>
      </c>
      <c r="H72" s="7" t="s">
        <v>0</v>
      </c>
      <c r="I72" s="7" t="s">
        <v>218</v>
      </c>
      <c r="J72" s="7" t="s">
        <v>222</v>
      </c>
      <c r="K72" s="9"/>
      <c r="L72" s="9"/>
      <c r="M72" s="9"/>
      <c r="N72" s="12">
        <v>0</v>
      </c>
      <c r="O72" s="9">
        <f>2906/2198*N72</f>
        <v>0</v>
      </c>
      <c r="P72" s="9">
        <f>0.2212*1977.03</f>
        <v>437.319036</v>
      </c>
      <c r="Q72" s="10"/>
      <c r="R72" s="7"/>
      <c r="S72" s="7"/>
      <c r="T72" s="7"/>
      <c r="U72" s="7"/>
      <c r="V72" s="9"/>
      <c r="W72" s="9"/>
      <c r="AC72" s="2">
        <f t="shared" si="16"/>
        <v>437.319036</v>
      </c>
      <c r="AE72" s="2">
        <v>82755</v>
      </c>
      <c r="AF72" s="2">
        <f t="shared" si="18"/>
        <v>82.755</v>
      </c>
      <c r="AG72" s="2">
        <f>0.1*P72</f>
        <v>43.7319036</v>
      </c>
      <c r="AH72" s="2">
        <f t="shared" si="19"/>
        <v>48.494429999999994</v>
      </c>
      <c r="AI72" s="2">
        <f t="shared" si="17"/>
        <v>92.2263336</v>
      </c>
    </row>
    <row r="73" spans="1:35" ht="12.75">
      <c r="A73" s="8">
        <v>4527</v>
      </c>
      <c r="B73" s="7" t="s">
        <v>15</v>
      </c>
      <c r="C73" s="7" t="s">
        <v>15</v>
      </c>
      <c r="D73" s="28">
        <v>3470</v>
      </c>
      <c r="E73" s="7" t="s">
        <v>53</v>
      </c>
      <c r="F73" s="7" t="s">
        <v>149</v>
      </c>
      <c r="G73" s="8">
        <v>3660</v>
      </c>
      <c r="H73" s="7" t="s">
        <v>0</v>
      </c>
      <c r="I73" s="7" t="s">
        <v>218</v>
      </c>
      <c r="J73" s="7" t="s">
        <v>222</v>
      </c>
      <c r="K73" s="9"/>
      <c r="L73" s="9"/>
      <c r="M73" s="9"/>
      <c r="N73" s="10">
        <v>706</v>
      </c>
      <c r="O73" s="9">
        <f>2906/2198*N73</f>
        <v>933.410373066424</v>
      </c>
      <c r="P73" s="9">
        <f>0.278*O73</f>
        <v>259.4880837124659</v>
      </c>
      <c r="Q73" s="10"/>
      <c r="R73" s="10"/>
      <c r="S73" s="10"/>
      <c r="T73" s="10"/>
      <c r="U73" s="10"/>
      <c r="V73" s="9"/>
      <c r="W73" s="9"/>
      <c r="AC73" s="2">
        <f t="shared" si="16"/>
        <v>259.4880837124659</v>
      </c>
      <c r="AE73" s="2">
        <v>83995</v>
      </c>
      <c r="AF73" s="2">
        <f t="shared" si="18"/>
        <v>83.995</v>
      </c>
      <c r="AG73" s="2">
        <f>0.1*P73</f>
        <v>25.94880837124659</v>
      </c>
      <c r="AH73" s="2">
        <f t="shared" si="19"/>
        <v>49.22107</v>
      </c>
      <c r="AI73" s="2">
        <f t="shared" si="17"/>
        <v>75.16987837124658</v>
      </c>
    </row>
    <row r="74" spans="1:35" ht="12.75">
      <c r="A74" s="8">
        <v>6578</v>
      </c>
      <c r="B74" s="7" t="s">
        <v>15</v>
      </c>
      <c r="C74" s="7" t="s">
        <v>15</v>
      </c>
      <c r="D74" s="28">
        <v>3522</v>
      </c>
      <c r="E74" s="7" t="s">
        <v>89</v>
      </c>
      <c r="F74" s="7" t="s">
        <v>182</v>
      </c>
      <c r="G74" s="8">
        <v>3660</v>
      </c>
      <c r="H74" s="7" t="s">
        <v>0</v>
      </c>
      <c r="I74" s="7" t="s">
        <v>221</v>
      </c>
      <c r="J74" s="7" t="s">
        <v>229</v>
      </c>
      <c r="K74" s="9"/>
      <c r="L74" s="9"/>
      <c r="M74" s="9"/>
      <c r="N74" s="9"/>
      <c r="O74" s="9"/>
      <c r="P74" s="9"/>
      <c r="Q74" s="10"/>
      <c r="R74" s="10"/>
      <c r="S74" s="10"/>
      <c r="T74" s="10"/>
      <c r="U74" s="10"/>
      <c r="V74" s="9"/>
      <c r="W74" s="9"/>
      <c r="X74">
        <v>4286</v>
      </c>
      <c r="Y74" s="2">
        <f>2906/2198*X74</f>
        <v>5666.5677888989985</v>
      </c>
      <c r="Z74" s="2">
        <f>10/1000*Y74</f>
        <v>56.66567788898999</v>
      </c>
      <c r="AA74" s="2"/>
      <c r="AB74" s="2"/>
      <c r="AC74" s="2">
        <f t="shared" si="16"/>
        <v>56.66567788898999</v>
      </c>
      <c r="AE74" s="2">
        <v>108134</v>
      </c>
      <c r="AF74" s="2">
        <f t="shared" si="18"/>
        <v>108.134</v>
      </c>
      <c r="AG74" s="2">
        <f>0.266*Z74</f>
        <v>15.073070318471338</v>
      </c>
      <c r="AH74" s="2">
        <f t="shared" si="19"/>
        <v>63.366524</v>
      </c>
      <c r="AI74" s="2">
        <f t="shared" si="17"/>
        <v>78.43959431847134</v>
      </c>
    </row>
    <row r="75" spans="1:35" ht="12.75">
      <c r="A75" s="8">
        <v>1035</v>
      </c>
      <c r="B75" s="7" t="s">
        <v>15</v>
      </c>
      <c r="C75" s="7" t="s">
        <v>15</v>
      </c>
      <c r="D75" s="29">
        <v>4869</v>
      </c>
      <c r="E75" s="7" t="s">
        <v>72</v>
      </c>
      <c r="F75" s="7" t="s">
        <v>146</v>
      </c>
      <c r="G75" s="8">
        <v>2765</v>
      </c>
      <c r="H75" s="7" t="s">
        <v>212</v>
      </c>
      <c r="I75" s="7" t="s">
        <v>212</v>
      </c>
      <c r="J75" s="7" t="s">
        <v>222</v>
      </c>
      <c r="K75" s="9"/>
      <c r="L75" s="9"/>
      <c r="M75" s="9"/>
      <c r="N75" s="9"/>
      <c r="O75" s="9"/>
      <c r="P75" s="9"/>
      <c r="Q75" s="10"/>
      <c r="R75" s="10"/>
      <c r="S75" s="10"/>
      <c r="T75" s="10"/>
      <c r="U75" s="10">
        <f>83.956+205.38+226.68</f>
        <v>516.0160000000001</v>
      </c>
      <c r="V75" s="9">
        <f>2198/2330*U75</f>
        <v>486.7824755364808</v>
      </c>
      <c r="W75" s="9">
        <f>2906/2198*V75</f>
        <v>643.5804703862661</v>
      </c>
      <c r="AC75" s="2">
        <f t="shared" si="16"/>
        <v>643.5804703862661</v>
      </c>
      <c r="AE75" s="2">
        <v>211676</v>
      </c>
      <c r="AF75" s="2">
        <f t="shared" si="18"/>
        <v>211.67600000000002</v>
      </c>
      <c r="AG75" s="2">
        <f>0.126*W75</f>
        <v>81.09113926866954</v>
      </c>
      <c r="AH75" s="2">
        <f t="shared" si="19"/>
        <v>124.042136</v>
      </c>
      <c r="AI75" s="2">
        <f t="shared" si="17"/>
        <v>205.13327526866954</v>
      </c>
    </row>
    <row r="76" spans="1:35" s="27" customFormat="1" ht="12.75">
      <c r="A76" s="23"/>
      <c r="B76" s="21"/>
      <c r="C76" s="21" t="s">
        <v>295</v>
      </c>
      <c r="D76" s="24">
        <f>SUM(D66:D75)</f>
        <v>23737</v>
      </c>
      <c r="E76" s="21"/>
      <c r="F76" s="21"/>
      <c r="G76" s="23"/>
      <c r="H76" s="21"/>
      <c r="I76" s="21"/>
      <c r="J76" s="21"/>
      <c r="K76" s="25"/>
      <c r="L76" s="25"/>
      <c r="M76" s="25"/>
      <c r="N76" s="26"/>
      <c r="O76" s="25"/>
      <c r="P76" s="25"/>
      <c r="Q76" s="26"/>
      <c r="R76" s="26"/>
      <c r="S76" s="26"/>
      <c r="T76" s="26"/>
      <c r="U76" s="26"/>
      <c r="V76" s="25"/>
      <c r="W76" s="25"/>
      <c r="AC76" s="19">
        <f>SUM(AC66:AC75)</f>
        <v>3183.666563165156</v>
      </c>
      <c r="AE76" s="19">
        <f>SUM(AE66:AE75)</f>
        <v>1328446</v>
      </c>
      <c r="AF76" s="19">
        <f>SUM(AF66:AF75)</f>
        <v>1113.9644</v>
      </c>
      <c r="AG76" s="19">
        <f>SUM(AG66:AG75)</f>
        <v>638.6371949698524</v>
      </c>
      <c r="AH76" s="19">
        <f>SUM(AH66:AH75)</f>
        <v>652.7831384</v>
      </c>
      <c r="AI76" s="19">
        <f t="shared" si="17"/>
        <v>1291.4203333698524</v>
      </c>
    </row>
    <row r="77" spans="1:35" s="27" customFormat="1" ht="12.75">
      <c r="A77" s="23"/>
      <c r="B77" s="21"/>
      <c r="C77" s="21"/>
      <c r="D77" s="24"/>
      <c r="E77" s="21"/>
      <c r="F77" s="21"/>
      <c r="G77" s="23"/>
      <c r="H77" s="21"/>
      <c r="I77" s="21"/>
      <c r="J77" s="21"/>
      <c r="K77" s="25"/>
      <c r="L77" s="25"/>
      <c r="M77" s="25"/>
      <c r="N77" s="26"/>
      <c r="O77" s="25"/>
      <c r="P77" s="25"/>
      <c r="Q77" s="26"/>
      <c r="R77" s="26"/>
      <c r="S77" s="26"/>
      <c r="T77" s="26"/>
      <c r="U77" s="26"/>
      <c r="V77" s="25"/>
      <c r="W77" s="25"/>
      <c r="AC77" s="19"/>
      <c r="AE77" s="19"/>
      <c r="AF77" s="19"/>
      <c r="AG77" s="19"/>
      <c r="AH77" s="19"/>
      <c r="AI77" s="19"/>
    </row>
    <row r="78" spans="1:35" ht="12.75">
      <c r="A78" s="8">
        <v>8547</v>
      </c>
      <c r="B78" s="7" t="s">
        <v>2</v>
      </c>
      <c r="C78" s="7" t="s">
        <v>226</v>
      </c>
      <c r="D78" s="14">
        <v>371</v>
      </c>
      <c r="E78" s="7" t="s">
        <v>31</v>
      </c>
      <c r="F78" s="7" t="s">
        <v>132</v>
      </c>
      <c r="G78" s="8">
        <v>3660</v>
      </c>
      <c r="H78" s="7" t="s">
        <v>0</v>
      </c>
      <c r="I78" s="7" t="s">
        <v>233</v>
      </c>
      <c r="J78" s="7" t="s">
        <v>232</v>
      </c>
      <c r="K78" s="9"/>
      <c r="L78" s="9"/>
      <c r="M78" s="9"/>
      <c r="N78" s="9"/>
      <c r="O78" s="9"/>
      <c r="P78" s="9"/>
      <c r="Q78" s="10"/>
      <c r="R78" s="10"/>
      <c r="S78" s="10"/>
      <c r="T78" s="10"/>
      <c r="U78" s="10"/>
      <c r="V78" s="9"/>
      <c r="W78" s="9"/>
      <c r="AA78" s="2">
        <f>0.8/1000*AE78</f>
        <v>17.1656</v>
      </c>
      <c r="AB78" s="2">
        <f>2906/2198*AA78</f>
        <v>22.694828753412192</v>
      </c>
      <c r="AC78" s="2">
        <f aca="true" t="shared" si="20" ref="AC78:AC95">M78+P78+T78+W78+Z78+AB78</f>
        <v>22.694828753412192</v>
      </c>
      <c r="AE78" s="2">
        <v>21457</v>
      </c>
      <c r="AF78" s="2">
        <f>0.2/1000*AE78</f>
        <v>4.2914</v>
      </c>
      <c r="AG78" s="2">
        <f>0.586*AB78</f>
        <v>13.299169649499545</v>
      </c>
      <c r="AH78" s="2">
        <f t="shared" si="19"/>
        <v>2.5147604</v>
      </c>
      <c r="AI78" s="2">
        <f aca="true" t="shared" si="21" ref="AI78:AI96">AG78+AH78</f>
        <v>15.813930049499545</v>
      </c>
    </row>
    <row r="79" spans="1:35" ht="12.75">
      <c r="A79" s="8">
        <v>8420</v>
      </c>
      <c r="B79" s="7" t="s">
        <v>2</v>
      </c>
      <c r="C79" s="7" t="s">
        <v>226</v>
      </c>
      <c r="D79" s="14">
        <v>291</v>
      </c>
      <c r="E79" s="7" t="s">
        <v>50</v>
      </c>
      <c r="F79" s="7" t="s">
        <v>253</v>
      </c>
      <c r="G79" s="8">
        <v>3660</v>
      </c>
      <c r="H79" s="7" t="s">
        <v>0</v>
      </c>
      <c r="I79" s="7" t="s">
        <v>233</v>
      </c>
      <c r="J79" s="7" t="s">
        <v>232</v>
      </c>
      <c r="K79" s="9"/>
      <c r="L79" s="9"/>
      <c r="M79" s="9"/>
      <c r="N79" s="9"/>
      <c r="O79" s="9"/>
      <c r="P79" s="9"/>
      <c r="Q79" s="10"/>
      <c r="R79" s="10"/>
      <c r="S79" s="10"/>
      <c r="T79" s="10"/>
      <c r="U79" s="10"/>
      <c r="V79" s="9"/>
      <c r="W79" s="9"/>
      <c r="AA79" s="2">
        <f>0.8/1000*AE79</f>
        <v>1.604</v>
      </c>
      <c r="AB79" s="2">
        <f>2906/2198*AA79</f>
        <v>2.120666060054595</v>
      </c>
      <c r="AC79" s="2">
        <f t="shared" si="20"/>
        <v>2.120666060054595</v>
      </c>
      <c r="AE79" s="2">
        <v>2005</v>
      </c>
      <c r="AF79" s="2">
        <f>0.2/1000*AE79</f>
        <v>0.401</v>
      </c>
      <c r="AG79" s="2">
        <f>0.586*AB79</f>
        <v>1.2427103111919926</v>
      </c>
      <c r="AH79" s="2">
        <f t="shared" si="19"/>
        <v>0.234986</v>
      </c>
      <c r="AI79" s="2">
        <f t="shared" si="21"/>
        <v>1.4776963111919925</v>
      </c>
    </row>
    <row r="80" spans="1:35" ht="12.75">
      <c r="A80" s="8">
        <v>11874</v>
      </c>
      <c r="B80" s="7" t="s">
        <v>2</v>
      </c>
      <c r="C80" s="7" t="s">
        <v>226</v>
      </c>
      <c r="D80" s="14">
        <v>78</v>
      </c>
      <c r="E80" s="7" t="s">
        <v>63</v>
      </c>
      <c r="F80" s="7" t="s">
        <v>272</v>
      </c>
      <c r="G80" s="8"/>
      <c r="H80" s="7"/>
      <c r="I80" s="7" t="s">
        <v>233</v>
      </c>
      <c r="J80" s="7" t="s">
        <v>232</v>
      </c>
      <c r="K80" s="9"/>
      <c r="L80" s="9"/>
      <c r="M80" s="9"/>
      <c r="N80" s="9"/>
      <c r="O80" s="9"/>
      <c r="P80" s="9"/>
      <c r="Q80" s="10"/>
      <c r="R80" s="10"/>
      <c r="S80" s="10"/>
      <c r="T80" s="10"/>
      <c r="U80" s="10"/>
      <c r="V80" s="9"/>
      <c r="W80" s="9"/>
      <c r="AA80" s="2">
        <f>0.8/1000*AE80</f>
        <v>0.6552</v>
      </c>
      <c r="AB80" s="2">
        <f>2906/2198*AA80</f>
        <v>0.8662471337579618</v>
      </c>
      <c r="AC80" s="2">
        <f t="shared" si="20"/>
        <v>0.8662471337579618</v>
      </c>
      <c r="AE80" s="2">
        <v>819</v>
      </c>
      <c r="AF80" s="2">
        <f>0.2/1000*AE80</f>
        <v>0.1638</v>
      </c>
      <c r="AG80" s="2">
        <f>0.586*AB80</f>
        <v>0.5076208203821656</v>
      </c>
      <c r="AH80" s="2">
        <f t="shared" si="19"/>
        <v>0.0959868</v>
      </c>
      <c r="AI80" s="2">
        <f t="shared" si="21"/>
        <v>0.6036076203821656</v>
      </c>
    </row>
    <row r="81" spans="1:35" ht="12.75">
      <c r="A81" s="8">
        <v>13797</v>
      </c>
      <c r="B81" s="7" t="s">
        <v>2</v>
      </c>
      <c r="C81" s="7" t="s">
        <v>226</v>
      </c>
      <c r="D81" s="14">
        <v>617</v>
      </c>
      <c r="E81" s="7" t="s">
        <v>96</v>
      </c>
      <c r="F81" s="7" t="s">
        <v>188</v>
      </c>
      <c r="G81" s="8"/>
      <c r="H81" s="7"/>
      <c r="I81" s="7" t="s">
        <v>233</v>
      </c>
      <c r="J81" s="7" t="s">
        <v>232</v>
      </c>
      <c r="K81" s="9"/>
      <c r="L81" s="9"/>
      <c r="M81" s="9"/>
      <c r="N81" s="9"/>
      <c r="O81" s="9"/>
      <c r="P81" s="9"/>
      <c r="Q81" s="10"/>
      <c r="R81" s="10"/>
      <c r="S81" s="10"/>
      <c r="T81" s="10"/>
      <c r="U81" s="10"/>
      <c r="V81" s="9"/>
      <c r="W81" s="9"/>
      <c r="AA81" s="2">
        <f>0.8/1000*AE81</f>
        <v>24.312</v>
      </c>
      <c r="AB81" s="2">
        <f>2906/2198*AA81</f>
        <v>32.14316287534122</v>
      </c>
      <c r="AC81" s="2">
        <f t="shared" si="20"/>
        <v>32.14316287534122</v>
      </c>
      <c r="AE81" s="2">
        <v>30390</v>
      </c>
      <c r="AF81" s="2">
        <f>0.2/1000*AE81</f>
        <v>6.078</v>
      </c>
      <c r="AG81" s="2">
        <f>0.586*AB81</f>
        <v>18.835893444949953</v>
      </c>
      <c r="AH81" s="2">
        <f t="shared" si="19"/>
        <v>3.561708</v>
      </c>
      <c r="AI81" s="2">
        <f t="shared" si="21"/>
        <v>22.397601444949952</v>
      </c>
    </row>
    <row r="82" spans="1:35" ht="12.75">
      <c r="A82" s="8">
        <v>8545</v>
      </c>
      <c r="B82" s="7" t="s">
        <v>2</v>
      </c>
      <c r="C82" s="7" t="s">
        <v>226</v>
      </c>
      <c r="D82" s="14">
        <v>668</v>
      </c>
      <c r="E82" s="7" t="s">
        <v>77</v>
      </c>
      <c r="F82" s="7" t="s">
        <v>170</v>
      </c>
      <c r="G82" s="8">
        <v>3660</v>
      </c>
      <c r="H82" s="7" t="s">
        <v>0</v>
      </c>
      <c r="I82" s="7" t="s">
        <v>220</v>
      </c>
      <c r="J82" s="7" t="s">
        <v>222</v>
      </c>
      <c r="K82" s="9">
        <v>2739</v>
      </c>
      <c r="L82" s="9">
        <f aca="true" t="shared" si="22" ref="L82:L91">2906/2198*K82</f>
        <v>3621.2620564149224</v>
      </c>
      <c r="M82" s="9">
        <f aca="true" t="shared" si="23" ref="M82:M91">11*L82/1000</f>
        <v>39.83388262056415</v>
      </c>
      <c r="N82" s="9"/>
      <c r="O82" s="9"/>
      <c r="P82" s="9"/>
      <c r="Q82" s="10"/>
      <c r="R82" s="10"/>
      <c r="S82" s="10"/>
      <c r="T82" s="10"/>
      <c r="U82" s="10"/>
      <c r="V82" s="9"/>
      <c r="W82" s="9"/>
      <c r="AC82" s="2">
        <f t="shared" si="20"/>
        <v>39.83388262056415</v>
      </c>
      <c r="AE82" s="2">
        <v>26041</v>
      </c>
      <c r="AF82" s="2">
        <f aca="true" t="shared" si="24" ref="AF82:AF95">0.001*AE82</f>
        <v>26.041</v>
      </c>
      <c r="AG82" s="2">
        <f aca="true" t="shared" si="25" ref="AG82:AG91">0.204*M82</f>
        <v>8.126112054595085</v>
      </c>
      <c r="AH82" s="2">
        <f t="shared" si="19"/>
        <v>15.260026</v>
      </c>
      <c r="AI82" s="2">
        <f t="shared" si="21"/>
        <v>23.386138054595087</v>
      </c>
    </row>
    <row r="83" spans="1:35" ht="12.75">
      <c r="A83" s="8">
        <v>14102</v>
      </c>
      <c r="B83" s="7" t="s">
        <v>2</v>
      </c>
      <c r="C83" s="7" t="s">
        <v>226</v>
      </c>
      <c r="D83" s="14">
        <v>210</v>
      </c>
      <c r="E83" s="7" t="s">
        <v>102</v>
      </c>
      <c r="F83" s="7" t="s">
        <v>194</v>
      </c>
      <c r="G83" s="8" t="s">
        <v>241</v>
      </c>
      <c r="H83" s="7" t="s">
        <v>1</v>
      </c>
      <c r="I83" s="7" t="s">
        <v>220</v>
      </c>
      <c r="J83" s="7" t="s">
        <v>222</v>
      </c>
      <c r="K83" s="9">
        <v>3657.3</v>
      </c>
      <c r="L83" s="9">
        <f t="shared" si="22"/>
        <v>4835.356596906278</v>
      </c>
      <c r="M83" s="9">
        <f t="shared" si="23"/>
        <v>53.188922565969065</v>
      </c>
      <c r="N83" s="9"/>
      <c r="O83" s="9"/>
      <c r="P83" s="9"/>
      <c r="Q83" s="10"/>
      <c r="R83" s="10"/>
      <c r="S83" s="10"/>
      <c r="T83" s="10"/>
      <c r="U83" s="10"/>
      <c r="V83" s="9"/>
      <c r="W83" s="9"/>
      <c r="AC83" s="2">
        <f t="shared" si="20"/>
        <v>53.188922565969065</v>
      </c>
      <c r="AE83" s="2">
        <v>2977</v>
      </c>
      <c r="AF83" s="2">
        <f t="shared" si="24"/>
        <v>2.977</v>
      </c>
      <c r="AG83" s="2">
        <f t="shared" si="25"/>
        <v>10.850540203457689</v>
      </c>
      <c r="AH83" s="2">
        <f t="shared" si="19"/>
        <v>1.744522</v>
      </c>
      <c r="AI83" s="2">
        <f t="shared" si="21"/>
        <v>12.595062203457688</v>
      </c>
    </row>
    <row r="84" spans="1:35" ht="12.75">
      <c r="A84" s="8">
        <v>3557</v>
      </c>
      <c r="B84" s="10"/>
      <c r="C84" s="7" t="s">
        <v>226</v>
      </c>
      <c r="D84" s="14">
        <v>621</v>
      </c>
      <c r="E84" s="7" t="s">
        <v>242</v>
      </c>
      <c r="F84" s="7" t="s">
        <v>243</v>
      </c>
      <c r="G84" s="11"/>
      <c r="H84" s="10"/>
      <c r="I84" s="7" t="s">
        <v>220</v>
      </c>
      <c r="J84" s="7" t="s">
        <v>222</v>
      </c>
      <c r="K84" s="9">
        <v>2647.57</v>
      </c>
      <c r="L84" s="9">
        <f t="shared" si="22"/>
        <v>3500.3814467697907</v>
      </c>
      <c r="M84" s="9">
        <f t="shared" si="23"/>
        <v>38.504195914467694</v>
      </c>
      <c r="N84" s="9"/>
      <c r="O84" s="9"/>
      <c r="P84" s="9"/>
      <c r="Q84" s="10"/>
      <c r="R84" s="10"/>
      <c r="S84" s="10"/>
      <c r="T84" s="10"/>
      <c r="U84" s="10"/>
      <c r="V84" s="9"/>
      <c r="W84" s="9"/>
      <c r="AC84" s="2">
        <f t="shared" si="20"/>
        <v>38.504195914467694</v>
      </c>
      <c r="AE84" s="2">
        <v>33978</v>
      </c>
      <c r="AF84" s="2">
        <f t="shared" si="24"/>
        <v>33.978</v>
      </c>
      <c r="AG84" s="2">
        <f t="shared" si="25"/>
        <v>7.854855966551409</v>
      </c>
      <c r="AH84" s="2">
        <f t="shared" si="19"/>
        <v>19.911108</v>
      </c>
      <c r="AI84" s="2">
        <f t="shared" si="21"/>
        <v>27.765963966551407</v>
      </c>
    </row>
    <row r="85" spans="1:35" ht="12.75">
      <c r="A85" s="8">
        <v>2541</v>
      </c>
      <c r="B85" s="7" t="s">
        <v>2</v>
      </c>
      <c r="C85" s="7" t="s">
        <v>226</v>
      </c>
      <c r="D85" s="14">
        <v>406</v>
      </c>
      <c r="E85" s="7" t="s">
        <v>49</v>
      </c>
      <c r="F85" s="7" t="s">
        <v>147</v>
      </c>
      <c r="G85" s="8">
        <v>2765</v>
      </c>
      <c r="H85" s="7" t="s">
        <v>212</v>
      </c>
      <c r="I85" s="7" t="s">
        <v>220</v>
      </c>
      <c r="J85" s="7" t="s">
        <v>222</v>
      </c>
      <c r="K85" s="9">
        <v>4556.31</v>
      </c>
      <c r="L85" s="9">
        <f t="shared" si="22"/>
        <v>6023.947616014559</v>
      </c>
      <c r="M85" s="9">
        <f t="shared" si="23"/>
        <v>66.26342377616014</v>
      </c>
      <c r="N85" s="9"/>
      <c r="O85" s="9"/>
      <c r="P85" s="9"/>
      <c r="Q85" s="10"/>
      <c r="R85" s="10"/>
      <c r="S85" s="10"/>
      <c r="T85" s="10"/>
      <c r="U85" s="10"/>
      <c r="V85" s="9"/>
      <c r="W85" s="9"/>
      <c r="AC85" s="2">
        <f t="shared" si="20"/>
        <v>66.26342377616014</v>
      </c>
      <c r="AE85" s="2">
        <v>3268</v>
      </c>
      <c r="AF85" s="2">
        <f t="shared" si="24"/>
        <v>3.2680000000000002</v>
      </c>
      <c r="AG85" s="2">
        <f t="shared" si="25"/>
        <v>13.517738450336667</v>
      </c>
      <c r="AH85" s="2">
        <f t="shared" si="19"/>
        <v>1.915048</v>
      </c>
      <c r="AI85" s="2">
        <f t="shared" si="21"/>
        <v>15.432786450336668</v>
      </c>
    </row>
    <row r="86" spans="1:35" ht="12.75">
      <c r="A86" s="8">
        <v>228</v>
      </c>
      <c r="B86" s="7" t="s">
        <v>2</v>
      </c>
      <c r="C86" s="7" t="s">
        <v>226</v>
      </c>
      <c r="D86" s="14">
        <v>0</v>
      </c>
      <c r="E86" s="7" t="s">
        <v>21</v>
      </c>
      <c r="F86" s="7" t="s">
        <v>121</v>
      </c>
      <c r="G86" s="8">
        <v>2765</v>
      </c>
      <c r="H86" s="7" t="s">
        <v>212</v>
      </c>
      <c r="I86" s="7" t="s">
        <v>220</v>
      </c>
      <c r="J86" s="7" t="s">
        <v>222</v>
      </c>
      <c r="K86" s="9">
        <v>0</v>
      </c>
      <c r="L86" s="9">
        <f t="shared" si="22"/>
        <v>0</v>
      </c>
      <c r="M86" s="9">
        <f t="shared" si="23"/>
        <v>0</v>
      </c>
      <c r="N86" s="9"/>
      <c r="O86" s="9"/>
      <c r="P86" s="9"/>
      <c r="Q86" s="10"/>
      <c r="R86" s="10"/>
      <c r="S86" s="10"/>
      <c r="T86" s="10"/>
      <c r="U86" s="10"/>
      <c r="V86" s="9"/>
      <c r="W86" s="9"/>
      <c r="AC86" s="2">
        <f t="shared" si="20"/>
        <v>0</v>
      </c>
      <c r="AE86" s="2">
        <v>812</v>
      </c>
      <c r="AF86" s="2">
        <f t="shared" si="24"/>
        <v>0.812</v>
      </c>
      <c r="AG86" s="2">
        <f t="shared" si="25"/>
        <v>0</v>
      </c>
      <c r="AH86" s="2">
        <f t="shared" si="19"/>
        <v>0.475832</v>
      </c>
      <c r="AI86" s="2">
        <f t="shared" si="21"/>
        <v>0.475832</v>
      </c>
    </row>
    <row r="87" spans="1:35" ht="12.75">
      <c r="A87" s="8">
        <v>12266</v>
      </c>
      <c r="B87" s="7" t="s">
        <v>2</v>
      </c>
      <c r="C87" s="7" t="s">
        <v>226</v>
      </c>
      <c r="D87" s="14">
        <v>390</v>
      </c>
      <c r="E87" s="7" t="s">
        <v>93</v>
      </c>
      <c r="F87" s="7" t="s">
        <v>185</v>
      </c>
      <c r="G87" s="8"/>
      <c r="H87" s="7"/>
      <c r="I87" s="7" t="s">
        <v>220</v>
      </c>
      <c r="J87" s="7" t="s">
        <v>222</v>
      </c>
      <c r="K87" s="9">
        <v>1532.56</v>
      </c>
      <c r="L87" s="9">
        <f t="shared" si="22"/>
        <v>2026.2144494995448</v>
      </c>
      <c r="M87" s="9">
        <f t="shared" si="23"/>
        <v>22.288358944494995</v>
      </c>
      <c r="N87" s="9"/>
      <c r="O87" s="9"/>
      <c r="P87" s="9"/>
      <c r="Q87" s="10"/>
      <c r="R87" s="10"/>
      <c r="S87" s="10"/>
      <c r="T87" s="10"/>
      <c r="U87" s="10"/>
      <c r="V87" s="9"/>
      <c r="W87" s="9"/>
      <c r="AC87" s="2">
        <f t="shared" si="20"/>
        <v>22.288358944494995</v>
      </c>
      <c r="AE87" s="2">
        <v>4645</v>
      </c>
      <c r="AF87" s="2">
        <f t="shared" si="24"/>
        <v>4.6450000000000005</v>
      </c>
      <c r="AG87" s="2">
        <f t="shared" si="25"/>
        <v>4.5468252246769785</v>
      </c>
      <c r="AH87" s="2">
        <f t="shared" si="19"/>
        <v>2.7219700000000002</v>
      </c>
      <c r="AI87" s="2">
        <f t="shared" si="21"/>
        <v>7.268795224676978</v>
      </c>
    </row>
    <row r="88" spans="1:35" ht="12.75">
      <c r="A88" s="8">
        <v>6578</v>
      </c>
      <c r="B88" s="7" t="s">
        <v>2</v>
      </c>
      <c r="C88" s="7" t="s">
        <v>226</v>
      </c>
      <c r="D88" s="14">
        <v>3522</v>
      </c>
      <c r="E88" s="7" t="s">
        <v>88</v>
      </c>
      <c r="F88" s="7" t="s">
        <v>182</v>
      </c>
      <c r="G88" s="8">
        <v>3660</v>
      </c>
      <c r="H88" s="7" t="s">
        <v>0</v>
      </c>
      <c r="I88" s="7" t="s">
        <v>220</v>
      </c>
      <c r="J88" s="7" t="s">
        <v>222</v>
      </c>
      <c r="K88" s="9">
        <v>43405</v>
      </c>
      <c r="L88" s="9">
        <f t="shared" si="22"/>
        <v>57386.22838944495</v>
      </c>
      <c r="M88" s="9">
        <f t="shared" si="23"/>
        <v>631.2485122838945</v>
      </c>
      <c r="N88" s="9"/>
      <c r="O88" s="9"/>
      <c r="P88" s="9"/>
      <c r="Q88" s="10"/>
      <c r="R88" s="10"/>
      <c r="S88" s="10"/>
      <c r="T88" s="10"/>
      <c r="U88" s="10"/>
      <c r="V88" s="9"/>
      <c r="W88" s="9"/>
      <c r="AC88" s="2">
        <f t="shared" si="20"/>
        <v>631.2485122838945</v>
      </c>
      <c r="AE88" s="2">
        <v>108535</v>
      </c>
      <c r="AF88" s="2">
        <f t="shared" si="24"/>
        <v>108.535</v>
      </c>
      <c r="AG88" s="2">
        <f t="shared" si="25"/>
        <v>128.77469650591445</v>
      </c>
      <c r="AH88" s="2">
        <f t="shared" si="19"/>
        <v>63.60151</v>
      </c>
      <c r="AI88" s="2">
        <f t="shared" si="21"/>
        <v>192.37620650591444</v>
      </c>
    </row>
    <row r="89" spans="1:35" ht="12.75">
      <c r="A89" s="8">
        <v>1529</v>
      </c>
      <c r="B89" s="7" t="s">
        <v>2</v>
      </c>
      <c r="C89" s="7" t="s">
        <v>226</v>
      </c>
      <c r="D89" s="14">
        <v>540</v>
      </c>
      <c r="E89" s="7" t="s">
        <v>95</v>
      </c>
      <c r="F89" s="7" t="s">
        <v>187</v>
      </c>
      <c r="G89" s="8">
        <v>2765</v>
      </c>
      <c r="H89" s="7" t="s">
        <v>212</v>
      </c>
      <c r="I89" s="7" t="s">
        <v>220</v>
      </c>
      <c r="J89" s="7" t="s">
        <v>222</v>
      </c>
      <c r="K89" s="9">
        <v>6286.82</v>
      </c>
      <c r="L89" s="9">
        <f t="shared" si="22"/>
        <v>8311.873939945404</v>
      </c>
      <c r="M89" s="9">
        <f t="shared" si="23"/>
        <v>91.43061333939946</v>
      </c>
      <c r="N89" s="9"/>
      <c r="O89" s="9"/>
      <c r="P89" s="9"/>
      <c r="Q89" s="10"/>
      <c r="R89" s="10"/>
      <c r="S89" s="10"/>
      <c r="T89" s="10"/>
      <c r="U89" s="10"/>
      <c r="V89" s="9"/>
      <c r="W89" s="9"/>
      <c r="AC89" s="2">
        <f t="shared" si="20"/>
        <v>91.43061333939946</v>
      </c>
      <c r="AE89" s="2">
        <v>7066</v>
      </c>
      <c r="AF89" s="2">
        <f t="shared" si="24"/>
        <v>7.066</v>
      </c>
      <c r="AG89" s="2">
        <f t="shared" si="25"/>
        <v>18.65184512123749</v>
      </c>
      <c r="AH89" s="2">
        <f t="shared" si="19"/>
        <v>4.140676</v>
      </c>
      <c r="AI89" s="2">
        <f t="shared" si="21"/>
        <v>22.79252112123749</v>
      </c>
    </row>
    <row r="90" spans="1:35" ht="12.75">
      <c r="A90" s="8">
        <v>12291</v>
      </c>
      <c r="B90" s="7" t="s">
        <v>2</v>
      </c>
      <c r="C90" s="7" t="s">
        <v>226</v>
      </c>
      <c r="D90" s="14">
        <v>1193</v>
      </c>
      <c r="E90" s="7" t="s">
        <v>56</v>
      </c>
      <c r="F90" s="7" t="s">
        <v>152</v>
      </c>
      <c r="G90" s="8"/>
      <c r="H90" s="7"/>
      <c r="I90" s="7" t="s">
        <v>220</v>
      </c>
      <c r="J90" s="7" t="s">
        <v>222</v>
      </c>
      <c r="K90" s="9">
        <v>8785.27</v>
      </c>
      <c r="L90" s="9">
        <f t="shared" si="22"/>
        <v>11615.10219290264</v>
      </c>
      <c r="M90" s="9">
        <f t="shared" si="23"/>
        <v>127.76612412192902</v>
      </c>
      <c r="N90" s="9"/>
      <c r="O90" s="9"/>
      <c r="P90" s="9"/>
      <c r="Q90" s="10"/>
      <c r="R90" s="10"/>
      <c r="S90" s="10"/>
      <c r="T90" s="10"/>
      <c r="U90" s="10"/>
      <c r="V90" s="9"/>
      <c r="W90" s="9"/>
      <c r="AC90" s="2">
        <f t="shared" si="20"/>
        <v>127.76612412192902</v>
      </c>
      <c r="AE90" s="2">
        <v>68810</v>
      </c>
      <c r="AF90" s="2">
        <f t="shared" si="24"/>
        <v>68.81</v>
      </c>
      <c r="AG90" s="2">
        <f t="shared" si="25"/>
        <v>26.06428932087352</v>
      </c>
      <c r="AH90" s="2">
        <f t="shared" si="19"/>
        <v>40.32266</v>
      </c>
      <c r="AI90" s="2">
        <f t="shared" si="21"/>
        <v>66.38694932087353</v>
      </c>
    </row>
    <row r="91" spans="1:35" ht="12.75">
      <c r="A91" s="8">
        <v>8636</v>
      </c>
      <c r="B91" s="7" t="s">
        <v>14</v>
      </c>
      <c r="C91" s="7" t="s">
        <v>226</v>
      </c>
      <c r="D91" s="14">
        <v>286</v>
      </c>
      <c r="E91" s="7" t="s">
        <v>52</v>
      </c>
      <c r="F91" s="7" t="s">
        <v>230</v>
      </c>
      <c r="G91" s="8">
        <v>3660</v>
      </c>
      <c r="H91" s="7" t="s">
        <v>0</v>
      </c>
      <c r="I91" s="7" t="s">
        <v>220</v>
      </c>
      <c r="J91" s="7" t="s">
        <v>222</v>
      </c>
      <c r="K91" s="9">
        <v>2173</v>
      </c>
      <c r="L91" s="9">
        <f t="shared" si="22"/>
        <v>2872.9472247497724</v>
      </c>
      <c r="M91" s="9">
        <f t="shared" si="23"/>
        <v>31.602419472247497</v>
      </c>
      <c r="N91" s="9"/>
      <c r="O91" s="9"/>
      <c r="P91" s="9"/>
      <c r="Q91" s="10"/>
      <c r="R91" s="10"/>
      <c r="S91" s="10"/>
      <c r="T91" s="10"/>
      <c r="U91" s="10"/>
      <c r="V91" s="9"/>
      <c r="W91" s="9"/>
      <c r="AC91" s="2">
        <f t="shared" si="20"/>
        <v>31.602419472247497</v>
      </c>
      <c r="AE91" s="2">
        <v>8435</v>
      </c>
      <c r="AF91" s="2">
        <f t="shared" si="24"/>
        <v>8.435</v>
      </c>
      <c r="AG91" s="2">
        <f t="shared" si="25"/>
        <v>6.446893572338489</v>
      </c>
      <c r="AH91" s="2">
        <f t="shared" si="19"/>
        <v>4.94291</v>
      </c>
      <c r="AI91" s="2">
        <f t="shared" si="21"/>
        <v>11.38980357233849</v>
      </c>
    </row>
    <row r="92" spans="1:35" ht="12.75">
      <c r="A92" s="8">
        <v>11454</v>
      </c>
      <c r="B92" s="7" t="s">
        <v>14</v>
      </c>
      <c r="C92" s="7" t="s">
        <v>226</v>
      </c>
      <c r="D92" s="14">
        <v>1543</v>
      </c>
      <c r="E92" s="7" t="s">
        <v>114</v>
      </c>
      <c r="F92" s="7" t="s">
        <v>205</v>
      </c>
      <c r="G92" s="8"/>
      <c r="H92" s="7"/>
      <c r="I92" s="7" t="s">
        <v>218</v>
      </c>
      <c r="J92" s="7" t="s">
        <v>222</v>
      </c>
      <c r="K92" s="9"/>
      <c r="L92" s="9"/>
      <c r="M92" s="9"/>
      <c r="N92" s="10">
        <v>2310</v>
      </c>
      <c r="O92" s="9">
        <f>2906/2198*N92</f>
        <v>3054.076433121019</v>
      </c>
      <c r="P92" s="9">
        <f>0.278*O92</f>
        <v>849.0332484076433</v>
      </c>
      <c r="Q92" s="10"/>
      <c r="R92" s="10"/>
      <c r="S92" s="10"/>
      <c r="T92" s="10"/>
      <c r="U92" s="10"/>
      <c r="V92" s="9"/>
      <c r="W92" s="9"/>
      <c r="AC92" s="2">
        <f t="shared" si="20"/>
        <v>849.0332484076433</v>
      </c>
      <c r="AE92" s="2">
        <v>83995</v>
      </c>
      <c r="AF92" s="2">
        <f t="shared" si="24"/>
        <v>83.995</v>
      </c>
      <c r="AG92" s="2">
        <f>0.1*P92</f>
        <v>84.90332484076434</v>
      </c>
      <c r="AH92" s="2">
        <f t="shared" si="19"/>
        <v>49.22107</v>
      </c>
      <c r="AI92" s="2">
        <f t="shared" si="21"/>
        <v>134.12439484076435</v>
      </c>
    </row>
    <row r="93" spans="1:35" ht="12.75">
      <c r="A93" s="8">
        <v>615</v>
      </c>
      <c r="B93" s="7" t="s">
        <v>2</v>
      </c>
      <c r="C93" s="7" t="s">
        <v>226</v>
      </c>
      <c r="D93" s="14">
        <v>2393</v>
      </c>
      <c r="E93" s="7" t="s">
        <v>68</v>
      </c>
      <c r="F93" s="7" t="s">
        <v>162</v>
      </c>
      <c r="G93" s="8">
        <v>2765</v>
      </c>
      <c r="H93" s="7" t="s">
        <v>212</v>
      </c>
      <c r="I93" s="7" t="s">
        <v>212</v>
      </c>
      <c r="J93" s="7" t="s">
        <v>222</v>
      </c>
      <c r="K93" s="9"/>
      <c r="L93" s="9"/>
      <c r="M93" s="9"/>
      <c r="N93" s="9"/>
      <c r="O93" s="9"/>
      <c r="P93" s="9"/>
      <c r="Q93" s="10"/>
      <c r="R93" s="10"/>
      <c r="S93" s="10"/>
      <c r="T93" s="10"/>
      <c r="U93" s="10">
        <v>133.59</v>
      </c>
      <c r="V93" s="9">
        <f>2198/2330*U93</f>
        <v>126.02181115879829</v>
      </c>
      <c r="W93" s="9">
        <f>2906/2198*V93</f>
        <v>166.61482403433476</v>
      </c>
      <c r="AC93" s="2">
        <f t="shared" si="20"/>
        <v>166.61482403433476</v>
      </c>
      <c r="AE93" s="2">
        <v>22415</v>
      </c>
      <c r="AF93" s="2">
        <f t="shared" si="24"/>
        <v>22.415</v>
      </c>
      <c r="AG93" s="2">
        <f>0.126*W93</f>
        <v>20.993467828326178</v>
      </c>
      <c r="AH93" s="2">
        <f t="shared" si="19"/>
        <v>13.135189999999998</v>
      </c>
      <c r="AI93" s="2">
        <f t="shared" si="21"/>
        <v>34.128657828326176</v>
      </c>
    </row>
    <row r="94" spans="1:35" ht="12.75">
      <c r="A94" s="13">
        <v>1544</v>
      </c>
      <c r="B94" s="7" t="s">
        <v>3</v>
      </c>
      <c r="C94" s="7" t="s">
        <v>226</v>
      </c>
      <c r="D94" s="16">
        <v>1234</v>
      </c>
      <c r="E94" s="7" t="s">
        <v>66</v>
      </c>
      <c r="F94" s="7" t="s">
        <v>161</v>
      </c>
      <c r="G94" s="8">
        <v>2765</v>
      </c>
      <c r="H94" s="7" t="s">
        <v>212</v>
      </c>
      <c r="I94" s="10"/>
      <c r="J94" s="10"/>
      <c r="K94" s="9"/>
      <c r="L94" s="9"/>
      <c r="M94" s="9"/>
      <c r="N94" s="9"/>
      <c r="O94" s="9"/>
      <c r="P94" s="9"/>
      <c r="Q94" s="10"/>
      <c r="R94" s="10"/>
      <c r="S94" s="10"/>
      <c r="T94" s="10"/>
      <c r="U94" s="10"/>
      <c r="V94" s="9"/>
      <c r="W94" s="9"/>
      <c r="AC94" s="2">
        <f t="shared" si="20"/>
        <v>0</v>
      </c>
      <c r="AE94" s="2">
        <v>28789</v>
      </c>
      <c r="AF94" s="2">
        <f t="shared" si="24"/>
        <v>28.789</v>
      </c>
      <c r="AG94" s="2"/>
      <c r="AH94" s="2">
        <f t="shared" si="19"/>
        <v>16.870354</v>
      </c>
      <c r="AI94" s="2">
        <f t="shared" si="21"/>
        <v>16.870354</v>
      </c>
    </row>
    <row r="95" spans="1:35" ht="12.75">
      <c r="A95" s="11">
        <v>4581</v>
      </c>
      <c r="B95" s="10"/>
      <c r="C95" s="7" t="s">
        <v>226</v>
      </c>
      <c r="D95" s="16">
        <v>754</v>
      </c>
      <c r="E95" s="7" t="s">
        <v>244</v>
      </c>
      <c r="F95" s="7" t="s">
        <v>245</v>
      </c>
      <c r="G95" s="11"/>
      <c r="H95" s="10"/>
      <c r="I95" s="10"/>
      <c r="J95" s="10"/>
      <c r="K95" s="9">
        <v>3142</v>
      </c>
      <c r="L95" s="9">
        <f>2906/2198*K95</f>
        <v>4154.072793448589</v>
      </c>
      <c r="M95" s="9">
        <f>11*L95/1000</f>
        <v>45.694800727934485</v>
      </c>
      <c r="N95" s="9"/>
      <c r="O95" s="9"/>
      <c r="P95" s="9"/>
      <c r="Q95" s="10"/>
      <c r="R95" s="10"/>
      <c r="S95" s="10"/>
      <c r="T95" s="10"/>
      <c r="U95" s="10"/>
      <c r="V95" s="9"/>
      <c r="W95" s="9"/>
      <c r="AC95" s="2">
        <f t="shared" si="20"/>
        <v>45.694800727934485</v>
      </c>
      <c r="AE95" s="2">
        <v>29279</v>
      </c>
      <c r="AF95" s="2">
        <f t="shared" si="24"/>
        <v>29.279</v>
      </c>
      <c r="AG95" s="2">
        <f>0.204*M95</f>
        <v>9.321739348498634</v>
      </c>
      <c r="AH95" s="2">
        <f t="shared" si="19"/>
        <v>17.157494</v>
      </c>
      <c r="AI95" s="2">
        <f t="shared" si="21"/>
        <v>26.47923334849863</v>
      </c>
    </row>
    <row r="96" spans="1:35" s="27" customFormat="1" ht="12.75">
      <c r="A96" s="23"/>
      <c r="B96" s="21"/>
      <c r="C96" s="21" t="s">
        <v>226</v>
      </c>
      <c r="D96" s="24">
        <f>SUM(D78:D95)</f>
        <v>15117</v>
      </c>
      <c r="E96" s="21"/>
      <c r="F96" s="21"/>
      <c r="G96" s="23"/>
      <c r="H96" s="21"/>
      <c r="I96" s="21"/>
      <c r="J96" s="21"/>
      <c r="K96" s="25"/>
      <c r="L96" s="25"/>
      <c r="M96" s="25"/>
      <c r="N96" s="26"/>
      <c r="O96" s="25"/>
      <c r="P96" s="25"/>
      <c r="Q96" s="26"/>
      <c r="R96" s="26"/>
      <c r="S96" s="26"/>
      <c r="T96" s="26"/>
      <c r="U96" s="26"/>
      <c r="V96" s="25"/>
      <c r="W96" s="25"/>
      <c r="AC96" s="19">
        <f>SUM(AC78:AC95)</f>
        <v>2221.2942310316043</v>
      </c>
      <c r="AE96" s="19">
        <f>SUM(AE78:AE95)</f>
        <v>483716</v>
      </c>
      <c r="AF96" s="19">
        <f>SUM(AF78:AF95)</f>
        <v>439.9792</v>
      </c>
      <c r="AG96" s="19">
        <f>SUM(AG78:AG95)</f>
        <v>373.93772266359457</v>
      </c>
      <c r="AH96" s="19">
        <f>SUM(AH78:AH95)</f>
        <v>257.8278112</v>
      </c>
      <c r="AI96" s="19">
        <f t="shared" si="21"/>
        <v>631.7655338635946</v>
      </c>
    </row>
    <row r="97" spans="1:35" s="27" customFormat="1" ht="12.75">
      <c r="A97" s="23"/>
      <c r="B97" s="21"/>
      <c r="C97" s="21"/>
      <c r="D97" s="24"/>
      <c r="E97" s="21"/>
      <c r="F97" s="21"/>
      <c r="G97" s="23"/>
      <c r="H97" s="21"/>
      <c r="I97" s="21"/>
      <c r="J97" s="21"/>
      <c r="K97" s="25"/>
      <c r="L97" s="25"/>
      <c r="M97" s="25"/>
      <c r="N97" s="26"/>
      <c r="O97" s="25"/>
      <c r="P97" s="25"/>
      <c r="Q97" s="26"/>
      <c r="R97" s="26"/>
      <c r="S97" s="26"/>
      <c r="T97" s="26"/>
      <c r="U97" s="26"/>
      <c r="V97" s="25"/>
      <c r="W97" s="25"/>
      <c r="AC97" s="19"/>
      <c r="AE97" s="19"/>
      <c r="AF97" s="19"/>
      <c r="AG97" s="19"/>
      <c r="AH97" s="19"/>
      <c r="AI97" s="19"/>
    </row>
    <row r="98" spans="1:35" ht="12.75">
      <c r="A98" s="8">
        <v>12827</v>
      </c>
      <c r="B98" s="7" t="s">
        <v>5</v>
      </c>
      <c r="C98" s="7" t="s">
        <v>224</v>
      </c>
      <c r="D98" s="14">
        <v>8282</v>
      </c>
      <c r="E98" s="7" t="s">
        <v>33</v>
      </c>
      <c r="F98" s="7" t="s">
        <v>134</v>
      </c>
      <c r="G98" s="8">
        <v>3650</v>
      </c>
      <c r="H98" s="7" t="s">
        <v>1</v>
      </c>
      <c r="I98" s="7" t="s">
        <v>220</v>
      </c>
      <c r="J98" s="7" t="s">
        <v>222</v>
      </c>
      <c r="K98" s="9">
        <f>20452+20453.88+20495.66</f>
        <v>61401.54000000001</v>
      </c>
      <c r="L98" s="9">
        <f aca="true" t="shared" si="26" ref="L98:L104">2906/2198*K98</f>
        <v>81179.6520655141</v>
      </c>
      <c r="M98" s="9">
        <f aca="true" t="shared" si="27" ref="M98:M104">11*L98/1000</f>
        <v>892.9761727206552</v>
      </c>
      <c r="N98" s="9"/>
      <c r="O98" s="9"/>
      <c r="P98" s="9"/>
      <c r="Q98" s="10"/>
      <c r="R98" s="10"/>
      <c r="S98" s="10"/>
      <c r="T98" s="10"/>
      <c r="U98" s="10"/>
      <c r="V98" s="9"/>
      <c r="W98" s="9"/>
      <c r="AC98" s="2">
        <f aca="true" t="shared" si="28" ref="AC98:AC112">M98+P98+T98+W98+Z98+AB98</f>
        <v>892.9761727206552</v>
      </c>
      <c r="AE98" s="2">
        <v>277985</v>
      </c>
      <c r="AF98" s="2">
        <f aca="true" t="shared" si="29" ref="AF98:AF112">0.001*AE98</f>
        <v>277.985</v>
      </c>
      <c r="AG98" s="2">
        <f aca="true" t="shared" si="30" ref="AG98:AG103">0.204*M98</f>
        <v>182.16713923501365</v>
      </c>
      <c r="AH98" s="2">
        <f t="shared" si="19"/>
        <v>162.89921</v>
      </c>
      <c r="AI98" s="2">
        <f aca="true" t="shared" si="31" ref="AI98:AI113">AG98+AH98</f>
        <v>345.06634923501366</v>
      </c>
    </row>
    <row r="99" spans="1:35" ht="12.75">
      <c r="A99" s="8">
        <v>5435</v>
      </c>
      <c r="B99" s="7" t="s">
        <v>5</v>
      </c>
      <c r="C99" s="7" t="s">
        <v>224</v>
      </c>
      <c r="D99" s="14">
        <v>2551</v>
      </c>
      <c r="E99" s="7" t="s">
        <v>111</v>
      </c>
      <c r="F99" s="7" t="s">
        <v>231</v>
      </c>
      <c r="G99" s="8">
        <v>3670</v>
      </c>
      <c r="H99" s="7" t="s">
        <v>213</v>
      </c>
      <c r="I99" s="7" t="s">
        <v>220</v>
      </c>
      <c r="J99" s="7" t="s">
        <v>222</v>
      </c>
      <c r="K99" s="9">
        <f>2803+5390+8109.59+3767</f>
        <v>20069.59</v>
      </c>
      <c r="L99" s="9">
        <f t="shared" si="26"/>
        <v>26534.225905368516</v>
      </c>
      <c r="M99" s="9">
        <f t="shared" si="27"/>
        <v>291.8764849590537</v>
      </c>
      <c r="N99" s="9"/>
      <c r="O99" s="9"/>
      <c r="P99" s="9"/>
      <c r="Q99" s="10"/>
      <c r="R99" s="10"/>
      <c r="S99" s="10"/>
      <c r="T99" s="10"/>
      <c r="U99" s="10"/>
      <c r="V99" s="9"/>
      <c r="W99" s="9"/>
      <c r="AC99" s="2">
        <f t="shared" si="28"/>
        <v>291.8764849590537</v>
      </c>
      <c r="AE99" s="2">
        <f>93940+6956</f>
        <v>100896</v>
      </c>
      <c r="AF99" s="2">
        <f t="shared" si="29"/>
        <v>100.896</v>
      </c>
      <c r="AG99" s="2">
        <f t="shared" si="30"/>
        <v>59.54280293164695</v>
      </c>
      <c r="AH99" s="2">
        <f t="shared" si="19"/>
        <v>59.125055999999994</v>
      </c>
      <c r="AI99" s="2">
        <f t="shared" si="31"/>
        <v>118.66785893164695</v>
      </c>
    </row>
    <row r="100" spans="1:35" ht="12.75">
      <c r="A100" s="8">
        <v>47044</v>
      </c>
      <c r="B100" s="7" t="s">
        <v>5</v>
      </c>
      <c r="C100" s="7" t="s">
        <v>224</v>
      </c>
      <c r="D100" s="14">
        <v>9648</v>
      </c>
      <c r="E100" s="7" t="s">
        <v>58</v>
      </c>
      <c r="F100" s="7" t="s">
        <v>154</v>
      </c>
      <c r="G100" s="8">
        <v>3650</v>
      </c>
      <c r="H100" s="7" t="s">
        <v>1</v>
      </c>
      <c r="I100" s="7" t="s">
        <v>220</v>
      </c>
      <c r="J100" s="7" t="s">
        <v>222</v>
      </c>
      <c r="K100" s="9">
        <f>115632.97+2518.15</f>
        <v>118151.12</v>
      </c>
      <c r="L100" s="9">
        <f t="shared" si="26"/>
        <v>156208.89659690627</v>
      </c>
      <c r="M100" s="9">
        <f t="shared" si="27"/>
        <v>1718.297862565969</v>
      </c>
      <c r="N100" s="9"/>
      <c r="O100" s="9"/>
      <c r="P100" s="9"/>
      <c r="Q100" s="10"/>
      <c r="R100" s="10"/>
      <c r="S100" s="10"/>
      <c r="T100" s="10"/>
      <c r="U100" s="10"/>
      <c r="V100" s="9"/>
      <c r="W100" s="9"/>
      <c r="AC100" s="2">
        <f t="shared" si="28"/>
        <v>1718.297862565969</v>
      </c>
      <c r="AE100" s="2">
        <v>344428</v>
      </c>
      <c r="AF100" s="2">
        <f t="shared" si="29"/>
        <v>344.428</v>
      </c>
      <c r="AG100" s="2">
        <f t="shared" si="30"/>
        <v>350.5327639634576</v>
      </c>
      <c r="AH100" s="2">
        <f t="shared" si="19"/>
        <v>201.83480799999998</v>
      </c>
      <c r="AI100" s="2">
        <f t="shared" si="31"/>
        <v>552.3675719634576</v>
      </c>
    </row>
    <row r="101" spans="1:35" ht="12.75">
      <c r="A101" s="8">
        <v>2525</v>
      </c>
      <c r="B101" s="7" t="s">
        <v>5</v>
      </c>
      <c r="C101" s="7" t="s">
        <v>224</v>
      </c>
      <c r="D101" s="14">
        <v>1507</v>
      </c>
      <c r="E101" s="7" t="s">
        <v>108</v>
      </c>
      <c r="F101" s="7" t="s">
        <v>200</v>
      </c>
      <c r="G101" s="8">
        <v>2765</v>
      </c>
      <c r="H101" s="7" t="s">
        <v>212</v>
      </c>
      <c r="I101" s="7" t="s">
        <v>220</v>
      </c>
      <c r="J101" s="7" t="s">
        <v>222</v>
      </c>
      <c r="K101" s="9">
        <f>14270.81+1096.82</f>
        <v>15367.63</v>
      </c>
      <c r="L101" s="9">
        <f t="shared" si="26"/>
        <v>20317.712820746132</v>
      </c>
      <c r="M101" s="9">
        <f t="shared" si="27"/>
        <v>223.49484102820745</v>
      </c>
      <c r="N101" s="9"/>
      <c r="O101" s="9"/>
      <c r="P101" s="9"/>
      <c r="Q101" s="10"/>
      <c r="R101" s="10"/>
      <c r="S101" s="10"/>
      <c r="T101" s="10"/>
      <c r="U101" s="10"/>
      <c r="V101" s="9"/>
      <c r="W101" s="9"/>
      <c r="AC101" s="2">
        <f t="shared" si="28"/>
        <v>223.49484102820745</v>
      </c>
      <c r="AE101" s="2">
        <v>3954</v>
      </c>
      <c r="AF101" s="2">
        <f t="shared" si="29"/>
        <v>3.954</v>
      </c>
      <c r="AG101" s="2">
        <f t="shared" si="30"/>
        <v>45.592947569754315</v>
      </c>
      <c r="AH101" s="2">
        <f t="shared" si="19"/>
        <v>2.317044</v>
      </c>
      <c r="AI101" s="2">
        <f t="shared" si="31"/>
        <v>47.90999156975432</v>
      </c>
    </row>
    <row r="102" spans="1:35" ht="12.75">
      <c r="A102" s="13">
        <v>1479</v>
      </c>
      <c r="B102" s="7" t="s">
        <v>5</v>
      </c>
      <c r="C102" s="7" t="s">
        <v>224</v>
      </c>
      <c r="D102" s="16">
        <v>7832</v>
      </c>
      <c r="E102" s="7" t="s">
        <v>100</v>
      </c>
      <c r="F102" s="7" t="s">
        <v>192</v>
      </c>
      <c r="G102" s="8">
        <v>2765</v>
      </c>
      <c r="H102" s="7" t="s">
        <v>212</v>
      </c>
      <c r="I102" s="7" t="s">
        <v>220</v>
      </c>
      <c r="J102" s="7" t="s">
        <v>222</v>
      </c>
      <c r="K102" s="9">
        <f>63093.38+3598.4</f>
        <v>66691.78</v>
      </c>
      <c r="L102" s="9">
        <f t="shared" si="26"/>
        <v>88173.93661510464</v>
      </c>
      <c r="M102" s="9">
        <f t="shared" si="27"/>
        <v>969.913302766151</v>
      </c>
      <c r="N102" s="9"/>
      <c r="O102" s="9"/>
      <c r="P102" s="9"/>
      <c r="Q102" s="10"/>
      <c r="R102" s="10"/>
      <c r="S102" s="10"/>
      <c r="T102" s="10"/>
      <c r="U102" s="10"/>
      <c r="V102" s="9"/>
      <c r="W102" s="9"/>
      <c r="AC102" s="2">
        <f t="shared" si="28"/>
        <v>969.913302766151</v>
      </c>
      <c r="AE102" s="2">
        <v>161061</v>
      </c>
      <c r="AF102" s="2">
        <f t="shared" si="29"/>
        <v>161.061</v>
      </c>
      <c r="AG102" s="2">
        <f t="shared" si="30"/>
        <v>197.86231376429478</v>
      </c>
      <c r="AH102" s="2">
        <f t="shared" si="19"/>
        <v>94.38174599999999</v>
      </c>
      <c r="AI102" s="2">
        <f t="shared" si="31"/>
        <v>292.2440597642948</v>
      </c>
    </row>
    <row r="103" spans="1:35" ht="12.75">
      <c r="A103" s="8">
        <v>12990</v>
      </c>
      <c r="B103" s="7" t="s">
        <v>5</v>
      </c>
      <c r="C103" s="7" t="s">
        <v>224</v>
      </c>
      <c r="D103" s="14">
        <v>7459</v>
      </c>
      <c r="E103" s="7" t="s">
        <v>76</v>
      </c>
      <c r="F103" s="7" t="s">
        <v>169</v>
      </c>
      <c r="G103" s="8"/>
      <c r="H103" s="7"/>
      <c r="I103" s="7" t="s">
        <v>220</v>
      </c>
      <c r="J103" s="7" t="s">
        <v>222</v>
      </c>
      <c r="K103" s="9">
        <f>118739.77+12073.54</f>
        <v>130813.31</v>
      </c>
      <c r="L103" s="9">
        <f t="shared" si="26"/>
        <v>172949.7174067334</v>
      </c>
      <c r="M103" s="9">
        <f t="shared" si="27"/>
        <v>1902.4468914740676</v>
      </c>
      <c r="N103" s="9"/>
      <c r="O103" s="9"/>
      <c r="P103" s="9"/>
      <c r="Q103" s="10"/>
      <c r="R103" s="10"/>
      <c r="S103" s="10"/>
      <c r="T103" s="10"/>
      <c r="U103" s="10"/>
      <c r="V103" s="9"/>
      <c r="W103" s="9"/>
      <c r="AC103" s="2">
        <f t="shared" si="28"/>
        <v>1902.4468914740676</v>
      </c>
      <c r="AE103" s="2">
        <v>256391</v>
      </c>
      <c r="AF103" s="2">
        <f t="shared" si="29"/>
        <v>256.391</v>
      </c>
      <c r="AG103" s="2">
        <f t="shared" si="30"/>
        <v>388.0991658607098</v>
      </c>
      <c r="AH103" s="2">
        <f t="shared" si="19"/>
        <v>150.245126</v>
      </c>
      <c r="AI103" s="2">
        <f t="shared" si="31"/>
        <v>538.3442918607097</v>
      </c>
    </row>
    <row r="104" spans="1:35" ht="12.75">
      <c r="A104" s="8">
        <v>4527</v>
      </c>
      <c r="B104" s="7" t="s">
        <v>5</v>
      </c>
      <c r="C104" s="7" t="s">
        <v>224</v>
      </c>
      <c r="D104" s="14">
        <v>14968</v>
      </c>
      <c r="E104" s="7" t="s">
        <v>54</v>
      </c>
      <c r="F104" s="7" t="s">
        <v>150</v>
      </c>
      <c r="G104" s="8">
        <v>3660</v>
      </c>
      <c r="H104" s="7" t="s">
        <v>0</v>
      </c>
      <c r="I104" s="7" t="s">
        <v>218</v>
      </c>
      <c r="J104" s="7" t="s">
        <v>222</v>
      </c>
      <c r="K104" s="9">
        <v>19847</v>
      </c>
      <c r="L104" s="9">
        <f t="shared" si="26"/>
        <v>26239.937215650592</v>
      </c>
      <c r="M104" s="9">
        <f t="shared" si="27"/>
        <v>288.6393093721565</v>
      </c>
      <c r="N104" s="10">
        <v>3807</v>
      </c>
      <c r="O104" s="9">
        <f>2906/2198*N104</f>
        <v>5033.276615104641</v>
      </c>
      <c r="P104" s="9">
        <f>0.278*O104</f>
        <v>1399.2508989990902</v>
      </c>
      <c r="Q104" s="10"/>
      <c r="R104" s="10"/>
      <c r="S104" s="10"/>
      <c r="T104" s="10"/>
      <c r="U104" s="10"/>
      <c r="V104" s="9"/>
      <c r="W104" s="9"/>
      <c r="AC104" s="2">
        <f t="shared" si="28"/>
        <v>1687.8902083712467</v>
      </c>
      <c r="AE104" s="2">
        <v>419080</v>
      </c>
      <c r="AF104" s="2">
        <f t="shared" si="29"/>
        <v>419.08</v>
      </c>
      <c r="AG104" s="2">
        <f>0.204*M104+0.1*P104</f>
        <v>198.80750901182893</v>
      </c>
      <c r="AH104" s="2">
        <f t="shared" si="19"/>
        <v>245.58087999999998</v>
      </c>
      <c r="AI104" s="2">
        <f t="shared" si="31"/>
        <v>444.3883890118289</v>
      </c>
    </row>
    <row r="105" spans="1:35" ht="12.75">
      <c r="A105" s="8">
        <v>9978</v>
      </c>
      <c r="B105" s="7" t="s">
        <v>5</v>
      </c>
      <c r="C105" s="7" t="s">
        <v>224</v>
      </c>
      <c r="D105" s="14">
        <v>9680</v>
      </c>
      <c r="E105" s="7" t="s">
        <v>103</v>
      </c>
      <c r="F105" s="7" t="s">
        <v>195</v>
      </c>
      <c r="G105" s="8"/>
      <c r="H105" s="7"/>
      <c r="I105" s="7" t="s">
        <v>218</v>
      </c>
      <c r="J105" s="7" t="s">
        <v>222</v>
      </c>
      <c r="K105" s="9"/>
      <c r="L105" s="9"/>
      <c r="M105" s="9"/>
      <c r="N105" s="10">
        <v>2076</v>
      </c>
      <c r="O105" s="9">
        <f>2906/2198*N105</f>
        <v>2744.70245677889</v>
      </c>
      <c r="P105" s="9">
        <f>0.278*O105</f>
        <v>763.0272829845314</v>
      </c>
      <c r="Q105" s="10"/>
      <c r="R105" s="10"/>
      <c r="S105" s="10"/>
      <c r="T105" s="10"/>
      <c r="U105" s="10"/>
      <c r="V105" s="9"/>
      <c r="W105" s="9"/>
      <c r="AC105" s="2">
        <f t="shared" si="28"/>
        <v>763.0272829845314</v>
      </c>
      <c r="AE105" s="2">
        <v>159686</v>
      </c>
      <c r="AF105" s="2">
        <f t="shared" si="29"/>
        <v>159.686</v>
      </c>
      <c r="AG105" s="2">
        <f>0.1*P105</f>
        <v>76.30272829845315</v>
      </c>
      <c r="AH105" s="2">
        <f t="shared" si="19"/>
        <v>93.575996</v>
      </c>
      <c r="AI105" s="2">
        <f t="shared" si="31"/>
        <v>169.87872429845316</v>
      </c>
    </row>
    <row r="106" spans="1:35" ht="12.75">
      <c r="A106" s="8">
        <v>6262</v>
      </c>
      <c r="B106" s="7" t="s">
        <v>5</v>
      </c>
      <c r="C106" s="7" t="s">
        <v>224</v>
      </c>
      <c r="D106" s="14">
        <v>13696</v>
      </c>
      <c r="E106" s="7" t="s">
        <v>74</v>
      </c>
      <c r="F106" s="7" t="s">
        <v>167</v>
      </c>
      <c r="G106" s="8">
        <v>3660</v>
      </c>
      <c r="H106" s="7" t="s">
        <v>0</v>
      </c>
      <c r="I106" s="7" t="s">
        <v>218</v>
      </c>
      <c r="J106" s="7" t="s">
        <v>222</v>
      </c>
      <c r="K106" s="9">
        <v>3296</v>
      </c>
      <c r="L106" s="9">
        <f>2906/2198*K106</f>
        <v>4357.677888989991</v>
      </c>
      <c r="M106" s="9">
        <f>11*L106/1000</f>
        <v>47.9344567788899</v>
      </c>
      <c r="N106" s="10">
        <v>3357</v>
      </c>
      <c r="O106" s="9">
        <f>2906/2198*N106</f>
        <v>4438.326660600545</v>
      </c>
      <c r="P106" s="9">
        <f>0.278*O106</f>
        <v>1233.8548116469517</v>
      </c>
      <c r="Q106" s="10"/>
      <c r="R106" s="10"/>
      <c r="S106" s="10"/>
      <c r="T106" s="10"/>
      <c r="U106" s="10"/>
      <c r="V106" s="9"/>
      <c r="W106" s="9"/>
      <c r="AC106" s="2">
        <f t="shared" si="28"/>
        <v>1281.7892684258416</v>
      </c>
      <c r="AE106" s="2">
        <v>283866</v>
      </c>
      <c r="AF106" s="2">
        <f t="shared" si="29"/>
        <v>283.866</v>
      </c>
      <c r="AG106" s="2">
        <f>0.204*M106+0.1*P106</f>
        <v>133.16411034758872</v>
      </c>
      <c r="AH106" s="2">
        <f t="shared" si="19"/>
        <v>166.345476</v>
      </c>
      <c r="AI106" s="2">
        <f t="shared" si="31"/>
        <v>299.5095863475887</v>
      </c>
    </row>
    <row r="107" spans="1:35" ht="12.75">
      <c r="A107" s="8">
        <v>12010</v>
      </c>
      <c r="B107" s="7" t="s">
        <v>5</v>
      </c>
      <c r="C107" s="7" t="s">
        <v>224</v>
      </c>
      <c r="D107" s="14">
        <v>9942</v>
      </c>
      <c r="E107" s="7" t="s">
        <v>98</v>
      </c>
      <c r="F107" s="7" t="s">
        <v>190</v>
      </c>
      <c r="G107" s="8"/>
      <c r="H107" s="7"/>
      <c r="I107" s="7" t="s">
        <v>218</v>
      </c>
      <c r="J107" s="7" t="s">
        <v>222</v>
      </c>
      <c r="K107" s="9"/>
      <c r="L107" s="9"/>
      <c r="M107" s="9"/>
      <c r="N107" s="10">
        <v>5379</v>
      </c>
      <c r="O107" s="9">
        <f>2906/2198*N107</f>
        <v>7111.635122838944</v>
      </c>
      <c r="P107" s="9">
        <f>0.278*O107*0.7182</f>
        <v>1419.9062239719744</v>
      </c>
      <c r="Q107" s="10"/>
      <c r="R107" s="10"/>
      <c r="S107" s="10"/>
      <c r="T107" s="10"/>
      <c r="U107" s="10"/>
      <c r="V107" s="9"/>
      <c r="W107" s="9"/>
      <c r="AC107" s="2">
        <f t="shared" si="28"/>
        <v>1419.9062239719744</v>
      </c>
      <c r="AE107" s="2">
        <v>271919</v>
      </c>
      <c r="AF107" s="2">
        <f t="shared" si="29"/>
        <v>271.919</v>
      </c>
      <c r="AG107" s="2">
        <f>0.1*P107</f>
        <v>141.99062239719746</v>
      </c>
      <c r="AH107" s="2">
        <f t="shared" si="19"/>
        <v>159.34453399999998</v>
      </c>
      <c r="AI107" s="2">
        <f t="shared" si="31"/>
        <v>301.33515639719747</v>
      </c>
    </row>
    <row r="108" spans="1:35" ht="12.75">
      <c r="A108" s="8">
        <v>10031</v>
      </c>
      <c r="B108" s="7" t="s">
        <v>5</v>
      </c>
      <c r="C108" s="7" t="s">
        <v>224</v>
      </c>
      <c r="D108" s="14">
        <f>2233-234</f>
        <v>1999</v>
      </c>
      <c r="E108" s="7" t="s">
        <v>61</v>
      </c>
      <c r="F108" s="7" t="s">
        <v>157</v>
      </c>
      <c r="G108" s="8"/>
      <c r="H108" s="7"/>
      <c r="I108" s="7" t="s">
        <v>221</v>
      </c>
      <c r="J108" s="7" t="s">
        <v>229</v>
      </c>
      <c r="K108" s="9"/>
      <c r="L108" s="9"/>
      <c r="M108" s="9"/>
      <c r="N108" s="9"/>
      <c r="O108" s="9"/>
      <c r="P108" s="9"/>
      <c r="Q108" s="10"/>
      <c r="R108" s="10"/>
      <c r="S108" s="10"/>
      <c r="T108" s="10"/>
      <c r="U108" s="10"/>
      <c r="V108" s="9"/>
      <c r="W108" s="9"/>
      <c r="X108">
        <v>29969</v>
      </c>
      <c r="Y108" s="2">
        <f>2906/2198*X108</f>
        <v>39622.34485896269</v>
      </c>
      <c r="Z108" s="2">
        <f>10/1000*Y108</f>
        <v>396.22344858962697</v>
      </c>
      <c r="AA108" s="2"/>
      <c r="AB108" s="2"/>
      <c r="AC108" s="2">
        <f t="shared" si="28"/>
        <v>396.22344858962697</v>
      </c>
      <c r="AE108" s="2">
        <v>36051</v>
      </c>
      <c r="AF108" s="2">
        <f t="shared" si="29"/>
        <v>36.051</v>
      </c>
      <c r="AG108" s="2">
        <f>0.266*Z108</f>
        <v>105.39543732484078</v>
      </c>
      <c r="AH108" s="2">
        <f t="shared" si="19"/>
        <v>21.125886</v>
      </c>
      <c r="AI108" s="2">
        <f t="shared" si="31"/>
        <v>126.52132332484078</v>
      </c>
    </row>
    <row r="109" spans="1:35" ht="12.75">
      <c r="A109" s="8">
        <v>10031</v>
      </c>
      <c r="B109" s="7" t="s">
        <v>6</v>
      </c>
      <c r="C109" s="7" t="s">
        <v>224</v>
      </c>
      <c r="D109" s="14">
        <v>0</v>
      </c>
      <c r="E109" s="7" t="s">
        <v>62</v>
      </c>
      <c r="F109" s="7" t="s">
        <v>158</v>
      </c>
      <c r="G109" s="8"/>
      <c r="H109" s="7"/>
      <c r="I109" s="10" t="s">
        <v>221</v>
      </c>
      <c r="J109" s="7" t="s">
        <v>229</v>
      </c>
      <c r="K109" s="9"/>
      <c r="L109" s="9"/>
      <c r="M109" s="9"/>
      <c r="N109" s="9"/>
      <c r="O109" s="9"/>
      <c r="P109" s="9"/>
      <c r="Q109" s="10"/>
      <c r="R109" s="10"/>
      <c r="S109" s="10"/>
      <c r="T109" s="10"/>
      <c r="U109" s="10"/>
      <c r="V109" s="9"/>
      <c r="W109" s="9"/>
      <c r="X109">
        <v>2069</v>
      </c>
      <c r="Y109" s="2">
        <f>2906/2198*X109</f>
        <v>2735.447679708826</v>
      </c>
      <c r="Z109" s="2">
        <f>10/1000*Y109</f>
        <v>27.35447679708826</v>
      </c>
      <c r="AA109" s="2"/>
      <c r="AB109" s="2"/>
      <c r="AC109" s="2">
        <f t="shared" si="28"/>
        <v>27.35447679708826</v>
      </c>
      <c r="AE109" s="2">
        <v>918</v>
      </c>
      <c r="AF109" s="2">
        <f t="shared" si="29"/>
        <v>0.918</v>
      </c>
      <c r="AG109" s="2">
        <f>0.266*Z109</f>
        <v>7.276290828025478</v>
      </c>
      <c r="AH109" s="2">
        <f t="shared" si="19"/>
        <v>0.537948</v>
      </c>
      <c r="AI109" s="2">
        <f t="shared" si="31"/>
        <v>7.814238828025478</v>
      </c>
    </row>
    <row r="110" spans="1:35" ht="12.75">
      <c r="A110" s="8">
        <v>8058</v>
      </c>
      <c r="B110" s="7" t="s">
        <v>5</v>
      </c>
      <c r="C110" s="7" t="s">
        <v>224</v>
      </c>
      <c r="D110" s="14">
        <v>3413</v>
      </c>
      <c r="E110" s="7" t="s">
        <v>94</v>
      </c>
      <c r="F110" s="7" t="s">
        <v>186</v>
      </c>
      <c r="G110" s="8">
        <v>3660</v>
      </c>
      <c r="H110" s="7" t="s">
        <v>0</v>
      </c>
      <c r="I110" s="7" t="s">
        <v>217</v>
      </c>
      <c r="J110" s="7" t="s">
        <v>222</v>
      </c>
      <c r="K110" s="9"/>
      <c r="L110" s="9"/>
      <c r="M110" s="9"/>
      <c r="N110" s="9"/>
      <c r="O110" s="9"/>
      <c r="P110" s="9"/>
      <c r="Q110" s="10">
        <v>1374</v>
      </c>
      <c r="R110" s="9">
        <f>2198/2330*Q110</f>
        <v>1296.1596566523606</v>
      </c>
      <c r="S110" s="9">
        <f>2906/2198*R110</f>
        <v>1713.6669527896995</v>
      </c>
      <c r="T110" s="9">
        <f>0.278*S110</f>
        <v>476.3994128755365</v>
      </c>
      <c r="U110" s="10"/>
      <c r="V110" s="9"/>
      <c r="W110" s="9"/>
      <c r="AC110" s="2">
        <f t="shared" si="28"/>
        <v>476.3994128755365</v>
      </c>
      <c r="AE110" s="2">
        <v>133456</v>
      </c>
      <c r="AF110" s="2">
        <f t="shared" si="29"/>
        <v>133.456</v>
      </c>
      <c r="AG110" s="2">
        <f>0.126*T110</f>
        <v>60.0263260223176</v>
      </c>
      <c r="AH110" s="2">
        <f t="shared" si="19"/>
        <v>78.205216</v>
      </c>
      <c r="AI110" s="2">
        <f t="shared" si="31"/>
        <v>138.2315420223176</v>
      </c>
    </row>
    <row r="111" spans="1:35" ht="12.75">
      <c r="A111" s="8">
        <v>620</v>
      </c>
      <c r="B111" s="7" t="s">
        <v>5</v>
      </c>
      <c r="C111" s="7" t="s">
        <v>224</v>
      </c>
      <c r="D111" s="14">
        <v>12483</v>
      </c>
      <c r="E111" s="7" t="s">
        <v>28</v>
      </c>
      <c r="F111" s="7" t="s">
        <v>129</v>
      </c>
      <c r="G111" s="8">
        <v>2765</v>
      </c>
      <c r="H111" s="7" t="s">
        <v>212</v>
      </c>
      <c r="I111" s="7" t="s">
        <v>212</v>
      </c>
      <c r="J111" s="7" t="s">
        <v>222</v>
      </c>
      <c r="K111" s="9"/>
      <c r="L111" s="9"/>
      <c r="M111" s="9"/>
      <c r="N111" s="9"/>
      <c r="O111" s="9"/>
      <c r="P111" s="9"/>
      <c r="Q111" s="10"/>
      <c r="R111" s="10"/>
      <c r="S111" s="10"/>
      <c r="T111" s="10"/>
      <c r="U111" s="10">
        <v>1557.3</v>
      </c>
      <c r="V111" s="9">
        <f>2198/2330*U111</f>
        <v>1469.075278969957</v>
      </c>
      <c r="W111" s="9">
        <f>2906/2198*V111</f>
        <v>1942.2806008583689</v>
      </c>
      <c r="AC111" s="2">
        <f t="shared" si="28"/>
        <v>1942.2806008583689</v>
      </c>
      <c r="AE111" s="2">
        <v>376826</v>
      </c>
      <c r="AF111" s="2">
        <f t="shared" si="29"/>
        <v>376.826</v>
      </c>
      <c r="AG111" s="2">
        <f>0.126*W111</f>
        <v>244.72735570815448</v>
      </c>
      <c r="AH111" s="2">
        <f t="shared" si="19"/>
        <v>220.820036</v>
      </c>
      <c r="AI111" s="2">
        <f t="shared" si="31"/>
        <v>465.54739170815446</v>
      </c>
    </row>
    <row r="112" spans="1:35" ht="12.75">
      <c r="A112" s="8">
        <v>2580</v>
      </c>
      <c r="B112" s="7" t="s">
        <v>5</v>
      </c>
      <c r="C112" s="7" t="s">
        <v>224</v>
      </c>
      <c r="D112" s="14">
        <v>10007</v>
      </c>
      <c r="E112" s="7" t="s">
        <v>22</v>
      </c>
      <c r="F112" s="7" t="s">
        <v>122</v>
      </c>
      <c r="G112" s="8">
        <v>2765</v>
      </c>
      <c r="H112" s="7" t="s">
        <v>212</v>
      </c>
      <c r="I112" s="7" t="s">
        <v>212</v>
      </c>
      <c r="J112" s="7" t="s">
        <v>222</v>
      </c>
      <c r="K112" s="9"/>
      <c r="L112" s="9"/>
      <c r="M112" s="9"/>
      <c r="N112" s="9"/>
      <c r="O112" s="9"/>
      <c r="P112" s="9"/>
      <c r="Q112" s="10"/>
      <c r="R112" s="10"/>
      <c r="S112" s="10"/>
      <c r="T112" s="10"/>
      <c r="U112" s="10">
        <v>622.91</v>
      </c>
      <c r="V112" s="9">
        <f>2198/2330*U112</f>
        <v>587.620678111588</v>
      </c>
      <c r="W112" s="9">
        <f>2906/2198*V112</f>
        <v>776.8997682403433</v>
      </c>
      <c r="AC112" s="2">
        <f t="shared" si="28"/>
        <v>776.8997682403433</v>
      </c>
      <c r="AE112" s="2">
        <v>204355</v>
      </c>
      <c r="AF112" s="2">
        <f t="shared" si="29"/>
        <v>204.35500000000002</v>
      </c>
      <c r="AG112" s="2">
        <f>0.126*W112</f>
        <v>97.88937079828325</v>
      </c>
      <c r="AH112" s="2">
        <f t="shared" si="19"/>
        <v>119.75203</v>
      </c>
      <c r="AI112" s="2">
        <f t="shared" si="31"/>
        <v>217.64140079828326</v>
      </c>
    </row>
    <row r="113" spans="1:35" s="27" customFormat="1" ht="12.75">
      <c r="A113" s="23"/>
      <c r="B113" s="21"/>
      <c r="C113" s="21" t="s">
        <v>224</v>
      </c>
      <c r="D113" s="24">
        <f>SUM(D98:D112)</f>
        <v>113467</v>
      </c>
      <c r="E113" s="21"/>
      <c r="F113" s="21"/>
      <c r="G113" s="23"/>
      <c r="H113" s="21"/>
      <c r="I113" s="21"/>
      <c r="J113" s="21"/>
      <c r="K113" s="25"/>
      <c r="L113" s="25"/>
      <c r="M113" s="25"/>
      <c r="N113" s="25"/>
      <c r="O113" s="25"/>
      <c r="P113" s="25"/>
      <c r="Q113" s="26"/>
      <c r="R113" s="26"/>
      <c r="S113" s="26"/>
      <c r="T113" s="26"/>
      <c r="U113" s="26"/>
      <c r="V113" s="25"/>
      <c r="W113" s="25"/>
      <c r="AC113" s="19">
        <f>SUM(AC98:AC112)</f>
        <v>14770.776246628662</v>
      </c>
      <c r="AE113" s="19">
        <f>SUM(AE98:AE112)</f>
        <v>3030872</v>
      </c>
      <c r="AF113" s="19">
        <f>SUM(AF98:AF112)</f>
        <v>3030.872</v>
      </c>
      <c r="AG113" s="19">
        <f>SUM(AG98:AG112)</f>
        <v>2289.3768840615667</v>
      </c>
      <c r="AH113" s="19">
        <f>SUM(AH98:AH112)</f>
        <v>1776.0909920000004</v>
      </c>
      <c r="AI113" s="19">
        <f t="shared" si="31"/>
        <v>4065.467876061567</v>
      </c>
    </row>
    <row r="114" spans="1:35" s="27" customFormat="1" ht="12.75">
      <c r="A114" s="23"/>
      <c r="B114" s="21"/>
      <c r="C114" s="21"/>
      <c r="D114" s="24"/>
      <c r="E114" s="21"/>
      <c r="F114" s="21"/>
      <c r="G114" s="23"/>
      <c r="H114" s="21"/>
      <c r="I114" s="21"/>
      <c r="J114" s="21"/>
      <c r="K114" s="25"/>
      <c r="L114" s="25"/>
      <c r="M114" s="25"/>
      <c r="N114" s="25"/>
      <c r="O114" s="25"/>
      <c r="P114" s="25"/>
      <c r="Q114" s="26"/>
      <c r="R114" s="26"/>
      <c r="S114" s="26"/>
      <c r="T114" s="26"/>
      <c r="U114" s="26"/>
      <c r="V114" s="25"/>
      <c r="W114" s="25"/>
      <c r="AC114" s="19"/>
      <c r="AE114" s="19"/>
      <c r="AF114" s="19"/>
      <c r="AG114" s="19"/>
      <c r="AH114" s="19"/>
      <c r="AI114" s="19"/>
    </row>
    <row r="115" spans="1:35" ht="12.75">
      <c r="A115" s="8">
        <v>12084</v>
      </c>
      <c r="B115" s="7" t="s">
        <v>6</v>
      </c>
      <c r="C115" s="7" t="s">
        <v>227</v>
      </c>
      <c r="D115" s="14">
        <v>1527</v>
      </c>
      <c r="E115" s="7" t="s">
        <v>109</v>
      </c>
      <c r="F115" s="7" t="s">
        <v>201</v>
      </c>
      <c r="G115" s="8"/>
      <c r="H115" s="7"/>
      <c r="I115" s="7" t="s">
        <v>233</v>
      </c>
      <c r="J115" s="7" t="s">
        <v>232</v>
      </c>
      <c r="K115" s="9"/>
      <c r="L115" s="9"/>
      <c r="M115" s="9"/>
      <c r="N115" s="9"/>
      <c r="O115" s="9"/>
      <c r="P115" s="9"/>
      <c r="Q115" s="10"/>
      <c r="R115" s="10"/>
      <c r="S115" s="10"/>
      <c r="T115" s="10"/>
      <c r="U115" s="10"/>
      <c r="V115" s="9"/>
      <c r="W115" s="9"/>
      <c r="AA115" s="2"/>
      <c r="AB115" s="2"/>
      <c r="AC115" s="2">
        <f aca="true" t="shared" si="32" ref="AC115:AC122">M115+P115+T115+W115+Z115+AB115</f>
        <v>0</v>
      </c>
      <c r="AE115" s="2">
        <v>222411</v>
      </c>
      <c r="AF115" s="2">
        <f>222411/1000</f>
        <v>222.411</v>
      </c>
      <c r="AG115" s="2">
        <f>0.586*AB115</f>
        <v>0</v>
      </c>
      <c r="AH115" s="2">
        <f t="shared" si="19"/>
        <v>130.332846</v>
      </c>
      <c r="AI115" s="2">
        <f aca="true" t="shared" si="33" ref="AI115:AI123">AG115+AH115</f>
        <v>130.332846</v>
      </c>
    </row>
    <row r="116" spans="1:35" ht="12.75">
      <c r="A116" s="8">
        <v>8420</v>
      </c>
      <c r="B116" s="7" t="s">
        <v>18</v>
      </c>
      <c r="C116" s="7" t="s">
        <v>227</v>
      </c>
      <c r="D116" s="14">
        <v>1308</v>
      </c>
      <c r="E116" s="7" t="s">
        <v>80</v>
      </c>
      <c r="F116" s="7" t="s">
        <v>173</v>
      </c>
      <c r="G116" s="8">
        <v>3660</v>
      </c>
      <c r="H116" s="7" t="s">
        <v>0</v>
      </c>
      <c r="I116" s="7" t="s">
        <v>220</v>
      </c>
      <c r="J116" s="7" t="s">
        <v>222</v>
      </c>
      <c r="K116" s="9">
        <v>9347.32</v>
      </c>
      <c r="L116" s="9">
        <f>2906/2198*K116</f>
        <v>12358.194686078252</v>
      </c>
      <c r="M116" s="9">
        <f>11*L116/1000</f>
        <v>135.9401415468608</v>
      </c>
      <c r="N116" s="9"/>
      <c r="O116" s="9"/>
      <c r="P116" s="9"/>
      <c r="Q116" s="10"/>
      <c r="R116" s="10"/>
      <c r="S116" s="10"/>
      <c r="T116" s="10"/>
      <c r="U116" s="10"/>
      <c r="V116" s="9"/>
      <c r="W116" s="9"/>
      <c r="AC116" s="2">
        <f t="shared" si="32"/>
        <v>135.9401415468608</v>
      </c>
      <c r="AE116" s="2">
        <f>14895+8150</f>
        <v>23045</v>
      </c>
      <c r="AF116" s="2">
        <f>0.001*AE116</f>
        <v>23.045</v>
      </c>
      <c r="AG116" s="2">
        <f>0.204*M116</f>
        <v>27.731788875559598</v>
      </c>
      <c r="AH116" s="2">
        <f t="shared" si="19"/>
        <v>13.50437</v>
      </c>
      <c r="AI116" s="2">
        <f t="shared" si="33"/>
        <v>41.236158875559596</v>
      </c>
    </row>
    <row r="117" spans="1:35" ht="12.75">
      <c r="A117" s="8">
        <v>10917</v>
      </c>
      <c r="B117" s="7" t="s">
        <v>6</v>
      </c>
      <c r="C117" s="7" t="s">
        <v>227</v>
      </c>
      <c r="D117" s="14">
        <v>543</v>
      </c>
      <c r="E117" s="7" t="s">
        <v>24</v>
      </c>
      <c r="F117" s="7" t="s">
        <v>125</v>
      </c>
      <c r="G117" s="8"/>
      <c r="H117" s="7" t="s">
        <v>1</v>
      </c>
      <c r="I117" s="7" t="s">
        <v>220</v>
      </c>
      <c r="J117" s="7" t="s">
        <v>222</v>
      </c>
      <c r="K117" s="9">
        <v>5229</v>
      </c>
      <c r="L117" s="9">
        <f>2906/2198*K117</f>
        <v>6913.3184713375795</v>
      </c>
      <c r="M117" s="9">
        <f>11*L117/1000</f>
        <v>76.04650318471337</v>
      </c>
      <c r="N117" s="9"/>
      <c r="O117" s="9"/>
      <c r="P117" s="9"/>
      <c r="Q117" s="10"/>
      <c r="R117" s="10"/>
      <c r="S117" s="10"/>
      <c r="T117" s="10"/>
      <c r="U117" s="10"/>
      <c r="V117" s="9"/>
      <c r="W117" s="9"/>
      <c r="AC117" s="2">
        <f t="shared" si="32"/>
        <v>76.04650318471337</v>
      </c>
      <c r="AE117" s="2">
        <v>8717</v>
      </c>
      <c r="AF117" s="2">
        <f aca="true" t="shared" si="34" ref="AF117:AF122">0.001*AE117</f>
        <v>8.717</v>
      </c>
      <c r="AG117" s="2">
        <f>0.204*M117</f>
        <v>15.513486649681527</v>
      </c>
      <c r="AH117" s="2">
        <f t="shared" si="19"/>
        <v>5.108162</v>
      </c>
      <c r="AI117" s="2">
        <f t="shared" si="33"/>
        <v>20.621648649681525</v>
      </c>
    </row>
    <row r="118" spans="1:35" ht="12.75">
      <c r="A118" s="8" t="s">
        <v>281</v>
      </c>
      <c r="B118" s="7" t="s">
        <v>6</v>
      </c>
      <c r="C118" s="7" t="s">
        <v>227</v>
      </c>
      <c r="D118" s="14">
        <v>683</v>
      </c>
      <c r="E118" s="7" t="s">
        <v>239</v>
      </c>
      <c r="F118" s="7" t="s">
        <v>240</v>
      </c>
      <c r="G118" s="13">
        <v>3650</v>
      </c>
      <c r="H118" s="7" t="s">
        <v>1</v>
      </c>
      <c r="I118" s="7" t="s">
        <v>220</v>
      </c>
      <c r="J118" s="7" t="s">
        <v>222</v>
      </c>
      <c r="K118" s="9">
        <v>5249</v>
      </c>
      <c r="L118" s="9">
        <f>2906/2198*K118</f>
        <v>6939.760691537761</v>
      </c>
      <c r="M118" s="9">
        <f>11*L118/1000</f>
        <v>76.33736760691538</v>
      </c>
      <c r="N118" s="9"/>
      <c r="O118" s="9"/>
      <c r="P118" s="9"/>
      <c r="Q118" s="10"/>
      <c r="R118" s="10"/>
      <c r="S118" s="10"/>
      <c r="T118" s="10"/>
      <c r="U118" s="10"/>
      <c r="V118" s="9"/>
      <c r="W118" s="9"/>
      <c r="AC118" s="2">
        <f t="shared" si="32"/>
        <v>76.33736760691538</v>
      </c>
      <c r="AE118" s="2">
        <v>890226</v>
      </c>
      <c r="AF118" s="2">
        <f t="shared" si="34"/>
        <v>890.226</v>
      </c>
      <c r="AG118" s="2">
        <f>0.204*M118</f>
        <v>15.572822991810737</v>
      </c>
      <c r="AH118" s="2">
        <f t="shared" si="19"/>
        <v>521.672436</v>
      </c>
      <c r="AI118" s="2">
        <f t="shared" si="33"/>
        <v>537.2452589918107</v>
      </c>
    </row>
    <row r="119" spans="1:35" ht="12.75">
      <c r="A119" s="8">
        <v>3050</v>
      </c>
      <c r="B119" s="7" t="s">
        <v>215</v>
      </c>
      <c r="C119" s="7" t="s">
        <v>227</v>
      </c>
      <c r="D119" s="14">
        <v>2671</v>
      </c>
      <c r="E119" s="10" t="s">
        <v>216</v>
      </c>
      <c r="F119" s="10" t="s">
        <v>216</v>
      </c>
      <c r="G119" s="11">
        <v>2765</v>
      </c>
      <c r="H119" s="7" t="s">
        <v>212</v>
      </c>
      <c r="I119" s="7" t="s">
        <v>212</v>
      </c>
      <c r="J119" s="10" t="s">
        <v>222</v>
      </c>
      <c r="K119" s="9"/>
      <c r="L119" s="9"/>
      <c r="M119" s="9"/>
      <c r="N119" s="9"/>
      <c r="O119" s="9"/>
      <c r="P119" s="9"/>
      <c r="Q119" s="10"/>
      <c r="R119" s="10"/>
      <c r="S119" s="10"/>
      <c r="T119" s="10"/>
      <c r="U119" s="10">
        <v>151.29</v>
      </c>
      <c r="V119" s="9">
        <f>2198/2330*U119</f>
        <v>142.7190643776824</v>
      </c>
      <c r="W119" s="9">
        <f>2906/2198*V119</f>
        <v>188.6904463519313</v>
      </c>
      <c r="AC119" s="2">
        <f t="shared" si="32"/>
        <v>188.6904463519313</v>
      </c>
      <c r="AE119" s="2">
        <v>28727</v>
      </c>
      <c r="AF119" s="2">
        <f t="shared" si="34"/>
        <v>28.727</v>
      </c>
      <c r="AG119" s="2">
        <f>0.126*W119</f>
        <v>23.774996240343345</v>
      </c>
      <c r="AH119" s="2">
        <f t="shared" si="19"/>
        <v>16.834022</v>
      </c>
      <c r="AI119" s="2">
        <f t="shared" si="33"/>
        <v>40.609018240343346</v>
      </c>
    </row>
    <row r="120" spans="1:35" ht="12.75">
      <c r="A120" s="8"/>
      <c r="B120" s="7"/>
      <c r="C120" s="7" t="s">
        <v>227</v>
      </c>
      <c r="D120" s="16"/>
      <c r="E120" s="7" t="s">
        <v>109</v>
      </c>
      <c r="F120" s="7" t="s">
        <v>248</v>
      </c>
      <c r="G120" s="8"/>
      <c r="H120" s="7"/>
      <c r="I120" s="7"/>
      <c r="J120" s="7"/>
      <c r="K120" s="9"/>
      <c r="L120" s="9"/>
      <c r="M120" s="9"/>
      <c r="N120" s="9"/>
      <c r="O120" s="9"/>
      <c r="P120" s="9"/>
      <c r="Q120" s="10"/>
      <c r="R120" s="10"/>
      <c r="S120" s="10"/>
      <c r="T120" s="10"/>
      <c r="U120" s="10"/>
      <c r="V120" s="9"/>
      <c r="W120" s="9"/>
      <c r="AC120" s="2">
        <f t="shared" si="32"/>
        <v>0</v>
      </c>
      <c r="AE120" s="2">
        <v>110104</v>
      </c>
      <c r="AF120" s="2">
        <f t="shared" si="34"/>
        <v>110.104</v>
      </c>
      <c r="AG120" s="2"/>
      <c r="AH120" s="2">
        <f t="shared" si="19"/>
        <v>64.520944</v>
      </c>
      <c r="AI120" s="2">
        <f t="shared" si="33"/>
        <v>64.520944</v>
      </c>
    </row>
    <row r="121" spans="1:35" ht="12.75">
      <c r="A121" s="13">
        <v>13500</v>
      </c>
      <c r="B121" s="7" t="s">
        <v>6</v>
      </c>
      <c r="C121" s="7" t="s">
        <v>227</v>
      </c>
      <c r="D121" s="14">
        <v>77</v>
      </c>
      <c r="E121" s="7" t="s">
        <v>55</v>
      </c>
      <c r="F121" s="7" t="s">
        <v>151</v>
      </c>
      <c r="G121" s="8">
        <v>3650</v>
      </c>
      <c r="H121" s="7" t="s">
        <v>1</v>
      </c>
      <c r="I121" s="10"/>
      <c r="J121" s="10"/>
      <c r="K121" s="9"/>
      <c r="L121" s="9"/>
      <c r="M121" s="9"/>
      <c r="N121" s="9"/>
      <c r="O121" s="9"/>
      <c r="P121" s="9"/>
      <c r="Q121" s="10"/>
      <c r="R121" s="10"/>
      <c r="S121" s="10"/>
      <c r="T121" s="10"/>
      <c r="U121" s="10"/>
      <c r="V121" s="9"/>
      <c r="W121" s="9"/>
      <c r="AC121" s="2">
        <f t="shared" si="32"/>
        <v>0</v>
      </c>
      <c r="AE121" s="2">
        <v>15174</v>
      </c>
      <c r="AF121" s="2">
        <f t="shared" si="34"/>
        <v>15.174</v>
      </c>
      <c r="AG121" s="2"/>
      <c r="AH121" s="2">
        <f t="shared" si="19"/>
        <v>8.891964</v>
      </c>
      <c r="AI121" s="2">
        <f t="shared" si="33"/>
        <v>8.891964</v>
      </c>
    </row>
    <row r="122" spans="1:35" ht="12.75">
      <c r="A122" s="8"/>
      <c r="B122" s="7"/>
      <c r="C122" s="7" t="s">
        <v>227</v>
      </c>
      <c r="D122" s="16"/>
      <c r="E122" s="7" t="s">
        <v>249</v>
      </c>
      <c r="F122" s="7" t="s">
        <v>250</v>
      </c>
      <c r="G122" s="8"/>
      <c r="H122" s="7"/>
      <c r="I122" s="7"/>
      <c r="J122" s="7"/>
      <c r="K122" s="9"/>
      <c r="L122" s="9"/>
      <c r="M122" s="9"/>
      <c r="N122" s="9"/>
      <c r="O122" s="9"/>
      <c r="P122" s="9"/>
      <c r="Q122" s="10"/>
      <c r="R122" s="10"/>
      <c r="S122" s="10"/>
      <c r="T122" s="10"/>
      <c r="U122" s="10"/>
      <c r="V122" s="9"/>
      <c r="W122" s="9"/>
      <c r="AC122" s="2">
        <f t="shared" si="32"/>
        <v>0</v>
      </c>
      <c r="AE122" s="2">
        <v>168198</v>
      </c>
      <c r="AF122" s="2">
        <f t="shared" si="34"/>
        <v>168.198</v>
      </c>
      <c r="AG122" s="2"/>
      <c r="AH122" s="2">
        <f t="shared" si="19"/>
        <v>98.564028</v>
      </c>
      <c r="AI122" s="2">
        <f t="shared" si="33"/>
        <v>98.564028</v>
      </c>
    </row>
    <row r="123" spans="1:35" s="27" customFormat="1" ht="12.75">
      <c r="A123" s="23"/>
      <c r="B123" s="21"/>
      <c r="C123" s="21" t="s">
        <v>227</v>
      </c>
      <c r="D123" s="20">
        <f>SUM(D115:D122)</f>
        <v>6809</v>
      </c>
      <c r="E123" s="21"/>
      <c r="F123" s="21"/>
      <c r="G123" s="23"/>
      <c r="H123" s="21"/>
      <c r="I123" s="21"/>
      <c r="J123" s="21"/>
      <c r="K123" s="25"/>
      <c r="L123" s="25"/>
      <c r="M123" s="25"/>
      <c r="N123" s="25"/>
      <c r="O123" s="25"/>
      <c r="P123" s="25"/>
      <c r="Q123" s="26"/>
      <c r="R123" s="26"/>
      <c r="S123" s="26"/>
      <c r="T123" s="26"/>
      <c r="U123" s="26"/>
      <c r="V123" s="25"/>
      <c r="W123" s="25"/>
      <c r="AC123" s="19">
        <f>SUM(AC115:AC122)</f>
        <v>477.01445869042084</v>
      </c>
      <c r="AE123" s="19">
        <f>SUM(AE115:AE122)</f>
        <v>1466602</v>
      </c>
      <c r="AF123" s="19">
        <f>SUM(AF115:AF122)</f>
        <v>1466.6020000000003</v>
      </c>
      <c r="AG123" s="19">
        <f>SUM(AG115:AG122)</f>
        <v>82.5930947573952</v>
      </c>
      <c r="AH123" s="19">
        <f>SUM(AH115:AH122)</f>
        <v>859.428772</v>
      </c>
      <c r="AI123" s="19">
        <f t="shared" si="33"/>
        <v>942.0218667573952</v>
      </c>
    </row>
    <row r="124" spans="1:35" s="27" customFormat="1" ht="15.75" customHeight="1">
      <c r="A124" s="23"/>
      <c r="B124" s="21"/>
      <c r="C124" s="21"/>
      <c r="D124" s="20"/>
      <c r="E124" s="21"/>
      <c r="F124" s="21"/>
      <c r="G124" s="23"/>
      <c r="H124" s="21"/>
      <c r="I124" s="21"/>
      <c r="J124" s="21"/>
      <c r="K124" s="25"/>
      <c r="L124" s="25"/>
      <c r="M124" s="25"/>
      <c r="N124" s="25"/>
      <c r="O124" s="25"/>
      <c r="P124" s="25"/>
      <c r="Q124" s="26"/>
      <c r="R124" s="26"/>
      <c r="S124" s="26"/>
      <c r="T124" s="26"/>
      <c r="U124" s="26"/>
      <c r="V124" s="25"/>
      <c r="W124" s="25"/>
      <c r="AC124" s="19"/>
      <c r="AE124" s="19"/>
      <c r="AF124" s="19"/>
      <c r="AG124" s="19"/>
      <c r="AH124" s="19"/>
      <c r="AI124" s="19"/>
    </row>
    <row r="125" spans="1:35" ht="12.75">
      <c r="A125" s="8">
        <v>273</v>
      </c>
      <c r="B125" s="7" t="s">
        <v>19</v>
      </c>
      <c r="C125" s="7" t="s">
        <v>228</v>
      </c>
      <c r="D125" s="14">
        <v>2405</v>
      </c>
      <c r="E125" s="7" t="s">
        <v>83</v>
      </c>
      <c r="F125" s="7" t="s">
        <v>176</v>
      </c>
      <c r="G125" s="8">
        <v>2765</v>
      </c>
      <c r="H125" s="7" t="s">
        <v>212</v>
      </c>
      <c r="I125" s="7" t="s">
        <v>220</v>
      </c>
      <c r="J125" s="7" t="s">
        <v>222</v>
      </c>
      <c r="K125" s="9">
        <v>34390.04</v>
      </c>
      <c r="L125" s="9">
        <f>2906/2198*K125</f>
        <v>45467.45051865332</v>
      </c>
      <c r="M125" s="9">
        <f>11*L125/1000</f>
        <v>500.14195570518655</v>
      </c>
      <c r="N125" s="9"/>
      <c r="O125" s="9"/>
      <c r="P125" s="9"/>
      <c r="Q125" s="10"/>
      <c r="R125" s="10"/>
      <c r="S125" s="10"/>
      <c r="T125" s="10"/>
      <c r="U125" s="10"/>
      <c r="V125" s="9"/>
      <c r="W125" s="9"/>
      <c r="AC125" s="2">
        <f>M125+P125+T125+W125+Z125+AB125</f>
        <v>500.14195570518655</v>
      </c>
      <c r="AE125" s="2">
        <v>125183</v>
      </c>
      <c r="AF125" s="2">
        <f>0.001*AE125</f>
        <v>125.183</v>
      </c>
      <c r="AG125" s="2">
        <f>0.204*M125</f>
        <v>102.02895896385805</v>
      </c>
      <c r="AH125" s="2">
        <f t="shared" si="19"/>
        <v>73.357238</v>
      </c>
      <c r="AI125" s="2">
        <f>AG125+AH125</f>
        <v>175.38619696385803</v>
      </c>
    </row>
    <row r="126" spans="1:35" ht="12.75">
      <c r="A126" s="13">
        <v>13433</v>
      </c>
      <c r="B126" s="7" t="s">
        <v>8</v>
      </c>
      <c r="C126" s="7" t="s">
        <v>228</v>
      </c>
      <c r="D126" s="14">
        <v>3501</v>
      </c>
      <c r="E126" s="7" t="s">
        <v>104</v>
      </c>
      <c r="F126" s="7" t="s">
        <v>104</v>
      </c>
      <c r="G126" s="8">
        <v>3650</v>
      </c>
      <c r="H126" s="7" t="s">
        <v>1</v>
      </c>
      <c r="I126" s="7" t="s">
        <v>218</v>
      </c>
      <c r="J126" s="7" t="s">
        <v>222</v>
      </c>
      <c r="K126" s="9"/>
      <c r="L126" s="9"/>
      <c r="M126" s="9"/>
      <c r="N126" s="9"/>
      <c r="O126" s="9"/>
      <c r="P126" s="9"/>
      <c r="Q126" s="10"/>
      <c r="R126" s="10"/>
      <c r="S126" s="10"/>
      <c r="T126" s="10"/>
      <c r="U126" s="10"/>
      <c r="V126" s="9"/>
      <c r="W126" s="9"/>
      <c r="AC126" s="2">
        <f>M126+P126+T126+W126+Z126+AB126</f>
        <v>0</v>
      </c>
      <c r="AE126" s="2">
        <v>12443</v>
      </c>
      <c r="AF126" s="2">
        <f>0.001*AE126</f>
        <v>12.443</v>
      </c>
      <c r="AG126" s="2"/>
      <c r="AH126" s="2">
        <f t="shared" si="19"/>
        <v>7.291598</v>
      </c>
      <c r="AI126" s="2">
        <f>AG126+AH126</f>
        <v>7.291598</v>
      </c>
    </row>
    <row r="127" spans="1:35" ht="12.75">
      <c r="A127" s="13">
        <v>13433</v>
      </c>
      <c r="B127" s="7" t="s">
        <v>19</v>
      </c>
      <c r="C127" s="7" t="s">
        <v>228</v>
      </c>
      <c r="D127" s="16">
        <v>0</v>
      </c>
      <c r="E127" s="7" t="s">
        <v>261</v>
      </c>
      <c r="F127" s="7" t="s">
        <v>196</v>
      </c>
      <c r="G127" s="8"/>
      <c r="H127" s="7"/>
      <c r="I127" s="7" t="s">
        <v>218</v>
      </c>
      <c r="J127" s="7" t="s">
        <v>222</v>
      </c>
      <c r="K127" s="9"/>
      <c r="L127" s="9"/>
      <c r="M127" s="9"/>
      <c r="N127" s="10">
        <v>534</v>
      </c>
      <c r="O127" s="9">
        <f>2906/2198*N127</f>
        <v>706.007279344859</v>
      </c>
      <c r="P127" s="9">
        <f>0.278*O127</f>
        <v>196.2700236578708</v>
      </c>
      <c r="Q127" s="10"/>
      <c r="R127" s="10"/>
      <c r="S127" s="10"/>
      <c r="T127" s="10"/>
      <c r="U127" s="10"/>
      <c r="V127" s="9"/>
      <c r="W127" s="9"/>
      <c r="AC127" s="2">
        <f>M127+P127+T127+W127+Z127+AB127</f>
        <v>196.2700236578708</v>
      </c>
      <c r="AE127" s="2">
        <v>159686</v>
      </c>
      <c r="AF127" s="2">
        <f>0.001*AE127</f>
        <v>159.686</v>
      </c>
      <c r="AG127" s="2">
        <f>0.1*P127</f>
        <v>19.62700236578708</v>
      </c>
      <c r="AH127" s="2">
        <f t="shared" si="19"/>
        <v>93.575996</v>
      </c>
      <c r="AI127" s="2">
        <f>AG127+AH127</f>
        <v>113.20299836578708</v>
      </c>
    </row>
    <row r="128" spans="1:35" s="27" customFormat="1" ht="12.75">
      <c r="A128" s="30"/>
      <c r="B128" s="26"/>
      <c r="C128" s="22" t="s">
        <v>228</v>
      </c>
      <c r="D128" s="20">
        <f>SUM(D125:D127)</f>
        <v>5906</v>
      </c>
      <c r="E128" s="26"/>
      <c r="F128" s="26"/>
      <c r="G128" s="30"/>
      <c r="H128" s="26"/>
      <c r="I128" s="26"/>
      <c r="J128" s="26"/>
      <c r="K128" s="25"/>
      <c r="L128" s="25"/>
      <c r="M128" s="25"/>
      <c r="N128" s="25"/>
      <c r="O128" s="25"/>
      <c r="P128" s="25"/>
      <c r="Q128" s="26"/>
      <c r="R128" s="26"/>
      <c r="S128" s="26"/>
      <c r="T128" s="26"/>
      <c r="U128" s="26"/>
      <c r="V128" s="25"/>
      <c r="W128" s="25"/>
      <c r="AC128" s="19">
        <f>SUM(AC125:AC127)</f>
        <v>696.4119793630573</v>
      </c>
      <c r="AE128" s="19">
        <f>SUM(AE125:AE127)</f>
        <v>297312</v>
      </c>
      <c r="AF128" s="19">
        <f>SUM(AF125:AF127)</f>
        <v>297.312</v>
      </c>
      <c r="AG128" s="19">
        <f>SUM(AG125:AG127)</f>
        <v>121.65596132964512</v>
      </c>
      <c r="AH128" s="19">
        <f>SUM(AH125:AH127)</f>
        <v>174.224832</v>
      </c>
      <c r="AI128" s="19">
        <f>AG128+AH128</f>
        <v>295.88079332964514</v>
      </c>
    </row>
    <row r="129" spans="1:23" ht="12.75">
      <c r="A129" s="11"/>
      <c r="B129" s="10"/>
      <c r="C129" s="10"/>
      <c r="D129" s="16"/>
      <c r="E129" s="10"/>
      <c r="F129" s="10"/>
      <c r="G129" s="11"/>
      <c r="H129" s="10"/>
      <c r="I129" s="10"/>
      <c r="J129" s="10"/>
      <c r="K129" s="9"/>
      <c r="L129" s="9"/>
      <c r="M129" s="9"/>
      <c r="N129" s="9"/>
      <c r="O129" s="9"/>
      <c r="P129" s="9"/>
      <c r="Q129" s="10"/>
      <c r="R129" s="10"/>
      <c r="S129" s="10"/>
      <c r="T129" s="10"/>
      <c r="U129" s="10"/>
      <c r="V129" s="9"/>
      <c r="W129" s="9"/>
    </row>
    <row r="130" spans="1:31" ht="12.75">
      <c r="A130" s="11"/>
      <c r="B130" s="10"/>
      <c r="C130" s="10"/>
      <c r="D130" s="16"/>
      <c r="E130" s="10"/>
      <c r="F130" s="10"/>
      <c r="G130" s="10"/>
      <c r="H130" s="10"/>
      <c r="I130" s="10"/>
      <c r="J130" s="10"/>
      <c r="K130" s="9"/>
      <c r="L130" s="9"/>
      <c r="M130" s="9"/>
      <c r="N130" s="9"/>
      <c r="O130" s="9"/>
      <c r="P130" s="9"/>
      <c r="Q130" s="10"/>
      <c r="R130" s="10"/>
      <c r="S130" s="10"/>
      <c r="T130" s="10"/>
      <c r="U130" s="10"/>
      <c r="V130" s="9"/>
      <c r="W130" s="9"/>
      <c r="AE130" s="2"/>
    </row>
    <row r="131" spans="1:23" ht="12.75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K131" s="9"/>
      <c r="L131" s="9"/>
      <c r="M131" s="9"/>
      <c r="N131" s="9"/>
      <c r="O131" s="9"/>
      <c r="P131" s="9"/>
      <c r="Q131" s="10"/>
      <c r="R131" s="10"/>
      <c r="S131" s="10"/>
      <c r="T131" s="10"/>
      <c r="U131" s="10"/>
      <c r="V131" s="9"/>
      <c r="W131" s="9"/>
    </row>
    <row r="132" spans="1:23" ht="12.75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9"/>
      <c r="L132" s="9"/>
      <c r="M132" s="9"/>
      <c r="N132" s="9"/>
      <c r="O132" s="9"/>
      <c r="P132" s="9"/>
      <c r="Q132" s="10"/>
      <c r="R132" s="10"/>
      <c r="S132" s="10"/>
      <c r="T132" s="10"/>
      <c r="U132" s="10"/>
      <c r="V132" s="9"/>
      <c r="W132" s="9"/>
    </row>
    <row r="133" spans="1:23" ht="12.75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9"/>
      <c r="L133" s="9"/>
      <c r="M133" s="9"/>
      <c r="N133" s="9"/>
      <c r="O133" s="9"/>
      <c r="P133" s="9"/>
      <c r="Q133" s="10"/>
      <c r="R133" s="10"/>
      <c r="S133" s="10"/>
      <c r="T133" s="10"/>
      <c r="U133" s="10"/>
      <c r="V133" s="9"/>
      <c r="W133" s="9"/>
    </row>
    <row r="134" spans="1:23" ht="12.75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9"/>
      <c r="L134" s="9"/>
      <c r="M134" s="9"/>
      <c r="N134" s="9"/>
      <c r="O134" s="9"/>
      <c r="P134" s="9"/>
      <c r="Q134" s="10"/>
      <c r="R134" s="10"/>
      <c r="S134" s="10"/>
      <c r="T134" s="10"/>
      <c r="U134" s="10"/>
      <c r="V134" s="9"/>
      <c r="W134" s="9"/>
    </row>
    <row r="135" spans="1:23" ht="12.75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9"/>
      <c r="L135" s="9"/>
      <c r="M135" s="9"/>
      <c r="N135" s="9"/>
      <c r="O135" s="9"/>
      <c r="P135" s="9"/>
      <c r="Q135" s="10"/>
      <c r="R135" s="10"/>
      <c r="S135" s="10"/>
      <c r="T135" s="10"/>
      <c r="U135" s="10"/>
      <c r="V135" s="10"/>
      <c r="W135" s="10"/>
    </row>
    <row r="136" spans="1:23" ht="12.75">
      <c r="A136" s="11"/>
      <c r="B136" s="10"/>
      <c r="C136" s="10"/>
      <c r="D136" s="10"/>
      <c r="E136" s="10"/>
      <c r="F136" s="10"/>
      <c r="G136" s="10"/>
      <c r="H136" s="10"/>
      <c r="I136" s="10"/>
      <c r="J136" s="10"/>
      <c r="K136" s="9"/>
      <c r="L136" s="9"/>
      <c r="M136" s="9"/>
      <c r="N136" s="9"/>
      <c r="O136" s="9"/>
      <c r="P136" s="9"/>
      <c r="Q136" s="10"/>
      <c r="R136" s="10"/>
      <c r="S136" s="10"/>
      <c r="T136" s="10"/>
      <c r="U136" s="10"/>
      <c r="V136" s="10"/>
      <c r="W136" s="10"/>
    </row>
    <row r="137" spans="1:23" ht="12.75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K137" s="9"/>
      <c r="L137" s="9"/>
      <c r="M137" s="9"/>
      <c r="N137" s="9"/>
      <c r="O137" s="9"/>
      <c r="P137" s="9"/>
      <c r="Q137" s="10"/>
      <c r="R137" s="10"/>
      <c r="S137" s="10"/>
      <c r="T137" s="10"/>
      <c r="U137" s="10"/>
      <c r="V137" s="10"/>
      <c r="W137" s="10"/>
    </row>
    <row r="138" spans="1:23" ht="12.75">
      <c r="A138" s="11"/>
      <c r="B138" s="10"/>
      <c r="C138" s="10"/>
      <c r="D138" s="10"/>
      <c r="E138" s="10"/>
      <c r="F138" s="10"/>
      <c r="G138" s="10"/>
      <c r="H138" s="10"/>
      <c r="I138" s="10"/>
      <c r="J138" s="10"/>
      <c r="K138" s="9"/>
      <c r="L138" s="9"/>
      <c r="M138" s="9"/>
      <c r="N138" s="9"/>
      <c r="O138" s="9"/>
      <c r="P138" s="9"/>
      <c r="Q138" s="10"/>
      <c r="R138" s="10"/>
      <c r="S138" s="10"/>
      <c r="T138" s="10"/>
      <c r="U138" s="10"/>
      <c r="V138" s="10"/>
      <c r="W138" s="10"/>
    </row>
    <row r="139" spans="1:23" ht="12.75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9"/>
      <c r="L139" s="9"/>
      <c r="M139" s="9"/>
      <c r="N139" s="9"/>
      <c r="O139" s="9"/>
      <c r="P139" s="9"/>
      <c r="Q139" s="10"/>
      <c r="R139" s="10"/>
      <c r="S139" s="10"/>
      <c r="T139" s="10"/>
      <c r="U139" s="10"/>
      <c r="V139" s="10"/>
      <c r="W139" s="10"/>
    </row>
    <row r="140" spans="1:23" ht="12.75">
      <c r="A140" s="11"/>
      <c r="B140" s="10"/>
      <c r="C140" s="10"/>
      <c r="D140" s="10"/>
      <c r="E140" s="10"/>
      <c r="F140" s="10"/>
      <c r="G140" s="10"/>
      <c r="H140" s="10"/>
      <c r="I140" s="10"/>
      <c r="J140" s="10"/>
      <c r="K140" s="9"/>
      <c r="L140" s="9"/>
      <c r="M140" s="9"/>
      <c r="N140" s="9"/>
      <c r="O140" s="9"/>
      <c r="P140" s="9"/>
      <c r="Q140" s="10"/>
      <c r="R140" s="10"/>
      <c r="S140" s="10"/>
      <c r="T140" s="10"/>
      <c r="U140" s="10"/>
      <c r="V140" s="10"/>
      <c r="W140" s="10"/>
    </row>
    <row r="141" spans="1:23" ht="12.75">
      <c r="A141" s="11"/>
      <c r="B141" s="10"/>
      <c r="C141" s="10"/>
      <c r="D141" s="10"/>
      <c r="E141" s="10"/>
      <c r="F141" s="10"/>
      <c r="G141" s="10"/>
      <c r="H141" s="10"/>
      <c r="I141" s="10"/>
      <c r="J141" s="10"/>
      <c r="K141" s="9"/>
      <c r="L141" s="9"/>
      <c r="M141" s="9"/>
      <c r="N141" s="9"/>
      <c r="O141" s="9"/>
      <c r="P141" s="9"/>
      <c r="Q141" s="10"/>
      <c r="R141" s="10"/>
      <c r="S141" s="10"/>
      <c r="T141" s="10"/>
      <c r="U141" s="10"/>
      <c r="V141" s="10"/>
      <c r="W141" s="10"/>
    </row>
    <row r="142" spans="1:23" ht="12.75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9"/>
      <c r="L142" s="9"/>
      <c r="M142" s="9"/>
      <c r="N142" s="9"/>
      <c r="O142" s="9"/>
      <c r="P142" s="9"/>
      <c r="Q142" s="10"/>
      <c r="R142" s="10"/>
      <c r="S142" s="10"/>
      <c r="T142" s="10"/>
      <c r="U142" s="10"/>
      <c r="V142" s="10"/>
      <c r="W142" s="10"/>
    </row>
    <row r="143" spans="1:23" ht="12.75">
      <c r="A143" s="11"/>
      <c r="B143" s="10"/>
      <c r="C143" s="10"/>
      <c r="D143" s="10"/>
      <c r="E143" s="10"/>
      <c r="F143" s="10"/>
      <c r="G143" s="10"/>
      <c r="H143" s="10"/>
      <c r="I143" s="10"/>
      <c r="J143" s="10"/>
      <c r="K143" s="9"/>
      <c r="L143" s="9"/>
      <c r="M143" s="9"/>
      <c r="N143" s="9"/>
      <c r="O143" s="9"/>
      <c r="P143" s="9"/>
      <c r="Q143" s="10"/>
      <c r="R143" s="10"/>
      <c r="S143" s="10"/>
      <c r="T143" s="10"/>
      <c r="U143" s="10"/>
      <c r="V143" s="10"/>
      <c r="W143" s="10"/>
    </row>
    <row r="144" spans="1:23" ht="12.75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9"/>
      <c r="L144" s="9"/>
      <c r="M144" s="9"/>
      <c r="N144" s="9"/>
      <c r="O144" s="9"/>
      <c r="P144" s="9"/>
      <c r="Q144" s="10"/>
      <c r="R144" s="10"/>
      <c r="S144" s="10"/>
      <c r="T144" s="10"/>
      <c r="U144" s="10"/>
      <c r="V144" s="10"/>
      <c r="W144" s="10"/>
    </row>
    <row r="145" spans="1:23" ht="12.75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9"/>
      <c r="L145" s="9"/>
      <c r="M145" s="9"/>
      <c r="N145" s="9"/>
      <c r="O145" s="9"/>
      <c r="P145" s="9"/>
      <c r="Q145" s="10"/>
      <c r="R145" s="10"/>
      <c r="S145" s="10"/>
      <c r="T145" s="10"/>
      <c r="U145" s="10"/>
      <c r="V145" s="10"/>
      <c r="W145" s="10"/>
    </row>
    <row r="146" spans="1:23" ht="12.75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9"/>
      <c r="L146" s="9"/>
      <c r="M146" s="9"/>
      <c r="N146" s="9"/>
      <c r="O146" s="9"/>
      <c r="P146" s="9"/>
      <c r="Q146" s="10"/>
      <c r="R146" s="10"/>
      <c r="S146" s="10"/>
      <c r="T146" s="10"/>
      <c r="U146" s="10"/>
      <c r="V146" s="10"/>
      <c r="W146" s="10"/>
    </row>
    <row r="147" spans="1:23" ht="12.75">
      <c r="A147" s="11"/>
      <c r="B147" s="10"/>
      <c r="C147" s="10"/>
      <c r="D147" s="10"/>
      <c r="E147" s="10"/>
      <c r="F147" s="10"/>
      <c r="G147" s="10"/>
      <c r="H147" s="10"/>
      <c r="I147" s="10"/>
      <c r="J147" s="10"/>
      <c r="K147" s="9"/>
      <c r="L147" s="9"/>
      <c r="M147" s="9"/>
      <c r="N147" s="9"/>
      <c r="O147" s="9"/>
      <c r="P147" s="9"/>
      <c r="Q147" s="10"/>
      <c r="R147" s="10"/>
      <c r="S147" s="10"/>
      <c r="T147" s="10"/>
      <c r="U147" s="10"/>
      <c r="V147" s="10"/>
      <c r="W147" s="10"/>
    </row>
    <row r="148" spans="1:23" ht="12.75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9"/>
      <c r="L148" s="9"/>
      <c r="M148" s="9"/>
      <c r="N148" s="9"/>
      <c r="O148" s="9"/>
      <c r="P148" s="9"/>
      <c r="Q148" s="10"/>
      <c r="R148" s="10"/>
      <c r="S148" s="10"/>
      <c r="T148" s="10"/>
      <c r="U148" s="10"/>
      <c r="V148" s="10"/>
      <c r="W148" s="10"/>
    </row>
    <row r="149" spans="1:23" ht="12.75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9"/>
      <c r="L149" s="9"/>
      <c r="M149" s="9"/>
      <c r="N149" s="9"/>
      <c r="O149" s="9"/>
      <c r="P149" s="9"/>
      <c r="Q149" s="10"/>
      <c r="R149" s="10"/>
      <c r="S149" s="10"/>
      <c r="T149" s="10"/>
      <c r="U149" s="10"/>
      <c r="V149" s="10"/>
      <c r="W149" s="10"/>
    </row>
    <row r="150" spans="1:23" ht="12.75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9"/>
      <c r="L150" s="9"/>
      <c r="M150" s="9"/>
      <c r="N150" s="9"/>
      <c r="O150" s="9"/>
      <c r="P150" s="9"/>
      <c r="Q150" s="10"/>
      <c r="R150" s="10"/>
      <c r="S150" s="10"/>
      <c r="T150" s="10"/>
      <c r="U150" s="10"/>
      <c r="V150" s="10"/>
      <c r="W150" s="10"/>
    </row>
    <row r="151" spans="1:23" ht="12.7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9"/>
      <c r="L151" s="9"/>
      <c r="M151" s="9"/>
      <c r="N151" s="9"/>
      <c r="O151" s="9"/>
      <c r="P151" s="9"/>
      <c r="Q151" s="10"/>
      <c r="R151" s="10"/>
      <c r="S151" s="10"/>
      <c r="T151" s="10"/>
      <c r="U151" s="10"/>
      <c r="V151" s="10"/>
      <c r="W151" s="10"/>
    </row>
    <row r="152" spans="1:23" ht="12.75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9"/>
      <c r="L152" s="9"/>
      <c r="M152" s="9"/>
      <c r="N152" s="9"/>
      <c r="O152" s="9"/>
      <c r="P152" s="9"/>
      <c r="Q152" s="10"/>
      <c r="R152" s="10"/>
      <c r="S152" s="10"/>
      <c r="T152" s="10"/>
      <c r="U152" s="10"/>
      <c r="V152" s="10"/>
      <c r="W152" s="10"/>
    </row>
    <row r="153" spans="1:23" ht="12.7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9"/>
      <c r="L153" s="9"/>
      <c r="M153" s="9"/>
      <c r="N153" s="9"/>
      <c r="O153" s="9"/>
      <c r="P153" s="9"/>
      <c r="Q153" s="10"/>
      <c r="R153" s="10"/>
      <c r="S153" s="10"/>
      <c r="T153" s="10"/>
      <c r="U153" s="10"/>
      <c r="V153" s="10"/>
      <c r="W153" s="10"/>
    </row>
    <row r="154" spans="1:23" ht="12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9"/>
      <c r="L154" s="9"/>
      <c r="M154" s="9"/>
      <c r="N154" s="9"/>
      <c r="O154" s="9"/>
      <c r="P154" s="9"/>
      <c r="Q154" s="10"/>
      <c r="R154" s="10"/>
      <c r="S154" s="10"/>
      <c r="T154" s="10"/>
      <c r="U154" s="10"/>
      <c r="V154" s="10"/>
      <c r="W154" s="10"/>
    </row>
    <row r="155" spans="1:23" ht="12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9"/>
      <c r="L155" s="9"/>
      <c r="M155" s="9"/>
      <c r="N155" s="9"/>
      <c r="O155" s="9"/>
      <c r="P155" s="9"/>
      <c r="Q155" s="10"/>
      <c r="R155" s="10"/>
      <c r="S155" s="10"/>
      <c r="T155" s="10"/>
      <c r="U155" s="10"/>
      <c r="V155" s="10"/>
      <c r="W155" s="10"/>
    </row>
    <row r="156" spans="1:23" ht="12.75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9"/>
      <c r="L156" s="9"/>
      <c r="M156" s="9"/>
      <c r="N156" s="9"/>
      <c r="O156" s="9"/>
      <c r="P156" s="9"/>
      <c r="Q156" s="10"/>
      <c r="R156" s="10"/>
      <c r="S156" s="10"/>
      <c r="T156" s="10"/>
      <c r="U156" s="10"/>
      <c r="V156" s="10"/>
      <c r="W156" s="10"/>
    </row>
    <row r="157" spans="1:23" ht="12.7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9"/>
      <c r="L157" s="9"/>
      <c r="M157" s="9"/>
      <c r="N157" s="9"/>
      <c r="O157" s="9"/>
      <c r="P157" s="9"/>
      <c r="Q157" s="10"/>
      <c r="R157" s="10"/>
      <c r="S157" s="10"/>
      <c r="T157" s="10"/>
      <c r="U157" s="10"/>
      <c r="V157" s="10"/>
      <c r="W157" s="10"/>
    </row>
    <row r="158" spans="1:23" ht="12.7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9"/>
      <c r="L158" s="9"/>
      <c r="M158" s="9"/>
      <c r="N158" s="9"/>
      <c r="O158" s="9"/>
      <c r="P158" s="9"/>
      <c r="Q158" s="10"/>
      <c r="R158" s="10"/>
      <c r="S158" s="10"/>
      <c r="T158" s="10"/>
      <c r="U158" s="10"/>
      <c r="V158" s="10"/>
      <c r="W158" s="10"/>
    </row>
    <row r="159" spans="1:23" ht="12.75">
      <c r="A159" s="11"/>
      <c r="B159" s="10"/>
      <c r="C159" s="10"/>
      <c r="D159" s="10"/>
      <c r="E159" s="10"/>
      <c r="F159" s="10"/>
      <c r="G159" s="10"/>
      <c r="H159" s="10"/>
      <c r="I159" s="10"/>
      <c r="J159" s="10"/>
      <c r="K159" s="9"/>
      <c r="L159" s="9"/>
      <c r="M159" s="9"/>
      <c r="N159" s="9"/>
      <c r="O159" s="9"/>
      <c r="P159" s="9"/>
      <c r="Q159" s="10"/>
      <c r="R159" s="10"/>
      <c r="S159" s="10"/>
      <c r="T159" s="10"/>
      <c r="U159" s="10"/>
      <c r="V159" s="10"/>
      <c r="W159" s="10"/>
    </row>
    <row r="160" spans="1:23" ht="12.75">
      <c r="A160" s="11"/>
      <c r="B160" s="10"/>
      <c r="C160" s="10"/>
      <c r="D160" s="10"/>
      <c r="E160" s="10"/>
      <c r="F160" s="10"/>
      <c r="G160" s="10"/>
      <c r="H160" s="10"/>
      <c r="I160" s="10"/>
      <c r="J160" s="10"/>
      <c r="K160" s="9"/>
      <c r="L160" s="9"/>
      <c r="M160" s="9"/>
      <c r="N160" s="9"/>
      <c r="O160" s="9"/>
      <c r="P160" s="9"/>
      <c r="Q160" s="10"/>
      <c r="R160" s="10"/>
      <c r="S160" s="10"/>
      <c r="T160" s="10"/>
      <c r="U160" s="10"/>
      <c r="V160" s="10"/>
      <c r="W160" s="10"/>
    </row>
    <row r="161" spans="1:23" ht="12.75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9"/>
      <c r="L161" s="9"/>
      <c r="M161" s="9"/>
      <c r="N161" s="9"/>
      <c r="O161" s="9"/>
      <c r="P161" s="9"/>
      <c r="Q161" s="10"/>
      <c r="R161" s="10"/>
      <c r="S161" s="10"/>
      <c r="T161" s="10"/>
      <c r="U161" s="10"/>
      <c r="V161" s="10"/>
      <c r="W161" s="10"/>
    </row>
    <row r="162" spans="1:23" ht="12.75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9"/>
      <c r="L162" s="9"/>
      <c r="M162" s="9"/>
      <c r="N162" s="9"/>
      <c r="O162" s="9"/>
      <c r="P162" s="9"/>
      <c r="Q162" s="10"/>
      <c r="R162" s="10"/>
      <c r="S162" s="10"/>
      <c r="T162" s="10"/>
      <c r="U162" s="10"/>
      <c r="V162" s="10"/>
      <c r="W162" s="10"/>
    </row>
    <row r="163" spans="1:23" ht="12.75">
      <c r="A163" s="11"/>
      <c r="B163" s="10"/>
      <c r="C163" s="10"/>
      <c r="D163" s="10"/>
      <c r="E163" s="10"/>
      <c r="F163" s="10"/>
      <c r="G163" s="10"/>
      <c r="H163" s="10"/>
      <c r="I163" s="10"/>
      <c r="J163" s="10"/>
      <c r="K163" s="9"/>
      <c r="L163" s="9"/>
      <c r="M163" s="9"/>
      <c r="N163" s="9"/>
      <c r="O163" s="9"/>
      <c r="P163" s="9"/>
      <c r="Q163" s="10"/>
      <c r="R163" s="10"/>
      <c r="S163" s="10"/>
      <c r="T163" s="10"/>
      <c r="U163" s="10"/>
      <c r="V163" s="10"/>
      <c r="W163" s="10"/>
    </row>
    <row r="164" spans="1:23" ht="12.75">
      <c r="A164" s="11"/>
      <c r="B164" s="10"/>
      <c r="C164" s="10"/>
      <c r="D164" s="10"/>
      <c r="E164" s="10"/>
      <c r="F164" s="10"/>
      <c r="G164" s="10"/>
      <c r="H164" s="10"/>
      <c r="I164" s="10"/>
      <c r="J164" s="10"/>
      <c r="K164" s="9"/>
      <c r="L164" s="9"/>
      <c r="M164" s="9"/>
      <c r="N164" s="9"/>
      <c r="O164" s="9"/>
      <c r="P164" s="9"/>
      <c r="Q164" s="10"/>
      <c r="R164" s="10"/>
      <c r="S164" s="10"/>
      <c r="T164" s="10"/>
      <c r="U164" s="10"/>
      <c r="V164" s="10"/>
      <c r="W164" s="10"/>
    </row>
    <row r="165" spans="1:23" ht="12.75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9"/>
      <c r="L165" s="9"/>
      <c r="M165" s="9"/>
      <c r="N165" s="9"/>
      <c r="O165" s="9"/>
      <c r="P165" s="9"/>
      <c r="Q165" s="10"/>
      <c r="R165" s="10"/>
      <c r="S165" s="10"/>
      <c r="T165" s="10"/>
      <c r="U165" s="10"/>
      <c r="V165" s="10"/>
      <c r="W165" s="10"/>
    </row>
    <row r="166" spans="1:23" ht="12.75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9"/>
      <c r="L166" s="9"/>
      <c r="M166" s="9"/>
      <c r="N166" s="9"/>
      <c r="O166" s="9"/>
      <c r="P166" s="9"/>
      <c r="Q166" s="10"/>
      <c r="R166" s="10"/>
      <c r="S166" s="10"/>
      <c r="T166" s="10"/>
      <c r="U166" s="10"/>
      <c r="V166" s="10"/>
      <c r="W166" s="10"/>
    </row>
    <row r="167" spans="1:23" ht="12.75">
      <c r="A167" s="11"/>
      <c r="B167" s="10"/>
      <c r="C167" s="10"/>
      <c r="D167" s="10"/>
      <c r="E167" s="10"/>
      <c r="F167" s="10"/>
      <c r="G167" s="10"/>
      <c r="H167" s="10"/>
      <c r="I167" s="10"/>
      <c r="J167" s="10"/>
      <c r="K167" s="9"/>
      <c r="L167" s="9"/>
      <c r="M167" s="9"/>
      <c r="N167" s="9"/>
      <c r="O167" s="9"/>
      <c r="P167" s="9"/>
      <c r="Q167" s="10"/>
      <c r="R167" s="10"/>
      <c r="S167" s="10"/>
      <c r="T167" s="10"/>
      <c r="U167" s="10"/>
      <c r="V167" s="10"/>
      <c r="W167" s="10"/>
    </row>
    <row r="168" spans="1:23" ht="12.75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9"/>
      <c r="L168" s="9"/>
      <c r="M168" s="9"/>
      <c r="N168" s="9"/>
      <c r="O168" s="9"/>
      <c r="P168" s="9"/>
      <c r="Q168" s="10"/>
      <c r="R168" s="10"/>
      <c r="S168" s="10"/>
      <c r="T168" s="10"/>
      <c r="U168" s="10"/>
      <c r="V168" s="10"/>
      <c r="W168" s="10"/>
    </row>
    <row r="169" spans="1:23" ht="12.75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9"/>
      <c r="L169" s="9"/>
      <c r="M169" s="9"/>
      <c r="N169" s="9"/>
      <c r="O169" s="9"/>
      <c r="P169" s="9"/>
      <c r="Q169" s="10"/>
      <c r="R169" s="10"/>
      <c r="S169" s="10"/>
      <c r="T169" s="10"/>
      <c r="U169" s="10"/>
      <c r="V169" s="10"/>
      <c r="W169" s="10"/>
    </row>
    <row r="170" spans="1:23" ht="12.75">
      <c r="A170" s="11"/>
      <c r="B170" s="10"/>
      <c r="C170" s="10"/>
      <c r="D170" s="10"/>
      <c r="E170" s="10"/>
      <c r="F170" s="10"/>
      <c r="G170" s="10"/>
      <c r="H170" s="10"/>
      <c r="I170" s="10"/>
      <c r="J170" s="10"/>
      <c r="K170" s="9"/>
      <c r="L170" s="9"/>
      <c r="M170" s="9"/>
      <c r="N170" s="9"/>
      <c r="O170" s="9"/>
      <c r="P170" s="9"/>
      <c r="Q170" s="10"/>
      <c r="R170" s="10"/>
      <c r="S170" s="10"/>
      <c r="T170" s="10"/>
      <c r="U170" s="10"/>
      <c r="V170" s="10"/>
      <c r="W170" s="10"/>
    </row>
    <row r="171" spans="1:23" ht="12.75">
      <c r="A171" s="11"/>
      <c r="B171" s="10"/>
      <c r="C171" s="10"/>
      <c r="D171" s="10"/>
      <c r="E171" s="10"/>
      <c r="F171" s="10"/>
      <c r="G171" s="10"/>
      <c r="H171" s="10"/>
      <c r="I171" s="10"/>
      <c r="J171" s="10"/>
      <c r="K171" s="9"/>
      <c r="L171" s="9"/>
      <c r="M171" s="9"/>
      <c r="N171" s="9"/>
      <c r="O171" s="9"/>
      <c r="P171" s="9"/>
      <c r="Q171" s="10"/>
      <c r="R171" s="10"/>
      <c r="S171" s="10"/>
      <c r="T171" s="10"/>
      <c r="U171" s="10"/>
      <c r="V171" s="10"/>
      <c r="W171" s="10"/>
    </row>
    <row r="172" spans="1:23" ht="12.75">
      <c r="A172" s="11"/>
      <c r="B172" s="10"/>
      <c r="C172" s="10"/>
      <c r="D172" s="10"/>
      <c r="E172" s="10"/>
      <c r="F172" s="10"/>
      <c r="G172" s="10"/>
      <c r="H172" s="10"/>
      <c r="I172" s="10"/>
      <c r="J172" s="10"/>
      <c r="K172" s="9"/>
      <c r="L172" s="9"/>
      <c r="M172" s="9"/>
      <c r="N172" s="9"/>
      <c r="O172" s="9"/>
      <c r="P172" s="9"/>
      <c r="Q172" s="10"/>
      <c r="R172" s="10"/>
      <c r="S172" s="10"/>
      <c r="T172" s="10"/>
      <c r="U172" s="10"/>
      <c r="V172" s="10"/>
      <c r="W172" s="10"/>
    </row>
    <row r="173" spans="1:23" ht="12.75">
      <c r="A173" s="11"/>
      <c r="B173" s="10"/>
      <c r="C173" s="10"/>
      <c r="D173" s="10"/>
      <c r="E173" s="10"/>
      <c r="F173" s="10"/>
      <c r="G173" s="10"/>
      <c r="H173" s="10"/>
      <c r="I173" s="10"/>
      <c r="J173" s="10"/>
      <c r="K173" s="9"/>
      <c r="L173" s="9"/>
      <c r="M173" s="9"/>
      <c r="N173" s="9"/>
      <c r="O173" s="9"/>
      <c r="P173" s="9"/>
      <c r="Q173" s="10"/>
      <c r="R173" s="10"/>
      <c r="S173" s="10"/>
      <c r="T173" s="10"/>
      <c r="U173" s="10"/>
      <c r="V173" s="10"/>
      <c r="W173" s="10"/>
    </row>
    <row r="174" spans="1:23" ht="12.75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9"/>
      <c r="L174" s="9"/>
      <c r="M174" s="9"/>
      <c r="N174" s="9"/>
      <c r="O174" s="9"/>
      <c r="P174" s="9"/>
      <c r="Q174" s="10"/>
      <c r="R174" s="10"/>
      <c r="S174" s="10"/>
      <c r="T174" s="10"/>
      <c r="U174" s="10"/>
      <c r="V174" s="10"/>
      <c r="W174" s="10"/>
    </row>
    <row r="175" spans="1:23" ht="12.75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9"/>
      <c r="L175" s="9"/>
      <c r="M175" s="9"/>
      <c r="N175" s="9"/>
      <c r="O175" s="9"/>
      <c r="P175" s="9"/>
      <c r="Q175" s="10"/>
      <c r="R175" s="10"/>
      <c r="S175" s="10"/>
      <c r="T175" s="10"/>
      <c r="U175" s="10"/>
      <c r="V175" s="10"/>
      <c r="W175" s="10"/>
    </row>
    <row r="176" spans="1:23" ht="12.75">
      <c r="A176" s="11"/>
      <c r="B176" s="10"/>
      <c r="C176" s="10"/>
      <c r="D176" s="10"/>
      <c r="E176" s="10"/>
      <c r="F176" s="10"/>
      <c r="G176" s="10"/>
      <c r="H176" s="10"/>
      <c r="I176" s="10"/>
      <c r="J176" s="10"/>
      <c r="K176" s="9"/>
      <c r="L176" s="9"/>
      <c r="M176" s="9"/>
      <c r="N176" s="9"/>
      <c r="O176" s="9"/>
      <c r="P176" s="9"/>
      <c r="Q176" s="10"/>
      <c r="R176" s="10"/>
      <c r="S176" s="10"/>
      <c r="T176" s="10"/>
      <c r="U176" s="10"/>
      <c r="V176" s="10"/>
      <c r="W176" s="10"/>
    </row>
    <row r="177" spans="1:23" ht="12.75">
      <c r="A177" s="11"/>
      <c r="B177" s="10"/>
      <c r="C177" s="10"/>
      <c r="D177" s="10"/>
      <c r="E177" s="10"/>
      <c r="F177" s="10"/>
      <c r="G177" s="10"/>
      <c r="H177" s="10"/>
      <c r="I177" s="10"/>
      <c r="J177" s="10"/>
      <c r="K177" s="9"/>
      <c r="L177" s="9"/>
      <c r="M177" s="9"/>
      <c r="N177" s="9"/>
      <c r="O177" s="9"/>
      <c r="P177" s="9"/>
      <c r="Q177" s="10"/>
      <c r="R177" s="10"/>
      <c r="S177" s="10"/>
      <c r="T177" s="10"/>
      <c r="U177" s="10"/>
      <c r="V177" s="10"/>
      <c r="W177" s="10"/>
    </row>
    <row r="178" spans="1:23" ht="12.75">
      <c r="A178" s="11"/>
      <c r="B178" s="10"/>
      <c r="C178" s="10"/>
      <c r="D178" s="10"/>
      <c r="E178" s="10"/>
      <c r="F178" s="10"/>
      <c r="G178" s="10"/>
      <c r="H178" s="10"/>
      <c r="I178" s="10"/>
      <c r="J178" s="10"/>
      <c r="K178" s="9"/>
      <c r="L178" s="9"/>
      <c r="M178" s="9"/>
      <c r="N178" s="9"/>
      <c r="O178" s="9"/>
      <c r="P178" s="9"/>
      <c r="Q178" s="10"/>
      <c r="R178" s="10"/>
      <c r="S178" s="10"/>
      <c r="T178" s="10"/>
      <c r="U178" s="10"/>
      <c r="V178" s="10"/>
      <c r="W178" s="10"/>
    </row>
    <row r="179" spans="1:23" ht="12.75">
      <c r="A179" s="11"/>
      <c r="B179" s="10"/>
      <c r="C179" s="10"/>
      <c r="D179" s="10"/>
      <c r="E179" s="10"/>
      <c r="F179" s="10"/>
      <c r="G179" s="10"/>
      <c r="H179" s="10"/>
      <c r="I179" s="10"/>
      <c r="J179" s="10"/>
      <c r="K179" s="9"/>
      <c r="L179" s="9"/>
      <c r="M179" s="9"/>
      <c r="N179" s="9"/>
      <c r="O179" s="9"/>
      <c r="P179" s="9"/>
      <c r="Q179" s="10"/>
      <c r="R179" s="10"/>
      <c r="S179" s="10"/>
      <c r="T179" s="10"/>
      <c r="U179" s="10"/>
      <c r="V179" s="10"/>
      <c r="W179" s="10"/>
    </row>
    <row r="180" spans="1:23" ht="12.75">
      <c r="A180" s="11"/>
      <c r="B180" s="10"/>
      <c r="C180" s="10"/>
      <c r="D180" s="10"/>
      <c r="E180" s="10"/>
      <c r="F180" s="10"/>
      <c r="G180" s="10"/>
      <c r="H180" s="10"/>
      <c r="I180" s="10"/>
      <c r="J180" s="10"/>
      <c r="K180" s="9"/>
      <c r="L180" s="9"/>
      <c r="M180" s="9"/>
      <c r="N180" s="9"/>
      <c r="O180" s="9"/>
      <c r="P180" s="9"/>
      <c r="Q180" s="10"/>
      <c r="R180" s="10"/>
      <c r="S180" s="10"/>
      <c r="T180" s="10"/>
      <c r="U180" s="10"/>
      <c r="V180" s="10"/>
      <c r="W180" s="10"/>
    </row>
    <row r="181" spans="1:23" ht="12.75">
      <c r="A181" s="11"/>
      <c r="B181" s="10"/>
      <c r="C181" s="10"/>
      <c r="D181" s="10"/>
      <c r="E181" s="10"/>
      <c r="F181" s="10"/>
      <c r="G181" s="10"/>
      <c r="H181" s="10"/>
      <c r="I181" s="10"/>
      <c r="J181" s="10"/>
      <c r="K181" s="9"/>
      <c r="L181" s="9"/>
      <c r="M181" s="9"/>
      <c r="N181" s="9"/>
      <c r="O181" s="9"/>
      <c r="P181" s="9"/>
      <c r="Q181" s="10"/>
      <c r="R181" s="10"/>
      <c r="S181" s="10"/>
      <c r="T181" s="10"/>
      <c r="U181" s="10"/>
      <c r="V181" s="10"/>
      <c r="W181" s="10"/>
    </row>
    <row r="182" spans="1:23" ht="12.75">
      <c r="A182" s="11"/>
      <c r="B182" s="10"/>
      <c r="C182" s="10"/>
      <c r="D182" s="10"/>
      <c r="E182" s="10"/>
      <c r="F182" s="10"/>
      <c r="G182" s="10"/>
      <c r="H182" s="10"/>
      <c r="I182" s="10"/>
      <c r="J182" s="10"/>
      <c r="K182" s="9"/>
      <c r="L182" s="9"/>
      <c r="M182" s="9"/>
      <c r="N182" s="9"/>
      <c r="O182" s="9"/>
      <c r="P182" s="9"/>
      <c r="Q182" s="10"/>
      <c r="R182" s="10"/>
      <c r="S182" s="10"/>
      <c r="T182" s="10"/>
      <c r="U182" s="10"/>
      <c r="V182" s="10"/>
      <c r="W182" s="10"/>
    </row>
    <row r="183" spans="1:23" ht="12.75">
      <c r="A183" s="11"/>
      <c r="B183" s="10"/>
      <c r="C183" s="10"/>
      <c r="D183" s="10"/>
      <c r="E183" s="10"/>
      <c r="F183" s="10"/>
      <c r="G183" s="10"/>
      <c r="H183" s="10"/>
      <c r="I183" s="10"/>
      <c r="J183" s="10"/>
      <c r="K183" s="9"/>
      <c r="L183" s="9"/>
      <c r="M183" s="9"/>
      <c r="N183" s="9"/>
      <c r="O183" s="9"/>
      <c r="P183" s="9"/>
      <c r="Q183" s="10"/>
      <c r="R183" s="10"/>
      <c r="S183" s="10"/>
      <c r="T183" s="10"/>
      <c r="U183" s="10"/>
      <c r="V183" s="10"/>
      <c r="W183" s="10"/>
    </row>
    <row r="184" spans="1:23" ht="12.75">
      <c r="A184" s="11"/>
      <c r="B184" s="10"/>
      <c r="C184" s="10"/>
      <c r="D184" s="10"/>
      <c r="E184" s="10"/>
      <c r="F184" s="10"/>
      <c r="G184" s="10"/>
      <c r="H184" s="10"/>
      <c r="I184" s="10"/>
      <c r="J184" s="10"/>
      <c r="K184" s="9"/>
      <c r="L184" s="9"/>
      <c r="M184" s="9"/>
      <c r="N184" s="9"/>
      <c r="O184" s="9"/>
      <c r="P184" s="9"/>
      <c r="Q184" s="10"/>
      <c r="R184" s="10"/>
      <c r="S184" s="10"/>
      <c r="T184" s="10"/>
      <c r="U184" s="10"/>
      <c r="V184" s="10"/>
      <c r="W184" s="10"/>
    </row>
    <row r="185" spans="1:23" ht="12.75">
      <c r="A185" s="11"/>
      <c r="B185" s="10"/>
      <c r="C185" s="10"/>
      <c r="D185" s="10"/>
      <c r="E185" s="10"/>
      <c r="F185" s="10"/>
      <c r="G185" s="10"/>
      <c r="H185" s="10"/>
      <c r="I185" s="10"/>
      <c r="J185" s="10"/>
      <c r="K185" s="9"/>
      <c r="L185" s="9"/>
      <c r="M185" s="9"/>
      <c r="N185" s="9"/>
      <c r="O185" s="9"/>
      <c r="P185" s="9"/>
      <c r="Q185" s="10"/>
      <c r="R185" s="10"/>
      <c r="S185" s="10"/>
      <c r="T185" s="10"/>
      <c r="U185" s="10"/>
      <c r="V185" s="10"/>
      <c r="W185" s="10"/>
    </row>
    <row r="186" spans="1:23" ht="12.75">
      <c r="A186" s="11"/>
      <c r="B186" s="10"/>
      <c r="C186" s="10"/>
      <c r="D186" s="10"/>
      <c r="E186" s="10"/>
      <c r="F186" s="10"/>
      <c r="G186" s="10"/>
      <c r="H186" s="10"/>
      <c r="I186" s="10"/>
      <c r="J186" s="10"/>
      <c r="K186" s="9"/>
      <c r="L186" s="9"/>
      <c r="M186" s="9"/>
      <c r="N186" s="9"/>
      <c r="O186" s="9"/>
      <c r="P186" s="9"/>
      <c r="Q186" s="10"/>
      <c r="R186" s="10"/>
      <c r="S186" s="10"/>
      <c r="T186" s="10"/>
      <c r="U186" s="10"/>
      <c r="V186" s="10"/>
      <c r="W186" s="10"/>
    </row>
    <row r="187" spans="1:23" ht="12.75">
      <c r="A187" s="11"/>
      <c r="B187" s="10"/>
      <c r="C187" s="10"/>
      <c r="D187" s="10"/>
      <c r="E187" s="10"/>
      <c r="F187" s="10"/>
      <c r="G187" s="10"/>
      <c r="H187" s="10"/>
      <c r="I187" s="10"/>
      <c r="J187" s="10"/>
      <c r="K187" s="9"/>
      <c r="L187" s="9"/>
      <c r="M187" s="9"/>
      <c r="N187" s="9"/>
      <c r="O187" s="9"/>
      <c r="P187" s="9"/>
      <c r="Q187" s="10"/>
      <c r="R187" s="10"/>
      <c r="S187" s="10"/>
      <c r="T187" s="10"/>
      <c r="U187" s="10"/>
      <c r="V187" s="10"/>
      <c r="W187" s="10"/>
    </row>
    <row r="188" spans="1:23" ht="12.75">
      <c r="A188" s="11"/>
      <c r="B188" s="10"/>
      <c r="C188" s="10"/>
      <c r="D188" s="10"/>
      <c r="E188" s="10"/>
      <c r="F188" s="10"/>
      <c r="G188" s="10"/>
      <c r="H188" s="10"/>
      <c r="I188" s="10"/>
      <c r="J188" s="10"/>
      <c r="K188" s="9"/>
      <c r="L188" s="9"/>
      <c r="M188" s="9"/>
      <c r="N188" s="9"/>
      <c r="O188" s="9"/>
      <c r="P188" s="9"/>
      <c r="Q188" s="10"/>
      <c r="R188" s="10"/>
      <c r="S188" s="10"/>
      <c r="T188" s="10"/>
      <c r="U188" s="10"/>
      <c r="V188" s="10"/>
      <c r="W188" s="10"/>
    </row>
    <row r="189" spans="1:23" ht="12.75">
      <c r="A189" s="11"/>
      <c r="B189" s="10"/>
      <c r="C189" s="10"/>
      <c r="D189" s="10"/>
      <c r="E189" s="10"/>
      <c r="F189" s="10"/>
      <c r="G189" s="10"/>
      <c r="H189" s="10"/>
      <c r="I189" s="10"/>
      <c r="J189" s="10"/>
      <c r="K189" s="9"/>
      <c r="L189" s="9"/>
      <c r="M189" s="9"/>
      <c r="N189" s="9"/>
      <c r="O189" s="9"/>
      <c r="P189" s="9"/>
      <c r="Q189" s="10"/>
      <c r="R189" s="10"/>
      <c r="S189" s="10"/>
      <c r="T189" s="10"/>
      <c r="U189" s="10"/>
      <c r="V189" s="10"/>
      <c r="W189" s="10"/>
    </row>
    <row r="190" spans="1:23" ht="12.75">
      <c r="A190" s="11"/>
      <c r="B190" s="10"/>
      <c r="C190" s="10"/>
      <c r="D190" s="10"/>
      <c r="E190" s="10"/>
      <c r="F190" s="10"/>
      <c r="G190" s="10"/>
      <c r="H190" s="10"/>
      <c r="I190" s="10"/>
      <c r="J190" s="10"/>
      <c r="K190" s="9"/>
      <c r="L190" s="9"/>
      <c r="M190" s="9"/>
      <c r="N190" s="9"/>
      <c r="O190" s="9"/>
      <c r="P190" s="9"/>
      <c r="Q190" s="10"/>
      <c r="R190" s="10"/>
      <c r="S190" s="10"/>
      <c r="T190" s="10"/>
      <c r="U190" s="10"/>
      <c r="V190" s="10"/>
      <c r="W190" s="10"/>
    </row>
    <row r="191" spans="1:23" ht="12.75">
      <c r="A191" s="11"/>
      <c r="B191" s="10"/>
      <c r="C191" s="10"/>
      <c r="D191" s="10"/>
      <c r="E191" s="10"/>
      <c r="F191" s="10"/>
      <c r="G191" s="10"/>
      <c r="H191" s="10"/>
      <c r="I191" s="10"/>
      <c r="J191" s="10"/>
      <c r="K191" s="9"/>
      <c r="L191" s="9"/>
      <c r="M191" s="9"/>
      <c r="N191" s="9"/>
      <c r="O191" s="9"/>
      <c r="P191" s="9"/>
      <c r="Q191" s="10"/>
      <c r="R191" s="10"/>
      <c r="S191" s="10"/>
      <c r="T191" s="10"/>
      <c r="U191" s="10"/>
      <c r="V191" s="10"/>
      <c r="W191" s="10"/>
    </row>
    <row r="192" spans="1:23" ht="12.75">
      <c r="A192" s="11"/>
      <c r="B192" s="10"/>
      <c r="C192" s="10"/>
      <c r="D192" s="10"/>
      <c r="E192" s="10"/>
      <c r="F192" s="10"/>
      <c r="G192" s="10"/>
      <c r="H192" s="10"/>
      <c r="I192" s="10"/>
      <c r="J192" s="10"/>
      <c r="K192" s="9"/>
      <c r="L192" s="9"/>
      <c r="M192" s="9"/>
      <c r="N192" s="9"/>
      <c r="O192" s="9"/>
      <c r="P192" s="9"/>
      <c r="Q192" s="10"/>
      <c r="R192" s="10"/>
      <c r="S192" s="10"/>
      <c r="T192" s="10"/>
      <c r="U192" s="10"/>
      <c r="V192" s="10"/>
      <c r="W192" s="10"/>
    </row>
    <row r="193" spans="1:23" ht="12.75">
      <c r="A193" s="11"/>
      <c r="B193" s="10"/>
      <c r="C193" s="10"/>
      <c r="D193" s="10"/>
      <c r="E193" s="10"/>
      <c r="F193" s="10"/>
      <c r="G193" s="10"/>
      <c r="H193" s="10"/>
      <c r="I193" s="10"/>
      <c r="J193" s="10"/>
      <c r="K193" s="9"/>
      <c r="L193" s="9"/>
      <c r="M193" s="9"/>
      <c r="N193" s="9"/>
      <c r="O193" s="9"/>
      <c r="P193" s="9"/>
      <c r="Q193" s="10"/>
      <c r="R193" s="10"/>
      <c r="S193" s="10"/>
      <c r="T193" s="10"/>
      <c r="U193" s="10"/>
      <c r="V193" s="10"/>
      <c r="W193" s="10"/>
    </row>
    <row r="194" spans="1:23" ht="12.75">
      <c r="A194" s="11"/>
      <c r="B194" s="10"/>
      <c r="C194" s="10"/>
      <c r="D194" s="10"/>
      <c r="E194" s="10"/>
      <c r="F194" s="10"/>
      <c r="G194" s="10"/>
      <c r="H194" s="10"/>
      <c r="I194" s="10"/>
      <c r="J194" s="10"/>
      <c r="K194" s="9"/>
      <c r="L194" s="9"/>
      <c r="M194" s="9"/>
      <c r="N194" s="9"/>
      <c r="O194" s="9"/>
      <c r="P194" s="9"/>
      <c r="Q194" s="10"/>
      <c r="R194" s="10"/>
      <c r="S194" s="10"/>
      <c r="T194" s="10"/>
      <c r="U194" s="10"/>
      <c r="V194" s="10"/>
      <c r="W194" s="10"/>
    </row>
    <row r="195" spans="1:23" ht="12.75">
      <c r="A195" s="11"/>
      <c r="B195" s="10"/>
      <c r="C195" s="10"/>
      <c r="D195" s="10"/>
      <c r="E195" s="10"/>
      <c r="F195" s="10"/>
      <c r="G195" s="10"/>
      <c r="H195" s="10"/>
      <c r="I195" s="10"/>
      <c r="J195" s="10"/>
      <c r="K195" s="9"/>
      <c r="L195" s="9"/>
      <c r="M195" s="9"/>
      <c r="N195" s="9"/>
      <c r="O195" s="9"/>
      <c r="P195" s="9"/>
      <c r="Q195" s="10"/>
      <c r="R195" s="10"/>
      <c r="S195" s="10"/>
      <c r="T195" s="10"/>
      <c r="U195" s="10"/>
      <c r="V195" s="10"/>
      <c r="W195" s="10"/>
    </row>
    <row r="196" spans="1:23" ht="12.75">
      <c r="A196" s="11"/>
      <c r="B196" s="10"/>
      <c r="C196" s="10"/>
      <c r="D196" s="10"/>
      <c r="E196" s="10"/>
      <c r="F196" s="10"/>
      <c r="G196" s="10"/>
      <c r="H196" s="10"/>
      <c r="I196" s="10"/>
      <c r="J196" s="10"/>
      <c r="K196" s="9"/>
      <c r="L196" s="9"/>
      <c r="M196" s="9"/>
      <c r="N196" s="9"/>
      <c r="O196" s="9"/>
      <c r="P196" s="9"/>
      <c r="Q196" s="10"/>
      <c r="R196" s="10"/>
      <c r="S196" s="10"/>
      <c r="T196" s="10"/>
      <c r="U196" s="10"/>
      <c r="V196" s="10"/>
      <c r="W196" s="10"/>
    </row>
    <row r="197" spans="1:23" ht="12.75">
      <c r="A197" s="11"/>
      <c r="B197" s="10"/>
      <c r="C197" s="10"/>
      <c r="D197" s="10"/>
      <c r="E197" s="10"/>
      <c r="F197" s="10"/>
      <c r="G197" s="10"/>
      <c r="H197" s="10"/>
      <c r="I197" s="10"/>
      <c r="J197" s="10"/>
      <c r="K197" s="9"/>
      <c r="L197" s="9"/>
      <c r="M197" s="9"/>
      <c r="N197" s="9"/>
      <c r="O197" s="9"/>
      <c r="P197" s="9"/>
      <c r="Q197" s="10"/>
      <c r="R197" s="10"/>
      <c r="S197" s="10"/>
      <c r="T197" s="10"/>
      <c r="U197" s="10"/>
      <c r="V197" s="10"/>
      <c r="W197" s="10"/>
    </row>
    <row r="198" spans="1:23" ht="12.75">
      <c r="A198" s="11"/>
      <c r="B198" s="10"/>
      <c r="C198" s="10"/>
      <c r="D198" s="10"/>
      <c r="E198" s="10"/>
      <c r="F198" s="10"/>
      <c r="G198" s="10"/>
      <c r="H198" s="10"/>
      <c r="I198" s="10"/>
      <c r="J198" s="10"/>
      <c r="K198" s="9"/>
      <c r="L198" s="9"/>
      <c r="M198" s="9"/>
      <c r="N198" s="9"/>
      <c r="O198" s="9"/>
      <c r="P198" s="9"/>
      <c r="Q198" s="10"/>
      <c r="R198" s="10"/>
      <c r="S198" s="10"/>
      <c r="T198" s="10"/>
      <c r="U198" s="10"/>
      <c r="V198" s="10"/>
      <c r="W198" s="10"/>
    </row>
    <row r="199" spans="1:23" ht="12.75">
      <c r="A199" s="11"/>
      <c r="B199" s="10"/>
      <c r="C199" s="10"/>
      <c r="D199" s="10"/>
      <c r="E199" s="10"/>
      <c r="F199" s="10"/>
      <c r="G199" s="10"/>
      <c r="H199" s="10"/>
      <c r="I199" s="10"/>
      <c r="J199" s="10"/>
      <c r="K199" s="9"/>
      <c r="L199" s="9"/>
      <c r="M199" s="9"/>
      <c r="N199" s="9"/>
      <c r="O199" s="9"/>
      <c r="P199" s="9"/>
      <c r="Q199" s="10"/>
      <c r="R199" s="10"/>
      <c r="S199" s="10"/>
      <c r="T199" s="10"/>
      <c r="U199" s="10"/>
      <c r="V199" s="10"/>
      <c r="W199" s="10"/>
    </row>
    <row r="200" spans="1:23" ht="12.75">
      <c r="A200" s="11"/>
      <c r="B200" s="10"/>
      <c r="C200" s="10"/>
      <c r="D200" s="10"/>
      <c r="E200" s="10"/>
      <c r="F200" s="10"/>
      <c r="G200" s="10"/>
      <c r="H200" s="10"/>
      <c r="I200" s="10"/>
      <c r="J200" s="10"/>
      <c r="K200" s="9"/>
      <c r="L200" s="9"/>
      <c r="M200" s="9"/>
      <c r="N200" s="9"/>
      <c r="O200" s="9"/>
      <c r="P200" s="9"/>
      <c r="Q200" s="10"/>
      <c r="R200" s="10"/>
      <c r="S200" s="10"/>
      <c r="T200" s="10"/>
      <c r="U200" s="10"/>
      <c r="V200" s="10"/>
      <c r="W200" s="10"/>
    </row>
    <row r="201" spans="1:23" ht="12.75">
      <c r="A201" s="11"/>
      <c r="B201" s="10"/>
      <c r="C201" s="10"/>
      <c r="D201" s="10"/>
      <c r="E201" s="10"/>
      <c r="F201" s="10"/>
      <c r="G201" s="10"/>
      <c r="H201" s="10"/>
      <c r="I201" s="10"/>
      <c r="J201" s="10"/>
      <c r="K201" s="9"/>
      <c r="L201" s="9"/>
      <c r="M201" s="9"/>
      <c r="N201" s="9"/>
      <c r="O201" s="9"/>
      <c r="P201" s="9"/>
      <c r="Q201" s="10"/>
      <c r="R201" s="10"/>
      <c r="S201" s="10"/>
      <c r="T201" s="10"/>
      <c r="U201" s="10"/>
      <c r="V201" s="10"/>
      <c r="W201" s="10"/>
    </row>
    <row r="202" spans="1:23" ht="12.75">
      <c r="A202" s="11"/>
      <c r="B202" s="10"/>
      <c r="C202" s="10"/>
      <c r="D202" s="10"/>
      <c r="E202" s="10"/>
      <c r="F202" s="10"/>
      <c r="G202" s="10"/>
      <c r="H202" s="10"/>
      <c r="I202" s="10"/>
      <c r="J202" s="10"/>
      <c r="K202" s="9"/>
      <c r="L202" s="9"/>
      <c r="M202" s="9"/>
      <c r="N202" s="9"/>
      <c r="O202" s="9"/>
      <c r="P202" s="9"/>
      <c r="Q202" s="10"/>
      <c r="R202" s="10"/>
      <c r="S202" s="10"/>
      <c r="T202" s="10"/>
      <c r="U202" s="10"/>
      <c r="V202" s="10"/>
      <c r="W202" s="10"/>
    </row>
    <row r="203" spans="1:23" ht="12.75">
      <c r="A203" s="11"/>
      <c r="B203" s="10"/>
      <c r="C203" s="10"/>
      <c r="D203" s="10"/>
      <c r="E203" s="10"/>
      <c r="F203" s="10"/>
      <c r="G203" s="10"/>
      <c r="H203" s="10"/>
      <c r="I203" s="10"/>
      <c r="J203" s="10"/>
      <c r="K203" s="9"/>
      <c r="L203" s="9"/>
      <c r="M203" s="9"/>
      <c r="N203" s="9"/>
      <c r="O203" s="9"/>
      <c r="P203" s="9"/>
      <c r="Q203" s="10"/>
      <c r="R203" s="10"/>
      <c r="S203" s="10"/>
      <c r="T203" s="10"/>
      <c r="U203" s="10"/>
      <c r="V203" s="10"/>
      <c r="W203" s="10"/>
    </row>
    <row r="204" spans="1:23" ht="12.75">
      <c r="A204" s="11"/>
      <c r="B204" s="10"/>
      <c r="C204" s="10"/>
      <c r="D204" s="10"/>
      <c r="E204" s="10"/>
      <c r="F204" s="10"/>
      <c r="G204" s="10"/>
      <c r="H204" s="10"/>
      <c r="I204" s="10"/>
      <c r="J204" s="10"/>
      <c r="K204" s="9"/>
      <c r="L204" s="9"/>
      <c r="M204" s="9"/>
      <c r="N204" s="9"/>
      <c r="O204" s="9"/>
      <c r="P204" s="9"/>
      <c r="Q204" s="10"/>
      <c r="R204" s="10"/>
      <c r="S204" s="10"/>
      <c r="T204" s="10"/>
      <c r="U204" s="10"/>
      <c r="V204" s="10"/>
      <c r="W204" s="10"/>
    </row>
    <row r="205" spans="1:23" ht="12.75">
      <c r="A205" s="11"/>
      <c r="B205" s="10"/>
      <c r="C205" s="10"/>
      <c r="D205" s="10"/>
      <c r="E205" s="10"/>
      <c r="F205" s="10"/>
      <c r="G205" s="10"/>
      <c r="H205" s="10"/>
      <c r="I205" s="10"/>
      <c r="J205" s="10"/>
      <c r="K205" s="9"/>
      <c r="L205" s="9"/>
      <c r="M205" s="9"/>
      <c r="N205" s="9"/>
      <c r="O205" s="9"/>
      <c r="P205" s="9"/>
      <c r="Q205" s="10"/>
      <c r="R205" s="10"/>
      <c r="S205" s="10"/>
      <c r="T205" s="10"/>
      <c r="U205" s="10"/>
      <c r="V205" s="10"/>
      <c r="W205" s="10"/>
    </row>
    <row r="206" spans="1:23" ht="12.75">
      <c r="A206" s="11"/>
      <c r="B206" s="10"/>
      <c r="C206" s="10"/>
      <c r="D206" s="10"/>
      <c r="E206" s="10"/>
      <c r="F206" s="10"/>
      <c r="G206" s="10"/>
      <c r="H206" s="10"/>
      <c r="I206" s="10"/>
      <c r="J206" s="10"/>
      <c r="K206" s="9"/>
      <c r="L206" s="9"/>
      <c r="M206" s="9"/>
      <c r="N206" s="9"/>
      <c r="O206" s="9"/>
      <c r="P206" s="9"/>
      <c r="Q206" s="10"/>
      <c r="R206" s="10"/>
      <c r="S206" s="10"/>
      <c r="T206" s="10"/>
      <c r="U206" s="10"/>
      <c r="V206" s="10"/>
      <c r="W206" s="10"/>
    </row>
    <row r="207" spans="1:23" ht="12.75">
      <c r="A207" s="11"/>
      <c r="B207" s="10"/>
      <c r="C207" s="10"/>
      <c r="D207" s="10"/>
      <c r="E207" s="10"/>
      <c r="F207" s="10"/>
      <c r="G207" s="10"/>
      <c r="H207" s="10"/>
      <c r="I207" s="10"/>
      <c r="J207" s="10"/>
      <c r="K207" s="9"/>
      <c r="L207" s="9"/>
      <c r="M207" s="9"/>
      <c r="N207" s="9"/>
      <c r="O207" s="9"/>
      <c r="P207" s="9"/>
      <c r="Q207" s="10"/>
      <c r="R207" s="10"/>
      <c r="S207" s="10"/>
      <c r="T207" s="10"/>
      <c r="U207" s="10"/>
      <c r="V207" s="10"/>
      <c r="W207" s="10"/>
    </row>
    <row r="208" spans="1:23" ht="12.75">
      <c r="A208" s="11"/>
      <c r="B208" s="10"/>
      <c r="C208" s="10"/>
      <c r="D208" s="10"/>
      <c r="E208" s="10"/>
      <c r="F208" s="10"/>
      <c r="G208" s="10"/>
      <c r="H208" s="10"/>
      <c r="I208" s="10"/>
      <c r="J208" s="10"/>
      <c r="K208" s="9"/>
      <c r="L208" s="9"/>
      <c r="M208" s="9"/>
      <c r="N208" s="9"/>
      <c r="O208" s="9"/>
      <c r="P208" s="9"/>
      <c r="Q208" s="10"/>
      <c r="R208" s="10"/>
      <c r="S208" s="10"/>
      <c r="T208" s="10"/>
      <c r="U208" s="10"/>
      <c r="V208" s="10"/>
      <c r="W208" s="10"/>
    </row>
    <row r="209" spans="1:23" ht="12.75">
      <c r="A209" s="11"/>
      <c r="B209" s="10"/>
      <c r="C209" s="10"/>
      <c r="D209" s="10"/>
      <c r="E209" s="10"/>
      <c r="F209" s="10"/>
      <c r="G209" s="10"/>
      <c r="H209" s="10"/>
      <c r="I209" s="10"/>
      <c r="J209" s="10"/>
      <c r="K209" s="9"/>
      <c r="L209" s="9"/>
      <c r="M209" s="9"/>
      <c r="N209" s="9"/>
      <c r="O209" s="9"/>
      <c r="P209" s="9"/>
      <c r="Q209" s="10"/>
      <c r="R209" s="10"/>
      <c r="S209" s="10"/>
      <c r="T209" s="10"/>
      <c r="U209" s="10"/>
      <c r="V209" s="10"/>
      <c r="W209" s="10"/>
    </row>
    <row r="210" spans="1:23" ht="12.75">
      <c r="A210" s="11"/>
      <c r="B210" s="10"/>
      <c r="C210" s="10"/>
      <c r="D210" s="10"/>
      <c r="E210" s="10"/>
      <c r="F210" s="10"/>
      <c r="G210" s="10"/>
      <c r="H210" s="10"/>
      <c r="I210" s="10"/>
      <c r="J210" s="10"/>
      <c r="K210" s="9"/>
      <c r="L210" s="9"/>
      <c r="M210" s="9"/>
      <c r="N210" s="9"/>
      <c r="O210" s="9"/>
      <c r="P210" s="9"/>
      <c r="Q210" s="10"/>
      <c r="R210" s="10"/>
      <c r="S210" s="10"/>
      <c r="T210" s="10"/>
      <c r="U210" s="10"/>
      <c r="V210" s="10"/>
      <c r="W210" s="10"/>
    </row>
    <row r="211" spans="1:23" ht="12.75">
      <c r="A211" s="11"/>
      <c r="B211" s="10"/>
      <c r="C211" s="10"/>
      <c r="D211" s="10"/>
      <c r="E211" s="10"/>
      <c r="F211" s="10"/>
      <c r="G211" s="10"/>
      <c r="H211" s="10"/>
      <c r="I211" s="10"/>
      <c r="J211" s="10"/>
      <c r="K211" s="9"/>
      <c r="L211" s="9"/>
      <c r="M211" s="9"/>
      <c r="N211" s="9"/>
      <c r="O211" s="9"/>
      <c r="P211" s="9"/>
      <c r="Q211" s="10"/>
      <c r="R211" s="10"/>
      <c r="S211" s="10"/>
      <c r="T211" s="10"/>
      <c r="U211" s="10"/>
      <c r="V211" s="10"/>
      <c r="W211" s="10"/>
    </row>
    <row r="212" spans="1:23" ht="12.75">
      <c r="A212" s="11"/>
      <c r="B212" s="10"/>
      <c r="C212" s="10"/>
      <c r="D212" s="10"/>
      <c r="E212" s="10"/>
      <c r="F212" s="10"/>
      <c r="G212" s="10"/>
      <c r="H212" s="10"/>
      <c r="I212" s="10"/>
      <c r="J212" s="10"/>
      <c r="K212" s="9"/>
      <c r="L212" s="9"/>
      <c r="M212" s="9"/>
      <c r="N212" s="9"/>
      <c r="O212" s="9"/>
      <c r="P212" s="9"/>
      <c r="Q212" s="10"/>
      <c r="R212" s="10"/>
      <c r="S212" s="10"/>
      <c r="T212" s="10"/>
      <c r="U212" s="10"/>
      <c r="V212" s="10"/>
      <c r="W212" s="10"/>
    </row>
    <row r="213" spans="1:23" ht="12.75">
      <c r="A213" s="11"/>
      <c r="B213" s="10"/>
      <c r="C213" s="10"/>
      <c r="D213" s="10"/>
      <c r="E213" s="10"/>
      <c r="F213" s="10"/>
      <c r="G213" s="10"/>
      <c r="H213" s="10"/>
      <c r="I213" s="10"/>
      <c r="J213" s="10"/>
      <c r="K213" s="9"/>
      <c r="L213" s="9"/>
      <c r="M213" s="9"/>
      <c r="N213" s="9"/>
      <c r="O213" s="9"/>
      <c r="P213" s="9"/>
      <c r="Q213" s="10"/>
      <c r="R213" s="10"/>
      <c r="S213" s="10"/>
      <c r="T213" s="10"/>
      <c r="U213" s="10"/>
      <c r="V213" s="10"/>
      <c r="W213" s="10"/>
    </row>
    <row r="214" spans="1:23" ht="12.75">
      <c r="A214" s="11"/>
      <c r="B214" s="10"/>
      <c r="C214" s="10"/>
      <c r="D214" s="10"/>
      <c r="E214" s="10"/>
      <c r="F214" s="10"/>
      <c r="G214" s="10"/>
      <c r="H214" s="10"/>
      <c r="I214" s="10"/>
      <c r="J214" s="10"/>
      <c r="K214" s="9"/>
      <c r="L214" s="9"/>
      <c r="M214" s="9"/>
      <c r="N214" s="9"/>
      <c r="O214" s="9"/>
      <c r="P214" s="9"/>
      <c r="Q214" s="10"/>
      <c r="R214" s="10"/>
      <c r="S214" s="10"/>
      <c r="T214" s="10"/>
      <c r="U214" s="10"/>
      <c r="V214" s="10"/>
      <c r="W214" s="10"/>
    </row>
    <row r="215" spans="1:23" ht="12.75">
      <c r="A215" s="11"/>
      <c r="B215" s="10"/>
      <c r="C215" s="10"/>
      <c r="D215" s="10"/>
      <c r="E215" s="10"/>
      <c r="F215" s="10"/>
      <c r="G215" s="10"/>
      <c r="H215" s="10"/>
      <c r="I215" s="10"/>
      <c r="J215" s="10"/>
      <c r="K215" s="9"/>
      <c r="L215" s="9"/>
      <c r="M215" s="9"/>
      <c r="N215" s="9"/>
      <c r="O215" s="9"/>
      <c r="P215" s="9"/>
      <c r="Q215" s="10"/>
      <c r="R215" s="10"/>
      <c r="S215" s="10"/>
      <c r="T215" s="10"/>
      <c r="U215" s="10"/>
      <c r="V215" s="10"/>
      <c r="W215" s="10"/>
    </row>
    <row r="216" spans="1:23" ht="12.75">
      <c r="A216" s="1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ht="12.75">
      <c r="A217" s="1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12.75">
      <c r="A218" s="11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ht="12.75">
      <c r="A219" s="1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ht="12.75">
      <c r="A220" s="1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ht="12.75">
      <c r="A221" s="1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ht="12.75">
      <c r="A222" s="1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ht="12.75">
      <c r="A223" s="11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ht="12.75">
      <c r="A224" s="1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ht="12.75">
      <c r="A225" s="1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ht="12.75">
      <c r="A226" s="1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ht="12.75">
      <c r="A227" s="11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ht="12.75">
      <c r="A228" s="1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ht="12.75">
      <c r="A229" s="1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ht="12.75">
      <c r="A230" s="1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ht="12.75">
      <c r="A231" s="11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ht="12.75">
      <c r="A232" s="1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ht="12.75">
      <c r="A233" s="1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ht="12.75">
      <c r="A234" s="1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ht="12.75">
      <c r="A235" s="1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ht="12.75">
      <c r="A236" s="1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ht="12.75">
      <c r="A237" s="1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ht="12.75">
      <c r="A238" s="1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ht="12.75">
      <c r="A239" s="1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ht="12.75">
      <c r="A240" s="1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ht="12.75">
      <c r="A241" s="1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ht="12.75">
      <c r="A242" s="1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ht="12.75">
      <c r="A243" s="1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ht="12.75">
      <c r="A244" s="1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ht="12.75">
      <c r="A245" s="1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ht="12.75">
      <c r="A246" s="1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ht="12.75">
      <c r="A247" s="1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ht="12.75">
      <c r="A248" s="1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ht="12.75">
      <c r="A249" s="11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ht="12.75">
      <c r="A250" s="1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ht="12.75">
      <c r="A251" s="1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ht="12.75">
      <c r="A252" s="1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ht="12.75">
      <c r="A253" s="11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ht="12.75">
      <c r="A254" s="1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ht="12.75">
      <c r="A255" s="1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ht="12.75">
      <c r="A256" s="11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ht="12.75">
      <c r="A257" s="1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ht="12.75">
      <c r="A258" s="1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ht="12.75">
      <c r="A259" s="11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ht="12.75">
      <c r="A260" s="1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2.75">
      <c r="A261" s="1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ht="12.75">
      <c r="A262" s="1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ht="12.75">
      <c r="A263" s="1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ht="12.75">
      <c r="A264" s="1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ht="12.75">
      <c r="A265" s="11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ht="12.75">
      <c r="A266" s="1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ht="12.75">
      <c r="A267" s="11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ht="12.75">
      <c r="A268" s="1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ht="12.75">
      <c r="A269" s="1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ht="12.75">
      <c r="A270" s="1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ht="12.75">
      <c r="A271" s="11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ht="12.75">
      <c r="A272" s="1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ht="12.75">
      <c r="A273" s="1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ht="12.75">
      <c r="A274" s="11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ht="12.75">
      <c r="A275" s="1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ht="12.75">
      <c r="A276" s="1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ht="12.75">
      <c r="A277" s="1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ht="12.75">
      <c r="A278" s="1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ht="12.75">
      <c r="A279" s="1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ht="12.75">
      <c r="A280" s="1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ht="12.75">
      <c r="A281" s="1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ht="12.75">
      <c r="A282" s="1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ht="12.75">
      <c r="A283" s="1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ht="12.75">
      <c r="A284" s="1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ht="12.75">
      <c r="A285" s="11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ht="12.75">
      <c r="A286" s="1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ht="12.75">
      <c r="A287" s="1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ht="12.75">
      <c r="A288" s="1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ht="12.75">
      <c r="A289" s="1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ht="12.75">
      <c r="A290" s="1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ht="12.75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ht="12.75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ht="12.75">
      <c r="A293" s="1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ht="12.75">
      <c r="A294" s="1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ht="12.75">
      <c r="A295" s="1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ht="12.75">
      <c r="A296" s="1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ht="12.75">
      <c r="A297" s="1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ht="12.75">
      <c r="A298" s="1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ht="12.75">
      <c r="A299" s="1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ht="12.75">
      <c r="A300" s="1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ht="12.75">
      <c r="A301" s="1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ht="12.75">
      <c r="A302" s="1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ht="12.75">
      <c r="A303" s="11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ht="12.75">
      <c r="A304" s="1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ht="12.75">
      <c r="A305" s="1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ht="12.75">
      <c r="A306" s="1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ht="12.75">
      <c r="A307" s="1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ht="12.75">
      <c r="A308" s="1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ht="12.75">
      <c r="A309" s="1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ht="12.75">
      <c r="A310" s="1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ht="12.75">
      <c r="A311" s="1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ht="12.75">
      <c r="A312" s="11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ht="12.75">
      <c r="A313" s="11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ht="12.75">
      <c r="A314" s="1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ht="12.75">
      <c r="A315" s="11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ht="12.75">
      <c r="A316" s="1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ht="12.75">
      <c r="A317" s="1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ht="12.75">
      <c r="A318" s="1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2.75">
      <c r="A319" s="1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2.75">
      <c r="A320" s="1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2.75">
      <c r="A321" s="1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2.75">
      <c r="A322" s="1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2.75">
      <c r="A323" s="1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2.75">
      <c r="A324" s="1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2.75">
      <c r="A325" s="1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2.75">
      <c r="A326" s="11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2.75">
      <c r="A327" s="1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2.75">
      <c r="A328" s="1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2.75">
      <c r="A329" s="1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2.75">
      <c r="A330" s="11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2.75">
      <c r="A331" s="1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2.75">
      <c r="A332" s="1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2.75">
      <c r="A333" s="1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2.75">
      <c r="A334" s="1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2.75">
      <c r="A335" s="1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2.75">
      <c r="A336" s="11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2.75">
      <c r="A337" s="1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2.75">
      <c r="A338" s="11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2.75">
      <c r="A339" s="1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ht="12.75">
      <c r="A340" s="1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ht="12.75">
      <c r="A341" s="1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ht="12.75">
      <c r="A342" s="11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ht="12.75">
      <c r="A343" s="11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ht="12.75">
      <c r="A344" s="11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ht="12.75">
      <c r="A345" s="11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ht="12.75">
      <c r="A346" s="11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ht="12.75">
      <c r="A347" s="1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ht="12.75">
      <c r="A348" s="1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ht="12.75">
      <c r="A349" s="1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ht="12.75">
      <c r="A350" s="11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ht="12.75">
      <c r="A351" s="1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ht="12.75">
      <c r="A352" s="11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ht="12.75">
      <c r="A353" s="1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ht="12.75">
      <c r="A354" s="11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ht="12.75">
      <c r="A355" s="11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ht="12.75">
      <c r="A356" s="11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ht="12.75">
      <c r="A357" s="11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ht="12.75">
      <c r="A358" s="11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ht="12.75">
      <c r="A359" s="11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ht="12.75">
      <c r="A360" s="11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ht="12.75">
      <c r="A361" s="11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ht="12.75">
      <c r="A362" s="11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ht="12.75">
      <c r="A363" s="11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ht="12.75">
      <c r="A364" s="11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ht="12.75">
      <c r="A365" s="11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ht="12.75">
      <c r="A366" s="11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ht="12.75">
      <c r="A367" s="11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ht="12.75">
      <c r="A368" s="11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ht="12.75">
      <c r="A369" s="11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ht="12.75">
      <c r="A370" s="11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ht="12.75">
      <c r="A371" s="1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ht="12.75">
      <c r="A372" s="11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ht="12.75">
      <c r="A373" s="11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ht="12.75">
      <c r="A374" s="11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ht="12.75">
      <c r="A375" s="11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ht="12.75">
      <c r="A376" s="11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ht="12.75">
      <c r="A377" s="11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ht="12.75">
      <c r="A378" s="11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ht="12.75">
      <c r="A379" s="11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ht="12.75">
      <c r="A380" s="11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ht="12.75">
      <c r="A381" s="11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ht="12.75">
      <c r="A382" s="11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ht="12.75">
      <c r="A383" s="11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ht="12.75">
      <c r="A384" s="11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ht="12.75">
      <c r="A385" s="11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ht="12.75">
      <c r="A386" s="11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ht="12.75">
      <c r="A387" s="11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ht="12.75">
      <c r="A388" s="11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ht="12.75">
      <c r="A389" s="11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ht="12.75">
      <c r="A390" s="11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ht="12.75">
      <c r="A391" s="11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ht="12.75">
      <c r="A392" s="11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ht="12.75">
      <c r="A393" s="11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ht="12.75">
      <c r="A394" s="11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ht="12.75">
      <c r="A395" s="11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ht="12.75">
      <c r="A396" s="11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ht="12.75">
      <c r="A397" s="11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ht="12.75">
      <c r="A398" s="11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ht="12.75">
      <c r="A399" s="11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ht="12.75">
      <c r="A400" s="11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ht="12.75">
      <c r="A401" s="11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ht="12.75">
      <c r="A402" s="11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ht="12.75">
      <c r="A403" s="11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ht="12.75">
      <c r="A404" s="11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ht="12.75">
      <c r="A405" s="11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ht="12.75">
      <c r="A406" s="11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ht="12.75">
      <c r="A407" s="11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ht="12.75">
      <c r="A408" s="11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ht="12.75">
      <c r="A409" s="11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ht="12.75">
      <c r="A410" s="11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ht="12.75">
      <c r="A411" s="11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ht="12.75">
      <c r="A412" s="11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ht="12.75">
      <c r="A413" s="11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ht="12.75">
      <c r="A414" s="11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ht="12.75">
      <c r="A415" s="11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ht="12.75">
      <c r="A416" s="11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ht="12.75">
      <c r="A417" s="11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ht="12.75">
      <c r="A418" s="11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ht="12.75">
      <c r="A419" s="11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ht="12.75">
      <c r="A420" s="11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ht="12.75">
      <c r="A421" s="11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ht="12.75">
      <c r="A422" s="11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ht="12.75">
      <c r="A423" s="11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ht="12.75">
      <c r="A424" s="11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ht="12.75">
      <c r="A425" s="11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ht="12.75">
      <c r="A426" s="11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ht="12.75">
      <c r="A427" s="11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ht="12.75">
      <c r="A428" s="11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ht="12.75">
      <c r="A429" s="11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ht="12.75">
      <c r="A430" s="11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ht="12.75">
      <c r="A431" s="11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ht="12.75">
      <c r="A432" s="11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ht="12.75">
      <c r="A433" s="11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ht="12.75">
      <c r="A434" s="11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ht="12.75">
      <c r="A435" s="11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ht="12.75">
      <c r="A436" s="11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ht="12.75">
      <c r="A437" s="11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ht="12.75">
      <c r="A438" s="11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ht="12.75">
      <c r="A439" s="11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ht="12.75">
      <c r="A440" s="11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ht="12.75">
      <c r="A441" s="11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ht="12.75">
      <c r="A442" s="11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ht="12.75">
      <c r="A443" s="11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ht="12.75">
      <c r="A444" s="11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ht="12.75">
      <c r="A445" s="11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ht="12.75">
      <c r="A446" s="11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ht="12.75">
      <c r="A447" s="11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ht="12.75">
      <c r="A448" s="11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ht="12.75">
      <c r="A449" s="11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ht="12.75">
      <c r="A450" s="11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ht="12.75">
      <c r="A451" s="11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ht="12.75">
      <c r="A452" s="11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ht="12.75">
      <c r="A453" s="11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ht="12.75">
      <c r="A454" s="11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ht="12.75">
      <c r="A455" s="11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ht="12.75">
      <c r="A456" s="11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ht="12.75">
      <c r="A457" s="11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ht="12.75">
      <c r="A458" s="11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ht="12.75">
      <c r="A459" s="11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ht="12.75">
      <c r="A460" s="11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ht="12.75">
      <c r="A461" s="11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ht="12.75">
      <c r="A462" s="11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ht="12.75">
      <c r="A463" s="11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ht="12.75">
      <c r="A464" s="11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ht="12.75">
      <c r="A465" s="11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ht="12.75">
      <c r="A466" s="11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ht="12.75">
      <c r="A467" s="11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ht="12.75">
      <c r="A468" s="11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ht="12.75">
      <c r="A469" s="11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ht="12.75">
      <c r="A470" s="11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ht="12.75">
      <c r="A471" s="11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ht="12.75">
      <c r="A472" s="11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ht="12.75">
      <c r="A473" s="11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ht="12.75">
      <c r="A474" s="11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ht="12.75">
      <c r="A475" s="11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ht="12.75">
      <c r="A476" s="11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ht="12.75">
      <c r="A477" s="11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ht="12.75">
      <c r="A478" s="11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ht="12.75">
      <c r="A479" s="11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ht="12.75">
      <c r="A480" s="11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ht="12.75">
      <c r="A481" s="11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ht="12.75">
      <c r="A482" s="11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ht="12.75">
      <c r="A483" s="11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ht="12.75">
      <c r="A484" s="11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ht="12.75">
      <c r="A485" s="11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ht="12.75">
      <c r="A486" s="11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ht="12.75">
      <c r="A487" s="11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ht="12.75">
      <c r="A488" s="11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ht="12.75">
      <c r="A489" s="11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ht="12.75">
      <c r="A490" s="11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ht="12.75">
      <c r="A491" s="11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ht="12.75">
      <c r="A492" s="11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ht="12.75">
      <c r="A493" s="11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ht="12.75">
      <c r="A494" s="11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ht="12.75">
      <c r="A495" s="11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ht="12.75">
      <c r="A496" s="11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ht="12.75">
      <c r="A497" s="11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ht="12.75">
      <c r="A498" s="11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ht="12.75">
      <c r="A499" s="11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ht="12.75">
      <c r="A500" s="11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ht="12.75">
      <c r="A501" s="11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ht="12.75">
      <c r="A502" s="11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ht="12.75">
      <c r="A503" s="11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ht="12.75">
      <c r="A504" s="11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ht="12.75">
      <c r="A505" s="11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ht="12.75">
      <c r="A506" s="11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ht="12.75">
      <c r="A507" s="11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ht="12.75">
      <c r="A508" s="11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ht="12.75">
      <c r="A509" s="11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ht="12.75">
      <c r="A510" s="11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ht="12.75">
      <c r="A511" s="11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ht="12.75">
      <c r="A512" s="11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ht="12.75">
      <c r="A513" s="11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ht="12.75">
      <c r="A514" s="11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ht="12.75">
      <c r="A515" s="11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ht="12.75">
      <c r="A516" s="11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ht="12.75">
      <c r="A517" s="11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ht="12.75">
      <c r="A518" s="11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ht="12.75">
      <c r="A519" s="11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ht="12.75">
      <c r="A520" s="11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ht="12.75">
      <c r="A521" s="11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ht="12.75">
      <c r="A522" s="11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ht="12.75">
      <c r="A523" s="11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ht="12.75">
      <c r="A524" s="11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spans="1:23" ht="12.75">
      <c r="A525" s="11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ht="12.75">
      <c r="A526" s="11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ht="12.75">
      <c r="A527" s="11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ht="12.75">
      <c r="A528" s="11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3" ht="12.75">
      <c r="A529" s="11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spans="1:23" ht="12.75">
      <c r="A530" s="11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ht="12.75">
      <c r="A531" s="11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ht="12.75">
      <c r="A532" s="11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</sheetData>
  <sheetProtection/>
  <printOptions/>
  <pageMargins left="0.52" right="0.58" top="0.41" bottom="0.4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Egedal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 Berg</dc:creator>
  <cp:keywords/>
  <dc:description/>
  <cp:lastModifiedBy>Lisbeth Berg</cp:lastModifiedBy>
  <cp:lastPrinted>2008-09-01T12:51:39Z</cp:lastPrinted>
  <dcterms:created xsi:type="dcterms:W3CDTF">2008-07-01T07:11:56Z</dcterms:created>
  <dcterms:modified xsi:type="dcterms:W3CDTF">2009-03-09T09:16:56Z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