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470" windowHeight="9255" activeTab="2"/>
  </bookViews>
  <sheets>
    <sheet name="Energiforbrug2009" sheetId="1" r:id="rId1"/>
    <sheet name="Transport09" sheetId="2" r:id="rId2"/>
    <sheet name="CO2-udledning09" sheetId="3" r:id="rId3"/>
  </sheets>
  <definedNames/>
  <calcPr fullCalcOnLoad="1"/>
</workbook>
</file>

<file path=xl/sharedStrings.xml><?xml version="1.0" encoding="utf-8"?>
<sst xmlns="http://schemas.openxmlformats.org/spreadsheetml/2006/main" count="254" uniqueCount="155">
  <si>
    <t>Grønt regnskab</t>
  </si>
  <si>
    <t>Institution</t>
  </si>
  <si>
    <t>Allindelille Skole</t>
  </si>
  <si>
    <t>Asgårdsskolen</t>
  </si>
  <si>
    <t>Benløse Skole</t>
  </si>
  <si>
    <t>Dagmarskolen</t>
  </si>
  <si>
    <t>Kildeskolen</t>
  </si>
  <si>
    <t>Kværkeby Skole</t>
  </si>
  <si>
    <t>Nordbakkeskolen</t>
  </si>
  <si>
    <t>Sdr. Parkskolen</t>
  </si>
  <si>
    <t>Søholmskolen</t>
  </si>
  <si>
    <t>Valdemarskolen</t>
  </si>
  <si>
    <t>Vetterslev/Høm Skole</t>
  </si>
  <si>
    <t>Vigersted Skole</t>
  </si>
  <si>
    <t>Heldagsskolen</t>
  </si>
  <si>
    <t>Ådalsskolen</t>
  </si>
  <si>
    <t>SKOLER</t>
  </si>
  <si>
    <t>Sneslev Landbørnehave</t>
  </si>
  <si>
    <t>Benediktegårdens Børnehave</t>
  </si>
  <si>
    <t>Benløse Børnehave</t>
  </si>
  <si>
    <t>Dagmarasylets Børnehave</t>
  </si>
  <si>
    <t>Den Frie Børnehave</t>
  </si>
  <si>
    <t>Søholmen</t>
  </si>
  <si>
    <t>Børnehuset Toften</t>
  </si>
  <si>
    <t>Benløse Børnegård</t>
  </si>
  <si>
    <t>Bengerds Børnehus</t>
  </si>
  <si>
    <t>Børnehuset Heimdal</t>
  </si>
  <si>
    <t>Fælleshuset Åkanden</t>
  </si>
  <si>
    <t>Snurretoppen</t>
  </si>
  <si>
    <t>Børnehuset Kastaniehaven</t>
  </si>
  <si>
    <t>Opalen</t>
  </si>
  <si>
    <t>Ringsted Skovbørnehave</t>
  </si>
  <si>
    <t>Bøgely</t>
  </si>
  <si>
    <t>BØRNEINSTITUTIONER</t>
  </si>
  <si>
    <t>Forskel</t>
  </si>
  <si>
    <t>Teater- og Kongrescentret</t>
  </si>
  <si>
    <t>Medborgerhuset</t>
  </si>
  <si>
    <t>Bibliotek</t>
  </si>
  <si>
    <t>Musikskole</t>
  </si>
  <si>
    <t>Ungdomsskolen</t>
  </si>
  <si>
    <t>Anlægspavillionen</t>
  </si>
  <si>
    <t>Jystrup Aktivitetscenter</t>
  </si>
  <si>
    <t>Ringsted Vandrehjem</t>
  </si>
  <si>
    <t>Ørslev Fritidshus</t>
  </si>
  <si>
    <t>KULTURELLE EJENDOMME</t>
  </si>
  <si>
    <t xml:space="preserve">Ringsted Idrætsanlæg </t>
  </si>
  <si>
    <t xml:space="preserve">Ringsted Ny Svømmehal </t>
  </si>
  <si>
    <t>Zahlesvej</t>
  </si>
  <si>
    <t>Ortved</t>
  </si>
  <si>
    <t>Hækkerupsvej 1</t>
  </si>
  <si>
    <t>Ole Hansensvej 7</t>
  </si>
  <si>
    <t>Rikova</t>
  </si>
  <si>
    <t>Bjælken</t>
  </si>
  <si>
    <t>Nebs Møllegård</t>
  </si>
  <si>
    <t>MAC</t>
  </si>
  <si>
    <t>BUC</t>
  </si>
  <si>
    <t>Regnbuen</t>
  </si>
  <si>
    <t>Bo- og Servicecenteret</t>
  </si>
  <si>
    <t>Rådhuset</t>
  </si>
  <si>
    <t>Sct. Bendtsgade 8</t>
  </si>
  <si>
    <t>Nørregade 100</t>
  </si>
  <si>
    <t>Teknisk Forvaltning</t>
  </si>
  <si>
    <t xml:space="preserve"> Brand og Redning</t>
  </si>
  <si>
    <t>ADMINISTRATION</t>
  </si>
  <si>
    <t>Samlet forbrug</t>
  </si>
  <si>
    <t>Vej og Park</t>
  </si>
  <si>
    <t>Rensningsanlægget</t>
  </si>
  <si>
    <t>El</t>
  </si>
  <si>
    <t>Vand</t>
  </si>
  <si>
    <t>GDK-Varme</t>
  </si>
  <si>
    <t>(kWh)</t>
  </si>
  <si>
    <t>(m³)</t>
  </si>
  <si>
    <t xml:space="preserve">(kWh) </t>
  </si>
  <si>
    <t>Fj.varme</t>
  </si>
  <si>
    <t>Naturgas</t>
  </si>
  <si>
    <t>Olie</t>
  </si>
  <si>
    <t>Sneslev Skole</t>
  </si>
  <si>
    <t>Ørslev Skole</t>
  </si>
  <si>
    <t>Elforbrug</t>
  </si>
  <si>
    <t>KWh/år</t>
  </si>
  <si>
    <t>Kommunale bygninger</t>
  </si>
  <si>
    <t>I alt</t>
  </si>
  <si>
    <t>Ledningstab 4,8% vand</t>
  </si>
  <si>
    <t>el</t>
  </si>
  <si>
    <t>Ledningstab 18,0 % varme</t>
  </si>
  <si>
    <t>Varmeforbrug</t>
  </si>
  <si>
    <t>Tekniske anlæg</t>
  </si>
  <si>
    <t>Opvarmning</t>
  </si>
  <si>
    <t>gas</t>
  </si>
  <si>
    <t>fjernvarme</t>
  </si>
  <si>
    <t>olie</t>
  </si>
  <si>
    <t>CO2 - opvarmning</t>
  </si>
  <si>
    <t>Total</t>
  </si>
  <si>
    <t>Udledning af co2 for brændsler</t>
  </si>
  <si>
    <t>naturgas</t>
  </si>
  <si>
    <t>kg co2</t>
  </si>
  <si>
    <t>Benzin</t>
  </si>
  <si>
    <t>Diesel</t>
  </si>
  <si>
    <t>Diesel/olie</t>
  </si>
  <si>
    <t>pr. m3</t>
  </si>
  <si>
    <t>pr. liter</t>
  </si>
  <si>
    <t>g co2/kwh</t>
  </si>
  <si>
    <t>CO2 (tons/år)</t>
  </si>
  <si>
    <r>
      <t>Benzin- og dieselforbrug i ltr. til CO</t>
    </r>
    <r>
      <rPr>
        <b/>
        <vertAlign val="subscript"/>
        <sz val="13"/>
        <rFont val="Verdana"/>
        <family val="2"/>
      </rPr>
      <t>2</t>
    </r>
    <r>
      <rPr>
        <b/>
        <sz val="13"/>
        <rFont val="Verdana"/>
        <family val="2"/>
      </rPr>
      <t xml:space="preserve"> regnskabet: </t>
    </r>
  </si>
  <si>
    <t>56,78 kg co2/GJ</t>
  </si>
  <si>
    <t>Transport</t>
  </si>
  <si>
    <t>Hjemmeplejebiler</t>
  </si>
  <si>
    <t>Forbrug i alt</t>
  </si>
  <si>
    <t>CO2(tons/år)</t>
  </si>
  <si>
    <t>Liter/år</t>
  </si>
  <si>
    <t>liter/år</t>
  </si>
  <si>
    <t>Tekniske anlæg(kørsel og forbrug)</t>
  </si>
  <si>
    <t>Samlet CO2 fra El</t>
  </si>
  <si>
    <t>Standardværdi 500 g co2/kwh</t>
  </si>
  <si>
    <t>tons/år</t>
  </si>
  <si>
    <t>Konklusion</t>
  </si>
  <si>
    <t>Vand og varme admin og centralerne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</si>
  <si>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udledning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</si>
  <si>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fra varme</t>
    </r>
  </si>
  <si>
    <r>
      <t>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fra el</t>
    </r>
  </si>
  <si>
    <r>
      <t>Total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-udledning</t>
    </r>
  </si>
  <si>
    <r>
      <t>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%</t>
    </r>
  </si>
  <si>
    <t>Brændstofforbrug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</si>
  <si>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fra transport</t>
    </r>
  </si>
  <si>
    <r>
      <t>tons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/ansat/år</t>
    </r>
  </si>
  <si>
    <r>
      <t>tons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/borger/år</t>
    </r>
  </si>
  <si>
    <r>
      <t>tons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/år</t>
    </r>
  </si>
  <si>
    <t xml:space="preserve">Med 32544 indbyggere i kommunen bliver emission pr. borger </t>
  </si>
  <si>
    <t>taget fra Energinet.dk incl. nettab</t>
  </si>
  <si>
    <t>Nordbakkens Børnehus</t>
  </si>
  <si>
    <t>Vigersted fritidshjem (Børnehave)</t>
  </si>
  <si>
    <t>Røde Kors Børnehave</t>
  </si>
  <si>
    <t>Sct.Georggårdens Børnehave</t>
  </si>
  <si>
    <t>Bjergbakken Børnehave</t>
  </si>
  <si>
    <t>Klostermarken Børnehus</t>
  </si>
  <si>
    <t>Højbohus børnehave og vuggestue</t>
  </si>
  <si>
    <t>Børnehuset Stakhavegård</t>
  </si>
  <si>
    <t>Vigersted Børnehus</t>
  </si>
  <si>
    <t>Sct. Bendts børnehave</t>
  </si>
  <si>
    <t>Tinsoldaten</t>
  </si>
  <si>
    <t>Forbrug 2009</t>
  </si>
  <si>
    <t>Fjernvarme-2008</t>
  </si>
  <si>
    <t>Fjernvarme-2009</t>
  </si>
  <si>
    <t>Knud Lavard Centret</t>
  </si>
  <si>
    <t>45 % halmproduktion</t>
  </si>
  <si>
    <t xml:space="preserve">Forbrug på EuroShell card for 2009 </t>
  </si>
  <si>
    <t>Hjemmepleje + Visitationen Q8 + OK</t>
  </si>
  <si>
    <t>Myndighedsenhed</t>
  </si>
  <si>
    <t>Vej &amp; Park, rensningsanlæg(Hanne Johl)</t>
  </si>
  <si>
    <t>Energiforbrug i Ringsted kommune for 2009</t>
  </si>
  <si>
    <r>
      <t>Total CO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udledning fra el- og varmeforbrug samt transport i Ringsted Kommune 2009:</t>
    </r>
  </si>
  <si>
    <r>
      <t>Opgørelsen viser, at 94 % af den samlede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udledning stammer fra el og varme og kun 6 % stammer fra egen transport.</t>
    </r>
  </si>
  <si>
    <t xml:space="preserve">Med 2400 fuldtidsansatte i kommunen bliver emissionen pr. ansat </t>
  </si>
  <si>
    <t>SOCIALE EJENDOMME</t>
  </si>
  <si>
    <t>TEKNISKE ANLÆG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</si>
</sst>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_(* #,##0.0_);_(* \(#,##0.0\);_(* &quot;-&quot;_);_(@_)"/>
    <numFmt numFmtId="175" formatCode="_(* #,##0.00_);_(* \(#,##0.00\);_(* &quot;-&quot;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_);_(@_)"/>
    <numFmt numFmtId="183" formatCode="_(* #,##0.0_);_(* \(#,##0.0\);_(* &quot;-&quot;??_);_(@_)"/>
    <numFmt numFmtId="184" formatCode="0.00000000"/>
    <numFmt numFmtId="185" formatCode="0.000000000"/>
    <numFmt numFmtId="186" formatCode="0.0000000000"/>
    <numFmt numFmtId="187" formatCode="_(* #,##0.0000_);_(* \(#,##0.0000\);_(* &quot;-&quot;??_);_(@_)"/>
    <numFmt numFmtId="188" formatCode="_(* #,##0.000_);_(* \(#,##0.000\);_(* &quot;-&quot;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0_);\(0\)"/>
  </numFmts>
  <fonts count="5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Verdana"/>
      <family val="2"/>
    </font>
    <font>
      <b/>
      <sz val="13"/>
      <name val="Verdana"/>
      <family val="2"/>
    </font>
    <font>
      <b/>
      <vertAlign val="subscript"/>
      <sz val="13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.25"/>
      <color indexed="8"/>
      <name val="Arial"/>
      <family val="0"/>
    </font>
    <font>
      <sz val="12"/>
      <color indexed="8"/>
      <name val="Arial"/>
      <family val="0"/>
    </font>
    <font>
      <b/>
      <sz val="18.25"/>
      <color indexed="8"/>
      <name val="Arial"/>
      <family val="0"/>
    </font>
    <font>
      <sz val="10.75"/>
      <color indexed="8"/>
      <name val="Arial"/>
      <family val="0"/>
    </font>
    <font>
      <b/>
      <sz val="22"/>
      <color indexed="8"/>
      <name val="Arial"/>
      <family val="0"/>
    </font>
    <font>
      <sz val="12.85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vertAlign val="subscript"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15" fillId="22" borderId="3" applyNumberForma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4" borderId="2" applyNumberFormat="0" applyAlignment="0" applyProtection="0"/>
    <xf numFmtId="0" fontId="49" fillId="25" borderId="4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3" borderId="0" applyNumberFormat="0" applyBorder="0" applyAlignment="0" applyProtection="0"/>
    <xf numFmtId="170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9" fontId="2" fillId="0" borderId="0" xfId="16" applyFont="1" applyAlignment="1">
      <alignment/>
    </xf>
    <xf numFmtId="3" fontId="0" fillId="0" borderId="0" xfId="0" applyNumberFormat="1" applyAlignment="1" quotePrefix="1">
      <alignment/>
    </xf>
    <xf numFmtId="169" fontId="0" fillId="0" borderId="0" xfId="16" applyFont="1" applyAlignment="1">
      <alignment/>
    </xf>
    <xf numFmtId="169" fontId="0" fillId="0" borderId="0" xfId="16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34" borderId="0" xfId="0" applyNumberFormat="1" applyFill="1" applyAlignment="1">
      <alignment/>
    </xf>
    <xf numFmtId="0" fontId="4" fillId="0" borderId="0" xfId="0" applyFont="1" applyAlignment="1">
      <alignment/>
    </xf>
    <xf numFmtId="3" fontId="0" fillId="35" borderId="0" xfId="0" applyNumberFormat="1" applyFont="1" applyFill="1" applyAlignment="1">
      <alignment/>
    </xf>
    <xf numFmtId="169" fontId="0" fillId="0" borderId="0" xfId="16" applyFont="1" applyFill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169" fontId="2" fillId="0" borderId="15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9" fontId="0" fillId="0" borderId="0" xfId="16" applyAlignment="1">
      <alignment/>
    </xf>
    <xf numFmtId="169" fontId="0" fillId="34" borderId="0" xfId="16" applyFill="1" applyAlignment="1">
      <alignment/>
    </xf>
    <xf numFmtId="169" fontId="0" fillId="34" borderId="0" xfId="16" applyFont="1" applyFill="1" applyAlignment="1">
      <alignment/>
    </xf>
    <xf numFmtId="169" fontId="0" fillId="0" borderId="0" xfId="16" applyFont="1" applyAlignment="1">
      <alignment/>
    </xf>
    <xf numFmtId="3" fontId="0" fillId="36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71" fontId="0" fillId="0" borderId="0" xfId="15" applyNumberFormat="1" applyFont="1" applyAlignment="1" quotePrefix="1">
      <alignment/>
    </xf>
    <xf numFmtId="175" fontId="0" fillId="0" borderId="0" xfId="16" applyNumberFormat="1" applyFill="1" applyAlignment="1">
      <alignment/>
    </xf>
    <xf numFmtId="175" fontId="0" fillId="0" borderId="0" xfId="0" applyNumberFormat="1" applyAlignment="1">
      <alignment/>
    </xf>
    <xf numFmtId="171" fontId="0" fillId="0" borderId="0" xfId="0" applyNumberFormat="1" applyAlignment="1">
      <alignment/>
    </xf>
    <xf numFmtId="175" fontId="0" fillId="0" borderId="0" xfId="0" applyNumberFormat="1" applyAlignment="1">
      <alignment horizontal="left" indent="1"/>
    </xf>
    <xf numFmtId="171" fontId="0" fillId="0" borderId="0" xfId="15" applyNumberFormat="1" applyFont="1" applyAlignment="1">
      <alignment/>
    </xf>
    <xf numFmtId="3" fontId="8" fillId="0" borderId="14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0" xfId="0" applyNumberFormat="1" applyFont="1" applyAlignment="1" quotePrefix="1">
      <alignment/>
    </xf>
    <xf numFmtId="4" fontId="8" fillId="0" borderId="0" xfId="0" applyNumberFormat="1" applyFont="1" applyAlignment="1" quotePrefix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3" fontId="8" fillId="0" borderId="14" xfId="15" applyNumberFormat="1" applyFont="1" applyBorder="1" applyAlignment="1">
      <alignment/>
    </xf>
    <xf numFmtId="171" fontId="8" fillId="0" borderId="0" xfId="15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5" fontId="0" fillId="0" borderId="0" xfId="16" applyNumberFormat="1" applyAlignment="1">
      <alignment/>
    </xf>
    <xf numFmtId="169" fontId="8" fillId="0" borderId="14" xfId="16" applyNumberFormat="1" applyFont="1" applyBorder="1" applyAlignment="1">
      <alignment/>
    </xf>
    <xf numFmtId="175" fontId="8" fillId="0" borderId="0" xfId="16" applyNumberFormat="1" applyFont="1" applyAlignment="1">
      <alignment/>
    </xf>
    <xf numFmtId="169" fontId="8" fillId="0" borderId="0" xfId="16" applyFont="1" applyAlignment="1">
      <alignment/>
    </xf>
    <xf numFmtId="175" fontId="2" fillId="0" borderId="0" xfId="16" applyNumberFormat="1" applyFont="1" applyAlignment="1">
      <alignment/>
    </xf>
    <xf numFmtId="169" fontId="8" fillId="0" borderId="0" xfId="16" applyNumberFormat="1" applyFont="1" applyBorder="1" applyAlignment="1">
      <alignment/>
    </xf>
    <xf numFmtId="169" fontId="8" fillId="0" borderId="0" xfId="16" applyNumberFormat="1" applyFont="1" applyAlignment="1">
      <alignment/>
    </xf>
    <xf numFmtId="0" fontId="2" fillId="0" borderId="18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18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69" fontId="2" fillId="0" borderId="11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181" fontId="2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0" fillId="37" borderId="0" xfId="0" applyNumberForma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173" fontId="10" fillId="0" borderId="0" xfId="15" applyNumberFormat="1" applyFont="1" applyBorder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0" fillId="0" borderId="0" xfId="16" applyBorder="1" applyAlignment="1">
      <alignment/>
    </xf>
    <xf numFmtId="3" fontId="0" fillId="0" borderId="14" xfId="0" applyNumberFormat="1" applyBorder="1" applyAlignment="1">
      <alignment/>
    </xf>
    <xf numFmtId="169" fontId="2" fillId="0" borderId="0" xfId="16" applyFont="1" applyBorder="1" applyAlignment="1">
      <alignment/>
    </xf>
    <xf numFmtId="3" fontId="0" fillId="0" borderId="0" xfId="0" applyNumberFormat="1" applyBorder="1" applyAlignment="1" quotePrefix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69" fontId="0" fillId="0" borderId="0" xfId="16" applyFont="1" applyBorder="1" applyAlignment="1">
      <alignment/>
    </xf>
    <xf numFmtId="175" fontId="0" fillId="0" borderId="0" xfId="16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NumberFormat="1" applyFill="1" applyBorder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170" fontId="0" fillId="0" borderId="0" xfId="61" applyFont="1" applyBorder="1" applyAlignment="1">
      <alignment horizontal="left"/>
    </xf>
    <xf numFmtId="170" fontId="0" fillId="0" borderId="0" xfId="61" applyFont="1" applyBorder="1" applyAlignment="1">
      <alignment/>
    </xf>
    <xf numFmtId="0" fontId="0" fillId="35" borderId="0" xfId="0" applyNumberFormat="1" applyFill="1" applyBorder="1" applyAlignment="1" quotePrefix="1">
      <alignment/>
    </xf>
    <xf numFmtId="170" fontId="0" fillId="35" borderId="0" xfId="61" applyFont="1" applyFill="1" applyBorder="1" applyAlignment="1" quotePrefix="1">
      <alignment horizontal="left"/>
    </xf>
    <xf numFmtId="170" fontId="0" fillId="35" borderId="0" xfId="61" applyFont="1" applyFill="1" applyBorder="1" applyAlignment="1">
      <alignment horizontal="left"/>
    </xf>
    <xf numFmtId="170" fontId="0" fillId="35" borderId="0" xfId="6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Check Cell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Energiforbrug i Ringsted Kommune 2009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58"/>
      <c:hPercent val="71"/>
      <c:rotY val="44"/>
      <c:depthPercent val="100"/>
      <c:rAngAx val="1"/>
    </c:view3D>
    <c:plotArea>
      <c:layout>
        <c:manualLayout>
          <c:xMode val="edge"/>
          <c:yMode val="edge"/>
          <c:x val="0.0115"/>
          <c:y val="0.1435"/>
          <c:w val="0.78175"/>
          <c:h val="0.83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'CO2-udledning09'!$C$2:$C$3</c:f>
              <c:strCache>
                <c:ptCount val="1"/>
                <c:pt idx="0">
                  <c:v>Varmeforbrug KWh/år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'CO2-udledning09'!$A$4:$A$7</c:f>
              <c:strCache/>
            </c:strRef>
          </c:cat>
          <c:val>
            <c:numRef>
              <c:f>'CO2-udledning09'!$C$4:$C$7</c:f>
              <c:numCache/>
            </c:numRef>
          </c:val>
          <c:shape val="box"/>
        </c:ser>
        <c:ser>
          <c:idx val="0"/>
          <c:order val="1"/>
          <c:tx>
            <c:strRef>
              <c:f>'CO2-udledning09'!$B$2:$B$3</c:f>
              <c:strCache>
                <c:ptCount val="1"/>
                <c:pt idx="0">
                  <c:v>Elforbrug KWh/år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'CO2-udledning09'!$A$4:$A$7</c:f>
              <c:strCache/>
            </c:strRef>
          </c:cat>
          <c:val>
            <c:numRef>
              <c:f>'CO2-udledning09'!$B$4:$B$7</c:f>
              <c:numCache/>
            </c:numRef>
          </c:val>
          <c:shape val="box"/>
        </c:ser>
        <c:ser>
          <c:idx val="2"/>
          <c:order val="2"/>
          <c:tx>
            <c:strRef>
              <c:f>'CO2-udledning09'!$D$2:$D$3</c:f>
              <c:strCache>
                <c:ptCount val="1"/>
                <c:pt idx="0">
                  <c:v>Brændstofforbrug liter/år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'CO2-udledning09'!$A$4:$A$7</c:f>
              <c:strCache/>
            </c:strRef>
          </c:cat>
          <c:val>
            <c:numRef>
              <c:f>'CO2-udledning09'!$D$4:$D$7</c:f>
              <c:numCache/>
            </c:numRef>
          </c:val>
          <c:shape val="box"/>
        </c:ser>
        <c:gapWidth val="100"/>
        <c:gapDepth val="100"/>
        <c:shape val="box"/>
        <c:axId val="42423419"/>
        <c:axId val="46266452"/>
      </c:bar3D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At val="0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KWh/år</a:t>
                </a:r>
              </a:p>
            </c:rich>
          </c:tx>
          <c:layout>
            <c:manualLayout>
              <c:xMode val="factor"/>
              <c:yMode val="factor"/>
              <c:x val="0.15925"/>
              <c:y val="-0.3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22225"/>
          <c:w val="0.20375"/>
          <c:h val="0.5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</a:t>
            </a:r>
            <a:r>
              <a:rPr lang="en-US" cap="none" sz="2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udledning-2009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47"/>
          <c:w val="0.6685"/>
          <c:h val="0.835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'CO2-udledning09'!$E$2:$E$3</c:f>
              <c:strCache>
                <c:ptCount val="1"/>
                <c:pt idx="0">
                  <c:v>CO2 fra el tons/år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'CO2-udledning09'!$A$4:$A$7</c:f>
              <c:strCache/>
            </c:strRef>
          </c:cat>
          <c:val>
            <c:numRef>
              <c:f>'CO2-udledning09'!$E$4:$E$7</c:f>
              <c:numCache/>
            </c:numRef>
          </c:val>
          <c:shape val="box"/>
        </c:ser>
        <c:ser>
          <c:idx val="3"/>
          <c:order val="1"/>
          <c:tx>
            <c:strRef>
              <c:f>'CO2-udledning09'!$F$2:$F$3</c:f>
              <c:strCache>
                <c:ptCount val="1"/>
                <c:pt idx="0">
                  <c:v>CO2 fra varme tons/år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'CO2-udledning09'!$A$4:$A$7</c:f>
              <c:strCache/>
            </c:strRef>
          </c:cat>
          <c:val>
            <c:numRef>
              <c:f>'CO2-udledning09'!$F$4:$F$7</c:f>
              <c:numCache/>
            </c:numRef>
          </c:val>
          <c:shape val="box"/>
        </c:ser>
        <c:ser>
          <c:idx val="0"/>
          <c:order val="2"/>
          <c:tx>
            <c:strRef>
              <c:f>'CO2-udledning09'!$G$2:$G$3</c:f>
              <c:strCache>
                <c:ptCount val="1"/>
                <c:pt idx="0">
                  <c:v>CO2 fra transport tons/år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'CO2-udledning09'!$A$4:$A$7</c:f>
              <c:strCache/>
            </c:strRef>
          </c:cat>
          <c:val>
            <c:numRef>
              <c:f>'CO2-udledning09'!$G$4:$G$7</c:f>
              <c:numCache/>
            </c:numRef>
          </c:val>
          <c:shape val="box"/>
        </c:ser>
        <c:ser>
          <c:idx val="1"/>
          <c:order val="3"/>
          <c:tx>
            <c:strRef>
              <c:f>'CO2-udledning09'!$H$2:$H$3</c:f>
              <c:strCache>
                <c:ptCount val="1"/>
                <c:pt idx="0">
                  <c:v>Total CO2-udledning tons/år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'CO2-udledning09'!$A$4:$A$7</c:f>
              <c:strCache/>
            </c:strRef>
          </c:cat>
          <c:val>
            <c:numRef>
              <c:f>'CO2-udledning09'!$H$4:$H$7</c:f>
              <c:numCache/>
            </c:numRef>
          </c:val>
          <c:shape val="box"/>
        </c:ser>
        <c:shape val="box"/>
        <c:axId val="13744885"/>
        <c:axId val="56595102"/>
      </c:bar3D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tons/år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2315"/>
          <c:w val="0.277"/>
          <c:h val="0.4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104775</xdr:rowOff>
    </xdr:from>
    <xdr:to>
      <xdr:col>8</xdr:col>
      <xdr:colOff>361950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104775" y="4086225"/>
        <a:ext cx="8458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95250</xdr:rowOff>
    </xdr:from>
    <xdr:to>
      <xdr:col>8</xdr:col>
      <xdr:colOff>323850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85725" y="10067925"/>
        <a:ext cx="843915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J109" sqref="J109"/>
    </sheetView>
  </sheetViews>
  <sheetFormatPr defaultColWidth="9.140625" defaultRowHeight="12.75"/>
  <cols>
    <col min="1" max="1" width="31.421875" style="2" customWidth="1"/>
    <col min="2" max="2" width="14.7109375" style="14" customWidth="1"/>
    <col min="3" max="3" width="12.00390625" style="0" bestFit="1" customWidth="1"/>
    <col min="4" max="4" width="18.140625" style="0" customWidth="1"/>
    <col min="5" max="5" width="13.421875" style="0" customWidth="1"/>
    <col min="6" max="6" width="11.421875" style="0" customWidth="1"/>
    <col min="7" max="7" width="11.7109375" style="0" customWidth="1"/>
    <col min="9" max="9" width="9.57421875" style="0" bestFit="1" customWidth="1"/>
    <col min="10" max="10" width="13.421875" style="0" customWidth="1"/>
  </cols>
  <sheetData>
    <row r="1" spans="1:6" ht="12.75" customHeight="1">
      <c r="A1" s="125" t="s">
        <v>0</v>
      </c>
      <c r="B1" s="127" t="s">
        <v>140</v>
      </c>
      <c r="C1" s="128"/>
      <c r="D1" s="129"/>
      <c r="E1" s="34"/>
      <c r="F1" s="34"/>
    </row>
    <row r="2" spans="1:10" ht="12.75" customHeight="1">
      <c r="A2" s="126"/>
      <c r="B2" s="8" t="s">
        <v>67</v>
      </c>
      <c r="C2" s="8" t="s">
        <v>68</v>
      </c>
      <c r="D2" s="8" t="s">
        <v>69</v>
      </c>
      <c r="E2" s="35" t="s">
        <v>102</v>
      </c>
      <c r="F2" s="36" t="s">
        <v>87</v>
      </c>
      <c r="G2" s="130" t="s">
        <v>91</v>
      </c>
      <c r="H2" s="131"/>
      <c r="I2" s="131"/>
      <c r="J2" s="37" t="s">
        <v>92</v>
      </c>
    </row>
    <row r="3" spans="1:10" ht="12.75">
      <c r="A3" s="1" t="s">
        <v>1</v>
      </c>
      <c r="B3" s="9" t="s">
        <v>70</v>
      </c>
      <c r="C3" s="9" t="s">
        <v>71</v>
      </c>
      <c r="D3" s="9" t="s">
        <v>72</v>
      </c>
      <c r="E3" s="38" t="s">
        <v>67</v>
      </c>
      <c r="F3" s="39"/>
      <c r="G3" s="40" t="s">
        <v>73</v>
      </c>
      <c r="H3" s="40" t="s">
        <v>74</v>
      </c>
      <c r="I3" s="40" t="s">
        <v>90</v>
      </c>
      <c r="J3" s="41" t="s">
        <v>102</v>
      </c>
    </row>
    <row r="4" spans="1:10" ht="12.75">
      <c r="A4" s="101" t="s">
        <v>16</v>
      </c>
      <c r="B4" s="38"/>
      <c r="C4" s="38"/>
      <c r="D4" s="38"/>
      <c r="E4" s="38"/>
      <c r="F4" s="38"/>
      <c r="G4" s="102"/>
      <c r="H4" s="102"/>
      <c r="I4" s="102"/>
      <c r="J4" s="103"/>
    </row>
    <row r="5" spans="1:10" ht="12.75">
      <c r="A5" s="2" t="s">
        <v>2</v>
      </c>
      <c r="B5" s="2">
        <v>37749.874</v>
      </c>
      <c r="C5" s="2">
        <v>709.502</v>
      </c>
      <c r="D5" s="2">
        <v>278752.07</v>
      </c>
      <c r="E5" s="49">
        <f>B5*B119/1000/1000</f>
        <v>17.364942040000003</v>
      </c>
      <c r="F5" s="2" t="s">
        <v>75</v>
      </c>
      <c r="I5" s="47">
        <f>D5/10*B118/1000</f>
        <v>73.86929855000001</v>
      </c>
      <c r="J5" s="53">
        <f aca="true" t="shared" si="0" ref="J5:J20">E5+G5+H5+I5</f>
        <v>91.23424059000001</v>
      </c>
    </row>
    <row r="6" spans="1:10" ht="12.75">
      <c r="A6" s="2" t="s">
        <v>3</v>
      </c>
      <c r="B6" s="2">
        <v>267045.3</v>
      </c>
      <c r="C6" s="2">
        <v>2871.726</v>
      </c>
      <c r="D6" s="2">
        <v>923507</v>
      </c>
      <c r="E6" s="49">
        <f>B6*B119/1000/1000</f>
        <v>122.840838</v>
      </c>
      <c r="F6" s="2" t="s">
        <v>88</v>
      </c>
      <c r="H6" s="47">
        <f>D6/278*56.78/1000</f>
        <v>188.62132179856115</v>
      </c>
      <c r="I6" s="47"/>
      <c r="J6" s="53">
        <f t="shared" si="0"/>
        <v>311.4621597985612</v>
      </c>
    </row>
    <row r="7" spans="1:10" ht="12.75">
      <c r="A7" s="2" t="s">
        <v>4</v>
      </c>
      <c r="B7" s="2">
        <v>201622.822</v>
      </c>
      <c r="C7" s="2">
        <v>2678.65</v>
      </c>
      <c r="D7" s="2">
        <v>1012787</v>
      </c>
      <c r="E7" s="49">
        <f>B7*B119/1000/1000</f>
        <v>92.74649811999998</v>
      </c>
      <c r="F7" s="2" t="s">
        <v>88</v>
      </c>
      <c r="H7" s="47">
        <f>D7/278*56.78/1000</f>
        <v>206.85628007194245</v>
      </c>
      <c r="I7" s="47"/>
      <c r="J7" s="53">
        <f t="shared" si="0"/>
        <v>299.60277819194243</v>
      </c>
    </row>
    <row r="8" spans="1:10" ht="12.75">
      <c r="A8" s="2" t="s">
        <v>5</v>
      </c>
      <c r="B8" s="2">
        <v>164150.466</v>
      </c>
      <c r="C8" s="2">
        <v>3347.146</v>
      </c>
      <c r="D8" s="2">
        <v>1117086</v>
      </c>
      <c r="E8" s="49">
        <f>B8*B119/1000/1000</f>
        <v>75.50921436</v>
      </c>
      <c r="F8" s="2" t="s">
        <v>89</v>
      </c>
      <c r="G8" s="47">
        <f>D8*B121/1000/1000</f>
        <v>79.25725170000001</v>
      </c>
      <c r="H8" s="47"/>
      <c r="I8" s="47"/>
      <c r="J8" s="53">
        <f t="shared" si="0"/>
        <v>154.76646606000003</v>
      </c>
    </row>
    <row r="9" spans="1:10" ht="12.75">
      <c r="A9" s="2" t="s">
        <v>14</v>
      </c>
      <c r="B9" s="2">
        <v>33314.282</v>
      </c>
      <c r="C9" s="2">
        <v>353.444</v>
      </c>
      <c r="D9" s="2">
        <v>178817</v>
      </c>
      <c r="E9" s="49">
        <f>B9*B119/1000/1000</f>
        <v>15.32456972</v>
      </c>
      <c r="F9" s="2" t="s">
        <v>89</v>
      </c>
      <c r="G9" s="47">
        <f>D9*B121/1000/1000</f>
        <v>12.68706615</v>
      </c>
      <c r="J9" s="53">
        <f t="shared" si="0"/>
        <v>28.01163587</v>
      </c>
    </row>
    <row r="10" spans="1:10" ht="12.75">
      <c r="A10" s="2" t="s">
        <v>6</v>
      </c>
      <c r="B10" s="2">
        <v>55183.997</v>
      </c>
      <c r="C10" s="2">
        <v>589.655</v>
      </c>
      <c r="D10" s="2">
        <v>369695.37</v>
      </c>
      <c r="E10" s="49">
        <f>B10*B119/1000/1000</f>
        <v>25.38463862</v>
      </c>
      <c r="F10" s="2" t="s">
        <v>90</v>
      </c>
      <c r="I10" s="47">
        <f>D10/10*B118/1000</f>
        <v>97.96927304999998</v>
      </c>
      <c r="J10" s="53">
        <f t="shared" si="0"/>
        <v>123.35391166999999</v>
      </c>
    </row>
    <row r="11" spans="1:10" ht="12.75">
      <c r="A11" s="2" t="s">
        <v>7</v>
      </c>
      <c r="B11" s="2">
        <v>44738.691</v>
      </c>
      <c r="C11" s="2">
        <v>1126.287</v>
      </c>
      <c r="D11" s="2">
        <v>472080.46</v>
      </c>
      <c r="E11" s="49">
        <f>B11*B119/1000/1000</f>
        <v>20.57979786</v>
      </c>
      <c r="F11" s="2" t="s">
        <v>75</v>
      </c>
      <c r="I11" s="47">
        <f>D11/10*B118/1000</f>
        <v>125.1013219</v>
      </c>
      <c r="J11" s="53">
        <f t="shared" si="0"/>
        <v>145.68111976</v>
      </c>
    </row>
    <row r="12" spans="1:10" ht="12.75">
      <c r="A12" s="2" t="s">
        <v>8</v>
      </c>
      <c r="B12" s="2">
        <v>206111.638</v>
      </c>
      <c r="C12" s="2">
        <v>1078.931</v>
      </c>
      <c r="D12" s="2">
        <v>657663.16</v>
      </c>
      <c r="E12" s="49">
        <f>B12*B119/1000/1000</f>
        <v>94.81135348000001</v>
      </c>
      <c r="F12" s="2" t="s">
        <v>75</v>
      </c>
      <c r="I12" s="47">
        <f>D12/10*B118/1000</f>
        <v>174.28073740000002</v>
      </c>
      <c r="J12" s="53">
        <f t="shared" si="0"/>
        <v>269.09209088</v>
      </c>
    </row>
    <row r="13" spans="1:10" ht="12.75">
      <c r="A13" s="2" t="s">
        <v>9</v>
      </c>
      <c r="B13" s="2">
        <v>341732.649</v>
      </c>
      <c r="C13" s="2">
        <v>2130.229</v>
      </c>
      <c r="D13" s="2">
        <v>1098129</v>
      </c>
      <c r="E13" s="49">
        <f>B13*B119/1000/1000</f>
        <v>157.19701854</v>
      </c>
      <c r="F13" s="2" t="s">
        <v>89</v>
      </c>
      <c r="G13" s="47">
        <f>D13*B121/1000/1000</f>
        <v>77.91225254999999</v>
      </c>
      <c r="I13" s="47"/>
      <c r="J13" s="53">
        <f t="shared" si="0"/>
        <v>235.10927109</v>
      </c>
    </row>
    <row r="14" spans="1:10" ht="12.75">
      <c r="A14" s="4" t="s">
        <v>76</v>
      </c>
      <c r="B14" s="2">
        <v>18630.929</v>
      </c>
      <c r="C14" s="2">
        <v>322.565</v>
      </c>
      <c r="D14" s="2">
        <v>229846.9</v>
      </c>
      <c r="E14" s="49">
        <f>B14*B119/1000/1000</f>
        <v>8.570227339999999</v>
      </c>
      <c r="F14" s="5" t="s">
        <v>75</v>
      </c>
      <c r="G14" s="17"/>
      <c r="I14" s="47">
        <f>D14/10*B118/1000</f>
        <v>60.9094285</v>
      </c>
      <c r="J14" s="53">
        <f t="shared" si="0"/>
        <v>69.47965583999999</v>
      </c>
    </row>
    <row r="15" spans="1:10" ht="12.75">
      <c r="A15" s="2" t="s">
        <v>10</v>
      </c>
      <c r="B15" s="2">
        <v>55728.775</v>
      </c>
      <c r="C15" s="2">
        <v>900.359</v>
      </c>
      <c r="D15" s="2">
        <v>461014.092</v>
      </c>
      <c r="E15" s="49">
        <f>B15*B119/1000/1000</f>
        <v>25.635236499999998</v>
      </c>
      <c r="F15" s="2" t="s">
        <v>88</v>
      </c>
      <c r="H15" s="47">
        <f>D15/278*56.78/1000</f>
        <v>94.1596408048921</v>
      </c>
      <c r="J15" s="53">
        <f t="shared" si="0"/>
        <v>119.79487730489211</v>
      </c>
    </row>
    <row r="16" spans="1:10" ht="12.75">
      <c r="A16" s="2" t="s">
        <v>11</v>
      </c>
      <c r="B16" s="2">
        <v>202324.097</v>
      </c>
      <c r="C16" s="2">
        <v>1558.412</v>
      </c>
      <c r="D16" s="2">
        <v>1103177</v>
      </c>
      <c r="E16" s="49">
        <f>B16*B119/1000/1000</f>
        <v>93.06908462000001</v>
      </c>
      <c r="F16" s="2" t="s">
        <v>89</v>
      </c>
      <c r="G16" s="47">
        <f>D16*B121/1000/1000</f>
        <v>78.27040815000001</v>
      </c>
      <c r="J16" s="53">
        <f t="shared" si="0"/>
        <v>171.33949277000002</v>
      </c>
    </row>
    <row r="17" spans="1:10" ht="12.75">
      <c r="A17" s="2" t="s">
        <v>12</v>
      </c>
      <c r="B17" s="2">
        <v>80163.416</v>
      </c>
      <c r="C17" s="2">
        <v>651.247</v>
      </c>
      <c r="D17" s="2">
        <v>385433.9856</v>
      </c>
      <c r="E17" s="49">
        <f>B17*B119/1000/1000</f>
        <v>36.87517136</v>
      </c>
      <c r="F17" s="2" t="s">
        <v>88</v>
      </c>
      <c r="H17" s="47">
        <f>D17/278*56.78/1000</f>
        <v>78.72281187902159</v>
      </c>
      <c r="J17" s="53">
        <f t="shared" si="0"/>
        <v>115.5979832390216</v>
      </c>
    </row>
    <row r="18" spans="1:10" ht="12.75">
      <c r="A18" s="2" t="s">
        <v>13</v>
      </c>
      <c r="B18" s="2">
        <v>132866.621</v>
      </c>
      <c r="C18" s="2">
        <v>989.251</v>
      </c>
      <c r="D18" s="2">
        <v>699721.8804</v>
      </c>
      <c r="E18" s="49">
        <f>B18*B119/1000/1000</f>
        <v>61.11864566</v>
      </c>
      <c r="F18" s="2" t="s">
        <v>88</v>
      </c>
      <c r="H18" s="47">
        <f>D18/278*56.78/1000</f>
        <v>142.91441859392808</v>
      </c>
      <c r="J18" s="53">
        <f t="shared" si="0"/>
        <v>204.03306425392807</v>
      </c>
    </row>
    <row r="19" spans="1:10" ht="12.75">
      <c r="A19" s="4" t="s">
        <v>77</v>
      </c>
      <c r="B19" s="2">
        <v>26096.516</v>
      </c>
      <c r="C19" s="2">
        <v>368.842</v>
      </c>
      <c r="D19" s="2">
        <v>201453</v>
      </c>
      <c r="E19" s="49">
        <f>B19*B119/1000/1000</f>
        <v>12.004397359999999</v>
      </c>
      <c r="F19" s="2" t="s">
        <v>89</v>
      </c>
      <c r="G19" s="47">
        <f>D19*B121/1000/1000</f>
        <v>14.293090350000002</v>
      </c>
      <c r="J19" s="53">
        <f t="shared" si="0"/>
        <v>26.29748771</v>
      </c>
    </row>
    <row r="20" spans="1:10" ht="12.75">
      <c r="A20" s="105" t="s">
        <v>15</v>
      </c>
      <c r="B20" s="2">
        <v>161359.878</v>
      </c>
      <c r="C20" s="2">
        <v>963.383</v>
      </c>
      <c r="D20" s="2">
        <v>239817</v>
      </c>
      <c r="E20" s="49">
        <f>B20*B119/1000/1000</f>
        <v>74.22554388</v>
      </c>
      <c r="F20" s="2" t="s">
        <v>89</v>
      </c>
      <c r="G20" s="47">
        <f>D20*B121/1000/1000</f>
        <v>17.015016150000005</v>
      </c>
      <c r="J20" s="53">
        <f t="shared" si="0"/>
        <v>91.24056003000001</v>
      </c>
    </row>
    <row r="21" spans="1:10" ht="12.75">
      <c r="A21" s="101" t="s">
        <v>16</v>
      </c>
      <c r="B21" s="65">
        <f>SUM(B5:B20)</f>
        <v>2028819.9510000001</v>
      </c>
      <c r="C21" s="61">
        <f>SUM(C5:C20)</f>
        <v>20639.629000000004</v>
      </c>
      <c r="D21" s="61">
        <f>SUM(D5:D20)</f>
        <v>9428980.918000001</v>
      </c>
      <c r="E21" s="62">
        <f>SUM(E5:E20)</f>
        <v>933.25717746</v>
      </c>
      <c r="F21" s="63"/>
      <c r="G21" s="63">
        <f>SUM(G5:G20)</f>
        <v>279.43508505000005</v>
      </c>
      <c r="H21" s="63">
        <f>SUM(H5:H20)</f>
        <v>711.2744731483454</v>
      </c>
      <c r="I21" s="63">
        <f>SUM(I5:I20)</f>
        <v>532.1300594</v>
      </c>
      <c r="J21" s="64">
        <f>SUM(J5:J20)</f>
        <v>2456.0967950583454</v>
      </c>
    </row>
    <row r="22" spans="1:6" ht="12.75">
      <c r="A22" s="6"/>
      <c r="B22" s="104"/>
      <c r="C22" s="42"/>
      <c r="D22" s="42"/>
      <c r="E22" s="42"/>
      <c r="F22" s="42"/>
    </row>
    <row r="23" spans="1:6" ht="12.75">
      <c r="A23" s="101" t="s">
        <v>33</v>
      </c>
      <c r="B23" s="104"/>
      <c r="C23" s="42"/>
      <c r="D23" s="42"/>
      <c r="E23" s="42"/>
      <c r="F23" s="42"/>
    </row>
    <row r="24" spans="1:10" ht="12.75">
      <c r="A24" t="s">
        <v>130</v>
      </c>
      <c r="B24" s="2">
        <v>3909.249</v>
      </c>
      <c r="C24" s="96">
        <v>0</v>
      </c>
      <c r="D24" s="2">
        <v>29379.672</v>
      </c>
      <c r="E24" s="54">
        <f>B24*B119/1000/1000</f>
        <v>1.7982545399999998</v>
      </c>
      <c r="F24" s="19" t="s">
        <v>88</v>
      </c>
      <c r="G24" s="47"/>
      <c r="H24" s="56">
        <f>D24/278*56.78/1000</f>
        <v>6.000639482589928</v>
      </c>
      <c r="J24" s="57">
        <f aca="true" t="shared" si="1" ref="J24:J50">E24+G24+H24+I24</f>
        <v>7.798894022589927</v>
      </c>
    </row>
    <row r="25" spans="1:10" ht="12.75">
      <c r="A25" t="s">
        <v>137</v>
      </c>
      <c r="B25" s="2">
        <v>19593.075</v>
      </c>
      <c r="C25" s="2">
        <v>330.689</v>
      </c>
      <c r="D25" s="2">
        <v>53300.0628</v>
      </c>
      <c r="E25" s="54">
        <f>B25*B119/1000/1000</f>
        <v>9.012814500000001</v>
      </c>
      <c r="F25" s="2" t="s">
        <v>88</v>
      </c>
      <c r="G25" s="47"/>
      <c r="H25" s="47">
        <f>D25/278*56.78/1000</f>
        <v>10.886250236633094</v>
      </c>
      <c r="J25" s="57">
        <f t="shared" si="1"/>
        <v>19.899064736633093</v>
      </c>
    </row>
    <row r="26" spans="1:10" ht="12.75">
      <c r="A26" t="s">
        <v>139</v>
      </c>
      <c r="B26" s="2">
        <v>32322</v>
      </c>
      <c r="C26" s="2">
        <v>374</v>
      </c>
      <c r="D26" s="2">
        <v>116500</v>
      </c>
      <c r="E26" s="54">
        <f>B26*B119/1000/1000</f>
        <v>14.868120000000001</v>
      </c>
      <c r="F26" s="19" t="s">
        <v>89</v>
      </c>
      <c r="G26" s="47">
        <f>D26*B121/1000000</f>
        <v>8.265675</v>
      </c>
      <c r="H26" s="47"/>
      <c r="J26" s="57">
        <f t="shared" si="1"/>
        <v>23.133795</v>
      </c>
    </row>
    <row r="27" spans="1:10" ht="12.75">
      <c r="A27" t="s">
        <v>22</v>
      </c>
      <c r="B27" s="2">
        <v>18920.894</v>
      </c>
      <c r="C27" s="2">
        <v>398.017</v>
      </c>
      <c r="D27" s="2">
        <v>102523.0824</v>
      </c>
      <c r="E27" s="54">
        <f>B27*B119/1000/1000</f>
        <v>8.70361124</v>
      </c>
      <c r="F27" s="2" t="s">
        <v>88</v>
      </c>
      <c r="H27" s="47">
        <f>D27/278*56.78/1000</f>
        <v>20.93978639810072</v>
      </c>
      <c r="J27" s="57">
        <f t="shared" si="1"/>
        <v>29.64339763810072</v>
      </c>
    </row>
    <row r="28" spans="1:10" ht="12.75">
      <c r="A28" t="s">
        <v>28</v>
      </c>
      <c r="B28" s="2">
        <v>19733.211</v>
      </c>
      <c r="C28" s="2">
        <v>1046.955</v>
      </c>
      <c r="D28" s="2">
        <v>71799</v>
      </c>
      <c r="E28" s="54">
        <f>B28*B119/1000/1000</f>
        <v>9.07727706</v>
      </c>
      <c r="F28" s="2" t="s">
        <v>89</v>
      </c>
      <c r="G28" s="47">
        <f>D28*B121/1000000</f>
        <v>5.09413905</v>
      </c>
      <c r="H28" s="47"/>
      <c r="J28" s="57">
        <f t="shared" si="1"/>
        <v>14.17141611</v>
      </c>
    </row>
    <row r="29" spans="1:10" ht="12.75">
      <c r="A29" t="s">
        <v>17</v>
      </c>
      <c r="B29" s="2">
        <v>5207.682</v>
      </c>
      <c r="C29" s="96">
        <v>0</v>
      </c>
      <c r="D29" s="2">
        <v>41400</v>
      </c>
      <c r="E29" s="54">
        <f>B29*B119/1000/1000</f>
        <v>2.39553372</v>
      </c>
      <c r="F29" s="19" t="s">
        <v>75</v>
      </c>
      <c r="G29" s="47"/>
      <c r="I29" s="56">
        <f>D29/10*B118/1000</f>
        <v>10.971</v>
      </c>
      <c r="J29" s="57">
        <f t="shared" si="1"/>
        <v>13.36653372</v>
      </c>
    </row>
    <row r="30" spans="1:10" ht="12.75">
      <c r="A30" t="s">
        <v>132</v>
      </c>
      <c r="B30" s="2">
        <f>4272.346+6354</f>
        <v>10626.346</v>
      </c>
      <c r="C30" s="2">
        <v>841.756</v>
      </c>
      <c r="D30" s="2">
        <v>94838</v>
      </c>
      <c r="E30" s="54">
        <f>B30*B119/1000/1000</f>
        <v>4.8881191600000005</v>
      </c>
      <c r="F30" s="2" t="s">
        <v>89</v>
      </c>
      <c r="G30" s="47">
        <f>D30*B121/1000000</f>
        <v>6.728756100000001</v>
      </c>
      <c r="J30" s="57">
        <f t="shared" si="1"/>
        <v>11.61687526</v>
      </c>
    </row>
    <row r="31" spans="1:10" ht="12.75">
      <c r="A31" t="s">
        <v>138</v>
      </c>
      <c r="B31" s="2">
        <v>15558</v>
      </c>
      <c r="C31" s="2">
        <v>224</v>
      </c>
      <c r="D31" s="2">
        <v>88913</v>
      </c>
      <c r="E31" s="54">
        <f>B31*B119/1000/1000</f>
        <v>7.156680000000001</v>
      </c>
      <c r="F31" s="19" t="s">
        <v>88</v>
      </c>
      <c r="G31" s="47"/>
      <c r="H31" s="47">
        <f>D31/278*56.78/1000</f>
        <v>18.16000050359712</v>
      </c>
      <c r="J31" s="57">
        <f t="shared" si="1"/>
        <v>25.316680503597123</v>
      </c>
    </row>
    <row r="32" spans="1:10" ht="12.75">
      <c r="A32" t="s">
        <v>131</v>
      </c>
      <c r="B32" s="2">
        <v>17617.731</v>
      </c>
      <c r="C32" s="2">
        <v>319.976</v>
      </c>
      <c r="D32" s="2">
        <v>74601</v>
      </c>
      <c r="E32" s="54">
        <f>B32*B119/1000/1000</f>
        <v>8.10415626</v>
      </c>
      <c r="F32" s="44" t="s">
        <v>83</v>
      </c>
      <c r="G32" s="47"/>
      <c r="H32" s="47"/>
      <c r="J32" s="57">
        <f t="shared" si="1"/>
        <v>8.10415626</v>
      </c>
    </row>
    <row r="33" spans="1:10" ht="12.75">
      <c r="A33" t="s">
        <v>31</v>
      </c>
      <c r="B33" s="2">
        <v>7888.052</v>
      </c>
      <c r="C33" s="2">
        <v>52.414</v>
      </c>
      <c r="D33" s="96">
        <v>0</v>
      </c>
      <c r="E33" s="54">
        <f>B33*B119/1000/1000</f>
        <v>3.62850392</v>
      </c>
      <c r="F33" s="2" t="s">
        <v>89</v>
      </c>
      <c r="G33" s="47">
        <f>D33*B121/1000000</f>
        <v>0</v>
      </c>
      <c r="H33" s="47"/>
      <c r="J33" s="57">
        <f t="shared" si="1"/>
        <v>3.62850392</v>
      </c>
    </row>
    <row r="34" spans="1:10" ht="12.75">
      <c r="A34" t="s">
        <v>30</v>
      </c>
      <c r="B34" s="2">
        <v>25065.628</v>
      </c>
      <c r="C34" s="2">
        <v>487.995</v>
      </c>
      <c r="D34" s="2">
        <v>62986</v>
      </c>
      <c r="E34" s="54">
        <f>B34*B119/1000/1000</f>
        <v>11.53018888</v>
      </c>
      <c r="F34" s="2" t="s">
        <v>89</v>
      </c>
      <c r="G34" s="47">
        <f>D34*B121/1000000</f>
        <v>4.4688567</v>
      </c>
      <c r="H34" s="47"/>
      <c r="J34" s="57">
        <f t="shared" si="1"/>
        <v>15.99904558</v>
      </c>
    </row>
    <row r="35" spans="1:10" ht="12.75">
      <c r="A35" t="s">
        <v>129</v>
      </c>
      <c r="B35" s="2">
        <v>14888.054</v>
      </c>
      <c r="C35" s="2">
        <v>396.404</v>
      </c>
      <c r="D35" s="2">
        <v>56474.88</v>
      </c>
      <c r="E35" s="54">
        <f>B35*B119/1000/1000</f>
        <v>6.8485048399999995</v>
      </c>
      <c r="F35" s="2" t="s">
        <v>75</v>
      </c>
      <c r="G35" s="47"/>
      <c r="H35" s="47"/>
      <c r="I35" s="20">
        <f>D35/10*B118/1000</f>
        <v>14.965843199999998</v>
      </c>
      <c r="J35" s="57">
        <f t="shared" si="1"/>
        <v>21.81434804</v>
      </c>
    </row>
    <row r="36" spans="1:10" ht="12.75">
      <c r="A36" t="s">
        <v>134</v>
      </c>
      <c r="B36" s="2">
        <v>19024.09</v>
      </c>
      <c r="C36" s="2">
        <v>459.321</v>
      </c>
      <c r="D36" s="2">
        <v>47098</v>
      </c>
      <c r="E36" s="54">
        <f>B36*B119/1000/1000</f>
        <v>8.7510814</v>
      </c>
      <c r="F36" s="2" t="s">
        <v>89</v>
      </c>
      <c r="G36" s="47">
        <f>D36*B121/1000000</f>
        <v>3.3416031</v>
      </c>
      <c r="H36" s="47"/>
      <c r="J36" s="57">
        <f t="shared" si="1"/>
        <v>12.0926845</v>
      </c>
    </row>
    <row r="37" spans="1:10" ht="12.75">
      <c r="A37" t="s">
        <v>135</v>
      </c>
      <c r="B37" s="2">
        <v>15222.586</v>
      </c>
      <c r="C37" s="2">
        <v>333.517</v>
      </c>
      <c r="D37" s="2">
        <v>49656</v>
      </c>
      <c r="E37" s="54">
        <f>B37*B119/1000/1000</f>
        <v>7.002389559999999</v>
      </c>
      <c r="F37" s="2" t="s">
        <v>89</v>
      </c>
      <c r="G37" s="47">
        <f>D37*B121/1000000</f>
        <v>3.5230932000000004</v>
      </c>
      <c r="H37" s="47"/>
      <c r="J37" s="57">
        <f t="shared" si="1"/>
        <v>10.52548276</v>
      </c>
    </row>
    <row r="38" spans="1:10" ht="12.75">
      <c r="A38" t="s">
        <v>27</v>
      </c>
      <c r="B38" s="2">
        <v>26945.207</v>
      </c>
      <c r="C38" s="2">
        <v>652.235</v>
      </c>
      <c r="D38" s="2">
        <v>97485</v>
      </c>
      <c r="E38" s="54">
        <f>B38*B119/1000/1000</f>
        <v>12.394795219999999</v>
      </c>
      <c r="F38" s="2" t="s">
        <v>89</v>
      </c>
      <c r="G38" s="47">
        <f>D38*B121/1000000</f>
        <v>6.91656075</v>
      </c>
      <c r="J38" s="57">
        <f t="shared" si="1"/>
        <v>19.31135597</v>
      </c>
    </row>
    <row r="39" spans="1:10" ht="12.75">
      <c r="A39" t="s">
        <v>21</v>
      </c>
      <c r="B39" s="2">
        <v>19314.912</v>
      </c>
      <c r="C39" s="96">
        <v>0</v>
      </c>
      <c r="D39" s="96">
        <v>0</v>
      </c>
      <c r="E39" s="54">
        <f>B39*B119/1000/1000</f>
        <v>8.88485952</v>
      </c>
      <c r="F39" s="44" t="s">
        <v>89</v>
      </c>
      <c r="G39" s="47">
        <f>D39*B121/1000000</f>
        <v>0</v>
      </c>
      <c r="J39" s="57">
        <f t="shared" si="1"/>
        <v>8.88485952</v>
      </c>
    </row>
    <row r="40" spans="1:10" ht="12.75">
      <c r="A40" t="s">
        <v>20</v>
      </c>
      <c r="B40" s="2">
        <v>6170.2</v>
      </c>
      <c r="C40" s="2">
        <v>184.511</v>
      </c>
      <c r="D40" s="2">
        <v>49300</v>
      </c>
      <c r="E40" s="54">
        <f>B40*B119/1000/1000</f>
        <v>2.838292</v>
      </c>
      <c r="F40" s="2" t="s">
        <v>89</v>
      </c>
      <c r="G40" s="47">
        <f>D40*B121/1000000</f>
        <v>3.497835</v>
      </c>
      <c r="J40" s="57">
        <f t="shared" si="1"/>
        <v>6.336126999999999</v>
      </c>
    </row>
    <row r="41" spans="1:10" ht="12.75">
      <c r="A41" t="s">
        <v>23</v>
      </c>
      <c r="B41" s="2">
        <v>6377.459</v>
      </c>
      <c r="C41" s="2">
        <v>202.353</v>
      </c>
      <c r="D41" s="2">
        <v>30582.2304</v>
      </c>
      <c r="E41" s="54">
        <f>B41*B119/1000/1000</f>
        <v>2.93363114</v>
      </c>
      <c r="F41" s="2" t="s">
        <v>88</v>
      </c>
      <c r="H41" s="47">
        <f>D41/278*56.78/1000</f>
        <v>6.246255547165468</v>
      </c>
      <c r="J41" s="57">
        <f t="shared" si="1"/>
        <v>9.179886687165467</v>
      </c>
    </row>
    <row r="42" spans="1:10" ht="12.75">
      <c r="A42" t="s">
        <v>136</v>
      </c>
      <c r="B42" s="2">
        <v>11772.853</v>
      </c>
      <c r="C42" s="2">
        <v>341.279</v>
      </c>
      <c r="D42" s="2">
        <v>66850.7472</v>
      </c>
      <c r="E42" s="54">
        <f>B42*B119/1000/1000</f>
        <v>5.41551238</v>
      </c>
      <c r="F42" s="45" t="s">
        <v>89</v>
      </c>
      <c r="G42" s="47">
        <f>D42*B121/1000000</f>
        <v>4.74306051384</v>
      </c>
      <c r="H42" s="47"/>
      <c r="J42" s="57">
        <f t="shared" si="1"/>
        <v>10.158572893839999</v>
      </c>
    </row>
    <row r="43" spans="1:10" ht="12.75">
      <c r="A43" t="s">
        <v>29</v>
      </c>
      <c r="B43" s="2">
        <v>35857.441</v>
      </c>
      <c r="C43" s="2">
        <v>549.457</v>
      </c>
      <c r="D43" s="2">
        <v>124700</v>
      </c>
      <c r="E43" s="54">
        <f>B43*B119/1000/1000</f>
        <v>16.49442286</v>
      </c>
      <c r="F43" s="2" t="s">
        <v>88</v>
      </c>
      <c r="G43" s="47"/>
      <c r="H43" s="47">
        <f>D43/278*56.78/1000</f>
        <v>25.469302158273383</v>
      </c>
      <c r="J43" s="57">
        <f t="shared" si="1"/>
        <v>41.96372501827338</v>
      </c>
    </row>
    <row r="44" spans="1:10" ht="12.75">
      <c r="A44" t="s">
        <v>26</v>
      </c>
      <c r="B44" s="2">
        <v>14887.21</v>
      </c>
      <c r="C44" s="2">
        <v>764.733</v>
      </c>
      <c r="D44" s="2">
        <v>75057.6348</v>
      </c>
      <c r="E44" s="54">
        <f>B44*B119/1000/1000</f>
        <v>6.848116599999999</v>
      </c>
      <c r="F44" s="2" t="s">
        <v>89</v>
      </c>
      <c r="G44" s="47">
        <f>D44*B121/1000000</f>
        <v>5.32533918906</v>
      </c>
      <c r="H44" s="47"/>
      <c r="J44" s="57">
        <f t="shared" si="1"/>
        <v>12.17345578906</v>
      </c>
    </row>
    <row r="45" spans="1:10" ht="12.75">
      <c r="A45" t="s">
        <v>32</v>
      </c>
      <c r="B45" s="2">
        <v>6603.478</v>
      </c>
      <c r="C45" s="2">
        <v>329.133</v>
      </c>
      <c r="D45" s="2">
        <v>36359.47</v>
      </c>
      <c r="E45" s="54">
        <f>B45*B119/1000/1000</f>
        <v>3.0375998799999997</v>
      </c>
      <c r="F45" s="2" t="s">
        <v>75</v>
      </c>
      <c r="G45" s="47"/>
      <c r="H45" s="47"/>
      <c r="I45" s="20">
        <f>D45/10*B118/1000</f>
        <v>9.63525955</v>
      </c>
      <c r="J45" s="57">
        <f t="shared" si="1"/>
        <v>12.67285943</v>
      </c>
    </row>
    <row r="46" spans="1:10" ht="12.75">
      <c r="A46" t="s">
        <v>133</v>
      </c>
      <c r="B46" s="2">
        <v>6672.966</v>
      </c>
      <c r="C46" s="2">
        <v>196.692</v>
      </c>
      <c r="D46" s="2">
        <v>28094</v>
      </c>
      <c r="E46" s="54">
        <f>B46*B119/1000/1000</f>
        <v>3.06956436</v>
      </c>
      <c r="F46" s="2" t="s">
        <v>88</v>
      </c>
      <c r="G46" s="47"/>
      <c r="H46" s="47">
        <f>D46/278*56.78/1000</f>
        <v>5.738047913669066</v>
      </c>
      <c r="J46" s="57">
        <f t="shared" si="1"/>
        <v>8.807612273669065</v>
      </c>
    </row>
    <row r="47" spans="1:10" ht="12.75">
      <c r="A47" t="s">
        <v>19</v>
      </c>
      <c r="B47" s="2">
        <v>11937.172</v>
      </c>
      <c r="C47" s="2">
        <v>243.436</v>
      </c>
      <c r="D47" s="2">
        <v>53606.2644</v>
      </c>
      <c r="E47" s="54">
        <f>B47*B119/1000/1000</f>
        <v>5.4910991199999994</v>
      </c>
      <c r="F47" s="2" t="s">
        <v>88</v>
      </c>
      <c r="H47" s="47">
        <f>D47/278*56.78/1000</f>
        <v>10.948790261266188</v>
      </c>
      <c r="J47" s="57">
        <f t="shared" si="1"/>
        <v>16.439889381266187</v>
      </c>
    </row>
    <row r="48" spans="1:10" ht="12.75">
      <c r="A48" t="s">
        <v>24</v>
      </c>
      <c r="B48" s="2">
        <v>23124.567</v>
      </c>
      <c r="C48" s="2">
        <v>474.706</v>
      </c>
      <c r="D48" s="2">
        <v>107403.1704</v>
      </c>
      <c r="E48" s="54">
        <f>B48*B119/1000/1000</f>
        <v>10.63730082</v>
      </c>
      <c r="F48" s="2" t="s">
        <v>88</v>
      </c>
      <c r="H48" s="47">
        <f>D48/278*56.78/1000</f>
        <v>21.936518040690647</v>
      </c>
      <c r="J48" s="57">
        <f t="shared" si="1"/>
        <v>32.57381886069065</v>
      </c>
    </row>
    <row r="49" spans="1:10" ht="12.75">
      <c r="A49" t="s">
        <v>25</v>
      </c>
      <c r="B49" s="2">
        <v>46894.811</v>
      </c>
      <c r="C49" s="2">
        <v>529.558</v>
      </c>
      <c r="D49" s="2">
        <v>60494</v>
      </c>
      <c r="E49" s="54">
        <f>B49*B119/1000/1000</f>
        <v>21.571613060000004</v>
      </c>
      <c r="F49" s="2" t="s">
        <v>89</v>
      </c>
      <c r="G49" s="47">
        <f>D49*B121/1000000</f>
        <v>4.2920492999999995</v>
      </c>
      <c r="H49" s="47"/>
      <c r="J49" s="57">
        <f t="shared" si="1"/>
        <v>25.863662360000003</v>
      </c>
    </row>
    <row r="50" spans="1:10" ht="12.75">
      <c r="A50" t="s">
        <v>18</v>
      </c>
      <c r="B50" s="2">
        <v>14812.77</v>
      </c>
      <c r="C50" s="2">
        <v>193.512</v>
      </c>
      <c r="D50" s="2">
        <v>35545</v>
      </c>
      <c r="E50" s="54">
        <f>B50*B119/1000/1000</f>
        <v>6.8138742</v>
      </c>
      <c r="F50" s="2" t="s">
        <v>89</v>
      </c>
      <c r="G50" s="47">
        <f>D50*B121/1000000</f>
        <v>2.52191775</v>
      </c>
      <c r="J50" s="57">
        <f t="shared" si="1"/>
        <v>9.33579195</v>
      </c>
    </row>
    <row r="51" spans="1:10" ht="12.75">
      <c r="A51" s="101" t="s">
        <v>33</v>
      </c>
      <c r="B51" s="65">
        <f>SUM(B24:B50)</f>
        <v>456947.64400000003</v>
      </c>
      <c r="C51" s="61">
        <f>SUM(C24:C50)</f>
        <v>9926.649000000003</v>
      </c>
      <c r="D51" s="61">
        <f>SUM(D24:D50)</f>
        <v>1654946.2144000002</v>
      </c>
      <c r="E51" s="65">
        <f>SUM(E24:E50)</f>
        <v>210.19591623999995</v>
      </c>
      <c r="F51" s="65"/>
      <c r="G51" s="66">
        <f>SUM(G24:G50)</f>
        <v>58.71888565290001</v>
      </c>
      <c r="H51" s="66">
        <f>SUM(H24:H50)</f>
        <v>126.3255905419856</v>
      </c>
      <c r="I51" s="66">
        <f>SUM(I24:I50)</f>
        <v>35.57210275</v>
      </c>
      <c r="J51" s="66">
        <f>SUM(J24:J50)</f>
        <v>430.81249518488556</v>
      </c>
    </row>
    <row r="52" spans="1:6" ht="12.75">
      <c r="A52" s="6"/>
      <c r="B52" s="104"/>
      <c r="C52" s="42"/>
      <c r="D52" s="42"/>
      <c r="E52" s="42"/>
      <c r="F52" s="42"/>
    </row>
    <row r="53" spans="1:6" ht="12.75">
      <c r="A53" s="101" t="s">
        <v>44</v>
      </c>
      <c r="B53" s="106"/>
      <c r="C53" s="10"/>
      <c r="D53" s="10"/>
      <c r="E53" s="10"/>
      <c r="F53" s="10"/>
    </row>
    <row r="54" spans="1:10" ht="12.75">
      <c r="A54" s="3" t="s">
        <v>35</v>
      </c>
      <c r="B54" s="2">
        <v>211945</v>
      </c>
      <c r="C54" s="2">
        <v>1222</v>
      </c>
      <c r="D54" s="2">
        <v>373600</v>
      </c>
      <c r="E54" s="55">
        <f>B54*B119/1000/1000</f>
        <v>97.4947</v>
      </c>
      <c r="F54" s="19" t="s">
        <v>89</v>
      </c>
      <c r="G54" s="56">
        <f>D54*B121/1000000</f>
        <v>26.50692</v>
      </c>
      <c r="J54" s="57">
        <f>E54+G54+H54+I54</f>
        <v>124.00162</v>
      </c>
    </row>
    <row r="55" spans="1:10" ht="12.75">
      <c r="A55" s="4" t="s">
        <v>45</v>
      </c>
      <c r="B55" s="2">
        <v>243724.862</v>
      </c>
      <c r="C55" s="2">
        <v>3120.59</v>
      </c>
      <c r="D55" s="2">
        <v>791000</v>
      </c>
      <c r="E55" s="55">
        <f>B55*B119/1000/1000</f>
        <v>112.11343652000001</v>
      </c>
      <c r="F55" s="13" t="s">
        <v>89</v>
      </c>
      <c r="G55" s="56">
        <f>D55*B121/1000000</f>
        <v>56.12145</v>
      </c>
      <c r="J55" s="57">
        <f aca="true" t="shared" si="2" ref="J55:J64">E55+G55+H55+I55</f>
        <v>168.23488652</v>
      </c>
    </row>
    <row r="56" spans="1:10" ht="12.75">
      <c r="A56" s="18" t="s">
        <v>46</v>
      </c>
      <c r="B56" s="98">
        <v>787780</v>
      </c>
      <c r="C56" s="98">
        <v>17610</v>
      </c>
      <c r="D56" s="99">
        <v>1749000</v>
      </c>
      <c r="E56" s="55">
        <f>B56*B119/1000/1000</f>
        <v>362.3788</v>
      </c>
      <c r="F56" s="13" t="s">
        <v>89</v>
      </c>
      <c r="G56" s="56">
        <f>D56*B121/1000000</f>
        <v>124.09155</v>
      </c>
      <c r="J56" s="57">
        <f t="shared" si="2"/>
        <v>486.47035</v>
      </c>
    </row>
    <row r="57" spans="1:10" ht="12.75">
      <c r="A57" s="2" t="s">
        <v>36</v>
      </c>
      <c r="B57" s="2">
        <v>17736.759</v>
      </c>
      <c r="C57" s="2">
        <v>224.711</v>
      </c>
      <c r="D57" s="2">
        <v>68935</v>
      </c>
      <c r="E57" s="55">
        <f>B57*B119/1000/1000</f>
        <v>8.158909139999999</v>
      </c>
      <c r="F57" s="2" t="s">
        <v>89</v>
      </c>
      <c r="G57" s="56">
        <f>D57*B121/1000000</f>
        <v>4.89093825</v>
      </c>
      <c r="J57" s="57">
        <f t="shared" si="2"/>
        <v>13.049847389999998</v>
      </c>
    </row>
    <row r="58" spans="1:10" ht="12.75">
      <c r="A58" s="2" t="s">
        <v>37</v>
      </c>
      <c r="B58" s="2">
        <v>152785.508</v>
      </c>
      <c r="C58" s="2">
        <v>364.8</v>
      </c>
      <c r="D58" s="2">
        <v>140216</v>
      </c>
      <c r="E58" s="55">
        <f>B58*B119/1000/1000</f>
        <v>70.28133368000002</v>
      </c>
      <c r="F58" s="2" t="s">
        <v>89</v>
      </c>
      <c r="G58" s="56">
        <f>D58*B121/1000000</f>
        <v>9.948325200000001</v>
      </c>
      <c r="J58" s="57">
        <f t="shared" si="2"/>
        <v>80.22965888000002</v>
      </c>
    </row>
    <row r="59" spans="1:10" ht="12.75">
      <c r="A59" s="2" t="s">
        <v>38</v>
      </c>
      <c r="B59" s="2">
        <v>21539.983</v>
      </c>
      <c r="C59" s="2">
        <v>741.488</v>
      </c>
      <c r="D59" s="2">
        <v>61228</v>
      </c>
      <c r="E59" s="55">
        <f>B59*B119/1000/1000</f>
        <v>9.908392179999998</v>
      </c>
      <c r="F59" s="2" t="s">
        <v>89</v>
      </c>
      <c r="G59" s="56">
        <f>D59*B121/1000000</f>
        <v>4.344126600000001</v>
      </c>
      <c r="J59" s="57">
        <f t="shared" si="2"/>
        <v>14.252518779999999</v>
      </c>
    </row>
    <row r="60" spans="1:10" ht="12.75">
      <c r="A60" s="2" t="s">
        <v>39</v>
      </c>
      <c r="B60" s="2">
        <v>17272.21</v>
      </c>
      <c r="C60" s="2">
        <v>116.2912</v>
      </c>
      <c r="D60" s="2">
        <v>77682.4</v>
      </c>
      <c r="E60" s="55">
        <f>B60*B119/1000/1000</f>
        <v>7.9452166</v>
      </c>
      <c r="F60" s="2" t="s">
        <v>89</v>
      </c>
      <c r="G60" s="56">
        <f>D60*B121/1000000</f>
        <v>5.51156628</v>
      </c>
      <c r="J60" s="57">
        <f t="shared" si="2"/>
        <v>13.45678288</v>
      </c>
    </row>
    <row r="61" spans="1:10" ht="12.75">
      <c r="A61" s="113" t="s">
        <v>40</v>
      </c>
      <c r="B61" s="2">
        <v>15186.8</v>
      </c>
      <c r="C61" s="2">
        <v>472.357</v>
      </c>
      <c r="D61" s="2">
        <v>151572</v>
      </c>
      <c r="E61" s="55">
        <f>B61*B119/1000/1000</f>
        <v>6.9859279999999995</v>
      </c>
      <c r="F61" s="2" t="s">
        <v>89</v>
      </c>
      <c r="G61" s="56">
        <f>D61*B121/1000000</f>
        <v>10.7540334</v>
      </c>
      <c r="J61" s="57">
        <f t="shared" si="2"/>
        <v>17.7399614</v>
      </c>
    </row>
    <row r="62" spans="1:10" ht="12.75">
      <c r="A62" s="113" t="s">
        <v>41</v>
      </c>
      <c r="B62" s="2">
        <v>7884.984</v>
      </c>
      <c r="C62" s="2">
        <v>320.139</v>
      </c>
      <c r="D62" s="2">
        <v>85025.5704</v>
      </c>
      <c r="E62" s="55">
        <f>B62*B119/1000/1000</f>
        <v>3.6270926400000003</v>
      </c>
      <c r="F62" s="2" t="s">
        <v>88</v>
      </c>
      <c r="H62" s="47">
        <f>D62/278*56.78/1000</f>
        <v>17.36601398313669</v>
      </c>
      <c r="J62" s="57">
        <f t="shared" si="2"/>
        <v>20.99310662313669</v>
      </c>
    </row>
    <row r="63" spans="1:10" ht="12.75">
      <c r="A63" s="113" t="s">
        <v>42</v>
      </c>
      <c r="B63" s="2">
        <v>21120</v>
      </c>
      <c r="C63" s="2">
        <v>878.218</v>
      </c>
      <c r="D63" s="2">
        <v>121945</v>
      </c>
      <c r="E63" s="55">
        <f>B63*B119/1000/1000</f>
        <v>9.715200000000001</v>
      </c>
      <c r="F63" s="2" t="s">
        <v>89</v>
      </c>
      <c r="G63" s="47">
        <f>D63*B121/1000000</f>
        <v>8.65199775</v>
      </c>
      <c r="J63" s="57">
        <f t="shared" si="2"/>
        <v>18.367197750000003</v>
      </c>
    </row>
    <row r="64" spans="1:10" ht="12.75">
      <c r="A64" s="113" t="s">
        <v>43</v>
      </c>
      <c r="B64" s="2">
        <v>1300</v>
      </c>
      <c r="C64" s="2">
        <v>171.765</v>
      </c>
      <c r="D64" s="2">
        <v>15100</v>
      </c>
      <c r="E64" s="55">
        <f>B64*B119/1000/1000</f>
        <v>0.598</v>
      </c>
      <c r="F64" s="16" t="s">
        <v>89</v>
      </c>
      <c r="G64" s="47">
        <f>D64*B121/1000000</f>
        <v>1.071345</v>
      </c>
      <c r="J64" s="57">
        <f t="shared" si="2"/>
        <v>1.6693449999999999</v>
      </c>
    </row>
    <row r="65" spans="1:10" ht="12.75">
      <c r="A65" s="101" t="s">
        <v>44</v>
      </c>
      <c r="B65" s="69">
        <f>SUM(B54:B64)</f>
        <v>1498276.106</v>
      </c>
      <c r="C65" s="67">
        <f>SUM(C54:C64)</f>
        <v>25242.3592</v>
      </c>
      <c r="D65" s="67">
        <f>SUM(D54:D64)</f>
        <v>3635303.9704</v>
      </c>
      <c r="E65" s="68">
        <f>SUM(E54:E64)</f>
        <v>689.2070087599998</v>
      </c>
      <c r="F65" s="69"/>
      <c r="G65" s="66">
        <f>SUM(G54:G64)</f>
        <v>251.89225248000002</v>
      </c>
      <c r="H65" s="66">
        <f>SUM(H54:H64)</f>
        <v>17.36601398313669</v>
      </c>
      <c r="I65" s="66">
        <f>SUM(I54:I64)</f>
        <v>0</v>
      </c>
      <c r="J65" s="66">
        <f>SUM(J54:J64)</f>
        <v>958.4652752231366</v>
      </c>
    </row>
    <row r="66" spans="1:6" ht="12.75">
      <c r="A66" s="6"/>
      <c r="B66" s="106"/>
      <c r="C66" s="10"/>
      <c r="D66" s="10"/>
      <c r="E66" s="10"/>
      <c r="F66" s="10"/>
    </row>
    <row r="67" spans="1:6" ht="12.75">
      <c r="A67" s="101" t="s">
        <v>153</v>
      </c>
      <c r="B67" s="106"/>
      <c r="C67" s="10"/>
      <c r="D67" s="10"/>
      <c r="E67" s="10"/>
      <c r="F67" s="10"/>
    </row>
    <row r="68" spans="1:10" ht="12.75">
      <c r="A68" s="114" t="s">
        <v>47</v>
      </c>
      <c r="B68" s="2">
        <v>248932.321</v>
      </c>
      <c r="C68" s="2">
        <v>1515.786</v>
      </c>
      <c r="D68" s="2">
        <v>520807</v>
      </c>
      <c r="E68" s="49">
        <f>B68*B119/1000/1000</f>
        <v>114.50886766</v>
      </c>
      <c r="F68" s="2" t="s">
        <v>89</v>
      </c>
      <c r="G68" s="47">
        <f>D68*B121/1000000</f>
        <v>36.95125665</v>
      </c>
      <c r="J68" s="53">
        <f>E68+G68+H68+I68</f>
        <v>151.46012431</v>
      </c>
    </row>
    <row r="69" spans="1:10" ht="12.75">
      <c r="A69" s="114" t="s">
        <v>48</v>
      </c>
      <c r="B69" s="2">
        <v>160668</v>
      </c>
      <c r="C69" s="2">
        <v>1676.118</v>
      </c>
      <c r="D69" s="2">
        <v>665313.4368</v>
      </c>
      <c r="E69" s="49">
        <f>B69*B119/1000/1000</f>
        <v>73.90728</v>
      </c>
      <c r="F69" s="2" t="s">
        <v>88</v>
      </c>
      <c r="G69" s="47"/>
      <c r="H69" s="47">
        <f>D69/278*56.78/1000</f>
        <v>135.88667964569785</v>
      </c>
      <c r="J69" s="53">
        <f aca="true" t="shared" si="3" ref="J69:J79">E69+G69+H69+I69</f>
        <v>209.79395964569784</v>
      </c>
    </row>
    <row r="70" spans="1:10" ht="12.75">
      <c r="A70" s="115" t="s">
        <v>49</v>
      </c>
      <c r="B70" s="2">
        <v>55800.717</v>
      </c>
      <c r="C70" s="2">
        <v>407.624</v>
      </c>
      <c r="D70" s="2">
        <v>264871</v>
      </c>
      <c r="E70" s="49">
        <f>B70*B119/1000/1000</f>
        <v>25.66832982</v>
      </c>
      <c r="F70" s="46" t="s">
        <v>89</v>
      </c>
      <c r="G70" s="47">
        <f>D70*B121/1000000</f>
        <v>18.79259745</v>
      </c>
      <c r="J70" s="53">
        <f t="shared" si="3"/>
        <v>44.46092727</v>
      </c>
    </row>
    <row r="71" spans="1:10" ht="12.75">
      <c r="A71" s="116" t="s">
        <v>50</v>
      </c>
      <c r="B71" s="2">
        <v>54963.99</v>
      </c>
      <c r="C71" s="2">
        <v>2493.69</v>
      </c>
      <c r="D71" s="2">
        <v>387711</v>
      </c>
      <c r="E71" s="49">
        <f>B71*B119/1000/1000</f>
        <v>25.2834354</v>
      </c>
      <c r="F71" s="2" t="s">
        <v>89</v>
      </c>
      <c r="G71" s="47">
        <f>D71*B121/1000000</f>
        <v>27.50809545</v>
      </c>
      <c r="J71" s="53">
        <f t="shared" si="3"/>
        <v>52.79153085</v>
      </c>
    </row>
    <row r="72" spans="1:10" ht="12.75">
      <c r="A72" s="117" t="s">
        <v>143</v>
      </c>
      <c r="B72" s="2">
        <v>22732</v>
      </c>
      <c r="C72" s="2">
        <v>964</v>
      </c>
      <c r="D72" s="2">
        <v>316657</v>
      </c>
      <c r="E72" s="49">
        <f>B72*B119/1000/1000</f>
        <v>10.456719999999999</v>
      </c>
      <c r="F72" s="19" t="s">
        <v>89</v>
      </c>
      <c r="G72" s="47">
        <f>D72*B121/1000000</f>
        <v>22.46681415</v>
      </c>
      <c r="J72" s="53">
        <f t="shared" si="3"/>
        <v>32.92353415</v>
      </c>
    </row>
    <row r="73" spans="1:10" ht="12.75">
      <c r="A73" s="118" t="s">
        <v>51</v>
      </c>
      <c r="B73" s="2">
        <v>8664.649</v>
      </c>
      <c r="C73" s="2">
        <v>84.174</v>
      </c>
      <c r="D73" s="2">
        <v>54932</v>
      </c>
      <c r="E73" s="49">
        <f>B73*B119/1000/1000</f>
        <v>3.9857385399999994</v>
      </c>
      <c r="F73" s="2" t="s">
        <v>89</v>
      </c>
      <c r="G73" s="47">
        <f>D73*B121/1000000</f>
        <v>3.8974254000000004</v>
      </c>
      <c r="J73" s="53">
        <f t="shared" si="3"/>
        <v>7.883163939999999</v>
      </c>
    </row>
    <row r="74" spans="1:10" ht="12.75">
      <c r="A74" s="118" t="s">
        <v>52</v>
      </c>
      <c r="B74" s="2">
        <v>17221.766</v>
      </c>
      <c r="C74" s="2">
        <v>180.624</v>
      </c>
      <c r="D74" s="2">
        <v>46757</v>
      </c>
      <c r="E74" s="49">
        <f>B74*B119/1000/1000</f>
        <v>7.92201236</v>
      </c>
      <c r="F74" s="2" t="s">
        <v>89</v>
      </c>
      <c r="G74" s="47">
        <f>D74*B121/1000000</f>
        <v>3.31740915</v>
      </c>
      <c r="J74" s="53">
        <f t="shared" si="3"/>
        <v>11.23942151</v>
      </c>
    </row>
    <row r="75" spans="1:10" ht="12.75">
      <c r="A75" s="119" t="s">
        <v>53</v>
      </c>
      <c r="B75" s="2">
        <v>228050.942</v>
      </c>
      <c r="C75" s="2">
        <v>2832.793</v>
      </c>
      <c r="D75" s="2">
        <v>407681.5</v>
      </c>
      <c r="E75" s="49">
        <f>B75*B119/1000/1000</f>
        <v>104.90343332</v>
      </c>
      <c r="F75" s="19" t="s">
        <v>90</v>
      </c>
      <c r="G75" s="47"/>
      <c r="I75" s="58">
        <f>D75/10*B118/1000</f>
        <v>108.03559750000001</v>
      </c>
      <c r="J75" s="53">
        <f t="shared" si="3"/>
        <v>212.93903082000003</v>
      </c>
    </row>
    <row r="76" spans="1:10" ht="12.75">
      <c r="A76" s="120" t="s">
        <v>54</v>
      </c>
      <c r="B76" s="2">
        <v>129213.919</v>
      </c>
      <c r="C76" s="2">
        <v>373.857</v>
      </c>
      <c r="D76" s="43">
        <v>0</v>
      </c>
      <c r="E76" s="49">
        <f>B76*B119/1000/1000</f>
        <v>59.43840274</v>
      </c>
      <c r="F76" s="44" t="s">
        <v>83</v>
      </c>
      <c r="G76" s="47"/>
      <c r="J76" s="53">
        <f t="shared" si="3"/>
        <v>59.43840274</v>
      </c>
    </row>
    <row r="77" spans="1:10" ht="12.75">
      <c r="A77" s="120" t="s">
        <v>55</v>
      </c>
      <c r="B77" s="2">
        <v>17836.857</v>
      </c>
      <c r="C77" s="2">
        <v>296.571</v>
      </c>
      <c r="D77" s="2">
        <v>258700</v>
      </c>
      <c r="E77" s="49">
        <f>B77*B119/1000/1000</f>
        <v>8.20495422</v>
      </c>
      <c r="F77" s="19" t="s">
        <v>89</v>
      </c>
      <c r="G77" s="47">
        <f>D77*B121/1000000</f>
        <v>18.354765</v>
      </c>
      <c r="J77" s="53">
        <f t="shared" si="3"/>
        <v>26.559719219999998</v>
      </c>
    </row>
    <row r="78" spans="1:10" ht="12.75">
      <c r="A78" s="120" t="s">
        <v>56</v>
      </c>
      <c r="B78" s="2">
        <v>50705</v>
      </c>
      <c r="C78" s="2">
        <v>524</v>
      </c>
      <c r="D78" s="2">
        <v>205251</v>
      </c>
      <c r="E78" s="49">
        <f>B78*B119/1000/1000</f>
        <v>23.3243</v>
      </c>
      <c r="F78" s="19" t="s">
        <v>88</v>
      </c>
      <c r="G78" s="47"/>
      <c r="H78" s="56">
        <f>D78/278*56.78/1000</f>
        <v>41.921409280575546</v>
      </c>
      <c r="J78" s="53">
        <f t="shared" si="3"/>
        <v>65.24570928057554</v>
      </c>
    </row>
    <row r="79" spans="1:10" ht="12.75">
      <c r="A79" s="121" t="s">
        <v>57</v>
      </c>
      <c r="B79" s="2">
        <v>65251.222</v>
      </c>
      <c r="C79" s="2">
        <v>1427.274</v>
      </c>
      <c r="D79" s="2">
        <v>198500</v>
      </c>
      <c r="E79" s="49">
        <f>B79*B119/1000/1000</f>
        <v>30.015562120000002</v>
      </c>
      <c r="F79" s="19" t="s">
        <v>89</v>
      </c>
      <c r="G79" s="47">
        <f>D79*B121/1000000</f>
        <v>14.083575</v>
      </c>
      <c r="J79" s="53">
        <f t="shared" si="3"/>
        <v>44.09913712</v>
      </c>
    </row>
    <row r="80" spans="1:10" ht="12.75">
      <c r="A80" s="101" t="s">
        <v>153</v>
      </c>
      <c r="B80" s="71">
        <f>SUM(B68:B79)</f>
        <v>1060041.383</v>
      </c>
      <c r="C80" s="60">
        <f>SUM(C68:C79)</f>
        <v>12776.511</v>
      </c>
      <c r="D80" s="60">
        <f>SUM(D68:D79)</f>
        <v>3327180.9368000003</v>
      </c>
      <c r="E80" s="70">
        <f>SUM(E68:E79)</f>
        <v>487.6190361800001</v>
      </c>
      <c r="F80" s="71"/>
      <c r="G80" s="72">
        <f>SUM(G68:G79)</f>
        <v>145.37193825</v>
      </c>
      <c r="H80" s="72">
        <f>SUM(H68:H79)</f>
        <v>177.8080889262734</v>
      </c>
      <c r="I80" s="72">
        <f>SUM(I68:I79)</f>
        <v>108.03559750000001</v>
      </c>
      <c r="J80" s="72">
        <f>SUM(J68:J79)</f>
        <v>918.8346608562734</v>
      </c>
    </row>
    <row r="82" spans="1:6" ht="12.75">
      <c r="A82" s="101" t="s">
        <v>63</v>
      </c>
      <c r="B82" s="106"/>
      <c r="C82" s="10"/>
      <c r="D82" s="10"/>
      <c r="E82" s="10"/>
      <c r="F82" s="10"/>
    </row>
    <row r="83" spans="1:10" ht="12.75">
      <c r="A83" s="114" t="s">
        <v>58</v>
      </c>
      <c r="B83" s="2">
        <v>120000</v>
      </c>
      <c r="C83" s="2">
        <v>314.234</v>
      </c>
      <c r="D83" s="2">
        <v>187760</v>
      </c>
      <c r="E83" s="49">
        <f>B83*B119/1000/1000</f>
        <v>55.2</v>
      </c>
      <c r="F83" s="2" t="s">
        <v>89</v>
      </c>
      <c r="G83" s="59">
        <f>D83*B121/1000000</f>
        <v>13.321572</v>
      </c>
      <c r="J83" s="57">
        <f>E83+G83</f>
        <v>68.521572</v>
      </c>
    </row>
    <row r="84" spans="1:10" ht="12.75">
      <c r="A84" s="122" t="s">
        <v>59</v>
      </c>
      <c r="B84" s="2">
        <v>8973.509</v>
      </c>
      <c r="C84" s="2">
        <v>29.043</v>
      </c>
      <c r="D84" s="2">
        <v>34788</v>
      </c>
      <c r="E84" s="49">
        <f>B84*B119/1000/1000</f>
        <v>4.127814140000001</v>
      </c>
      <c r="F84" s="5" t="s">
        <v>89</v>
      </c>
      <c r="G84" s="57">
        <f>D84*B121/1000000</f>
        <v>2.4682086</v>
      </c>
      <c r="J84" s="57">
        <f>E84+G84</f>
        <v>6.59602274</v>
      </c>
    </row>
    <row r="85" spans="1:10" ht="12.75">
      <c r="A85" s="114" t="s">
        <v>60</v>
      </c>
      <c r="B85" s="2">
        <v>403189.739</v>
      </c>
      <c r="C85" s="2">
        <v>755.167</v>
      </c>
      <c r="D85" s="2">
        <v>321827</v>
      </c>
      <c r="E85" s="49">
        <f>B85*B119/1000/1000</f>
        <v>185.46727994</v>
      </c>
      <c r="F85" s="2" t="s">
        <v>89</v>
      </c>
      <c r="G85" s="57">
        <f>D85*B121/1000000</f>
        <v>22.833625650000002</v>
      </c>
      <c r="J85" s="57">
        <f>E85+G85</f>
        <v>208.30090559</v>
      </c>
    </row>
    <row r="86" spans="1:10" ht="12.75">
      <c r="A86" s="114" t="s">
        <v>61</v>
      </c>
      <c r="B86" s="2">
        <v>75000</v>
      </c>
      <c r="C86" s="2">
        <v>306.81</v>
      </c>
      <c r="D86" s="2">
        <v>94104</v>
      </c>
      <c r="E86" s="49">
        <f>B86*B119/1000/1000</f>
        <v>34.5</v>
      </c>
      <c r="F86" s="2" t="s">
        <v>89</v>
      </c>
      <c r="G86" s="57">
        <f>D86*B121/1000000</f>
        <v>6.6766787999999995</v>
      </c>
      <c r="J86" s="57">
        <f>E86+G86</f>
        <v>41.1766788</v>
      </c>
    </row>
    <row r="87" spans="1:10" ht="12.75">
      <c r="A87" s="118" t="s">
        <v>62</v>
      </c>
      <c r="B87" s="107">
        <v>24261</v>
      </c>
      <c r="C87" s="11">
        <v>177.6</v>
      </c>
      <c r="D87" s="11">
        <v>166666</v>
      </c>
      <c r="E87" s="49">
        <f>B87*B119/1000/1000</f>
        <v>11.16006</v>
      </c>
      <c r="F87" s="2" t="s">
        <v>89</v>
      </c>
      <c r="G87" s="57">
        <f>D87*B121/1000000</f>
        <v>11.8249527</v>
      </c>
      <c r="J87" s="57">
        <f>E87+G87</f>
        <v>22.9850127</v>
      </c>
    </row>
    <row r="88" spans="1:10" ht="12.75">
      <c r="A88" s="101" t="s">
        <v>63</v>
      </c>
      <c r="B88" s="70">
        <f>SUM(B83:B87)</f>
        <v>631424.248</v>
      </c>
      <c r="C88" s="73">
        <f>SUM(C83:C87)</f>
        <v>1582.8539999999998</v>
      </c>
      <c r="D88" s="73">
        <f>SUM(D83:D87)</f>
        <v>805145</v>
      </c>
      <c r="E88" s="70">
        <f>SUM(E83:E87)</f>
        <v>290.45515408</v>
      </c>
      <c r="F88" s="70"/>
      <c r="G88" s="66">
        <f>SUM(G83:G87)</f>
        <v>57.125037750000004</v>
      </c>
      <c r="H88" s="66">
        <f>SUM(H83:H87)</f>
        <v>0</v>
      </c>
      <c r="I88" s="66">
        <f>SUM(I83:I87)</f>
        <v>0</v>
      </c>
      <c r="J88" s="66">
        <f>SUM(J83:J87)</f>
        <v>347.58019183</v>
      </c>
    </row>
    <row r="89" spans="1:6" ht="12.75">
      <c r="A89" s="114"/>
      <c r="B89" s="104"/>
      <c r="C89" s="42"/>
      <c r="D89" s="42"/>
      <c r="E89" s="42"/>
      <c r="F89" s="42"/>
    </row>
    <row r="90" spans="1:6" ht="12.75">
      <c r="A90" s="123" t="s">
        <v>80</v>
      </c>
      <c r="B90" s="104"/>
      <c r="C90" s="42"/>
      <c r="D90" s="42"/>
      <c r="E90" s="42"/>
      <c r="F90" s="42"/>
    </row>
    <row r="91" spans="1:10" ht="12.75">
      <c r="A91" s="75" t="s">
        <v>64</v>
      </c>
      <c r="B91" s="75">
        <f>B21+B51+B65+B80+B88</f>
        <v>5675509.332</v>
      </c>
      <c r="C91" s="74">
        <f>C21+C51+C65+C80+C88</f>
        <v>70168.00220000002</v>
      </c>
      <c r="D91" s="74">
        <f>D21+D51+D65+D80+D88</f>
        <v>18851557.039600004</v>
      </c>
      <c r="E91" s="75">
        <f>E88+E80+E65+E51+E21</f>
        <v>2610.7342927199998</v>
      </c>
      <c r="F91" s="75"/>
      <c r="G91" s="75">
        <f>G88+G80+G65+G51+G21</f>
        <v>792.5431991829</v>
      </c>
      <c r="H91" s="75">
        <f>H88+H80+H65+H51+H21</f>
        <v>1032.774166599741</v>
      </c>
      <c r="I91" s="75">
        <f>I88+I80+I65+I51+I21</f>
        <v>675.73775965</v>
      </c>
      <c r="J91" s="75">
        <f>J88+J80+J65+J51+J21</f>
        <v>5111.789418152641</v>
      </c>
    </row>
    <row r="92" spans="1:6" ht="12.75">
      <c r="A92" s="114"/>
      <c r="B92" s="101"/>
      <c r="C92" s="7"/>
      <c r="D92" s="7"/>
      <c r="E92" s="7"/>
      <c r="F92" s="7"/>
    </row>
    <row r="93" spans="1:6" ht="12.75">
      <c r="A93" s="101" t="s">
        <v>154</v>
      </c>
      <c r="B93" s="108" t="s">
        <v>67</v>
      </c>
      <c r="C93" s="8" t="s">
        <v>68</v>
      </c>
      <c r="D93" s="8" t="s">
        <v>69</v>
      </c>
      <c r="E93" s="38"/>
      <c r="F93" s="38"/>
    </row>
    <row r="94" spans="1:6" ht="12.75">
      <c r="A94" s="114"/>
      <c r="B94" s="109" t="s">
        <v>70</v>
      </c>
      <c r="C94" s="9" t="s">
        <v>71</v>
      </c>
      <c r="D94" s="9" t="s">
        <v>72</v>
      </c>
      <c r="E94" s="38"/>
      <c r="F94" s="38"/>
    </row>
    <row r="95" spans="1:10" ht="12.75">
      <c r="A95" s="114" t="s">
        <v>65</v>
      </c>
      <c r="B95" s="2">
        <v>43184</v>
      </c>
      <c r="C95" s="2">
        <v>1200</v>
      </c>
      <c r="D95" s="2">
        <v>56667</v>
      </c>
      <c r="E95" s="55">
        <f>B95*B119/1000/1000</f>
        <v>19.864639999999998</v>
      </c>
      <c r="F95" s="19" t="s">
        <v>88</v>
      </c>
      <c r="H95" s="56">
        <f>D95/278*56.78/1000</f>
        <v>11.573928992805754</v>
      </c>
      <c r="J95" s="57">
        <f>E95+G95+H95+I95</f>
        <v>31.438568992805752</v>
      </c>
    </row>
    <row r="96" spans="1:10" ht="12.75">
      <c r="A96" s="114" t="s">
        <v>116</v>
      </c>
      <c r="B96" s="2">
        <v>3351320</v>
      </c>
      <c r="C96" s="42">
        <v>2200288</v>
      </c>
      <c r="D96" s="42">
        <v>121000</v>
      </c>
      <c r="E96" s="55">
        <f>B96*B119/1000/1000</f>
        <v>1541.6072</v>
      </c>
      <c r="F96" s="45" t="s">
        <v>89</v>
      </c>
      <c r="G96" s="56">
        <f>D96*B121/1000000</f>
        <v>8.58495</v>
      </c>
      <c r="H96" s="56"/>
      <c r="J96" s="57">
        <f>E96+G96+H96+I96</f>
        <v>1550.1921499999999</v>
      </c>
    </row>
    <row r="97" spans="1:10" ht="12.75">
      <c r="A97" s="3" t="s">
        <v>66</v>
      </c>
      <c r="B97" s="2">
        <v>1948811</v>
      </c>
      <c r="C97" s="2">
        <v>4878492</v>
      </c>
      <c r="D97" s="2">
        <f>8261*11</f>
        <v>90871</v>
      </c>
      <c r="E97" s="55">
        <f>B97*B119/1000/1000</f>
        <v>896.45306</v>
      </c>
      <c r="F97" s="45" t="s">
        <v>88</v>
      </c>
      <c r="H97" s="56">
        <f>D97/278*56.78/1000</f>
        <v>18.55991143884892</v>
      </c>
      <c r="J97" s="57">
        <f>E97+G97+H97+I97</f>
        <v>915.0129714388489</v>
      </c>
    </row>
    <row r="98" spans="1:10" ht="12.75">
      <c r="A98" s="71" t="s">
        <v>64</v>
      </c>
      <c r="B98" s="81">
        <f>SUM(B95:B97)</f>
        <v>5343315</v>
      </c>
      <c r="C98" s="77">
        <f>SUM(C95:C97)</f>
        <v>7079980</v>
      </c>
      <c r="D98" s="77">
        <f>SUM(D95:D97)</f>
        <v>268538</v>
      </c>
      <c r="E98" s="78">
        <f>SUM(E95:E97)</f>
        <v>2457.9249</v>
      </c>
      <c r="F98" s="79"/>
      <c r="G98" s="66">
        <f>SUM(G95:G97)</f>
        <v>8.58495</v>
      </c>
      <c r="H98" s="66">
        <f>SUM(H95:H97)</f>
        <v>30.133840431654676</v>
      </c>
      <c r="I98" s="66"/>
      <c r="J98" s="66">
        <f>SUM(J95:J97)</f>
        <v>2496.6436904316547</v>
      </c>
    </row>
    <row r="99" spans="1:10" ht="12.75">
      <c r="A99" s="71" t="s">
        <v>112</v>
      </c>
      <c r="B99" s="82">
        <f>B98+B88+B80+B65+B51+B21</f>
        <v>11018824.331999999</v>
      </c>
      <c r="C99" s="82">
        <f>C98+C88+C80+C65+C51+C21</f>
        <v>7150148.0022</v>
      </c>
      <c r="D99" s="82">
        <f>D98+D88+D80+D65+D51+D21</f>
        <v>19120095.0396</v>
      </c>
      <c r="E99" s="82">
        <f>E98+E88+E80+E65+E51+E21</f>
        <v>5068.65919272</v>
      </c>
      <c r="F99" s="79"/>
      <c r="G99" s="66"/>
      <c r="H99" s="66"/>
      <c r="I99" s="66"/>
      <c r="J99" s="66"/>
    </row>
    <row r="100" spans="1:10" ht="12.75">
      <c r="A100" s="71" t="s">
        <v>113</v>
      </c>
      <c r="B100" s="81">
        <f>B99*500/1000/1000</f>
        <v>5509.412165999999</v>
      </c>
      <c r="C100" s="81"/>
      <c r="D100" s="81"/>
      <c r="E100" s="82">
        <f>B100</f>
        <v>5509.412165999999</v>
      </c>
      <c r="F100" s="79"/>
      <c r="G100" s="66"/>
      <c r="H100" s="66"/>
      <c r="I100" s="66"/>
      <c r="J100" s="66"/>
    </row>
    <row r="101" spans="1:10" ht="12.75">
      <c r="A101" s="71" t="s">
        <v>34</v>
      </c>
      <c r="B101" s="81"/>
      <c r="C101" s="81"/>
      <c r="D101" s="81"/>
      <c r="E101" s="78">
        <f>E99-E100</f>
        <v>-440.7529732799994</v>
      </c>
      <c r="F101" s="79"/>
      <c r="G101" s="66"/>
      <c r="H101" s="66"/>
      <c r="I101" s="66"/>
      <c r="J101" s="66"/>
    </row>
    <row r="102" spans="1:6" ht="12.75">
      <c r="A102" s="114"/>
      <c r="B102" s="104"/>
      <c r="C102" s="42"/>
      <c r="D102" s="42"/>
      <c r="E102" s="76"/>
      <c r="F102" s="42"/>
    </row>
    <row r="103" spans="1:6" ht="12.75">
      <c r="A103" s="71" t="s">
        <v>105</v>
      </c>
      <c r="B103" s="110" t="s">
        <v>96</v>
      </c>
      <c r="C103" s="45" t="s">
        <v>97</v>
      </c>
      <c r="D103" s="42"/>
      <c r="E103" s="80" t="s">
        <v>108</v>
      </c>
      <c r="F103" s="42"/>
    </row>
    <row r="104" spans="1:6" ht="12.75">
      <c r="A104" s="114"/>
      <c r="B104" s="110" t="s">
        <v>109</v>
      </c>
      <c r="C104" s="45" t="s">
        <v>110</v>
      </c>
      <c r="D104" s="42"/>
      <c r="E104" s="76"/>
      <c r="F104" s="42"/>
    </row>
    <row r="105" spans="1:6" ht="12.75">
      <c r="A105" s="114" t="s">
        <v>106</v>
      </c>
      <c r="B105" s="104">
        <f>Transport09!B12+Transport09!B13</f>
        <v>70246.3</v>
      </c>
      <c r="C105" s="42"/>
      <c r="D105" s="42"/>
      <c r="E105" s="76"/>
      <c r="F105" s="42"/>
    </row>
    <row r="106" spans="1:6" ht="12.75">
      <c r="A106" s="114" t="s">
        <v>111</v>
      </c>
      <c r="B106" s="104">
        <f>Transport09!B9+Transport09!B14</f>
        <v>15177</v>
      </c>
      <c r="C106" s="42">
        <f>Transport09!D14+Transport09!D9</f>
        <v>107834</v>
      </c>
      <c r="D106" s="42"/>
      <c r="E106" s="76"/>
      <c r="F106" s="42"/>
    </row>
    <row r="107" spans="1:6" ht="12.75">
      <c r="A107" s="114" t="s">
        <v>107</v>
      </c>
      <c r="B107" s="104">
        <f>SUM(B105:B106)</f>
        <v>85423.3</v>
      </c>
      <c r="C107" s="42">
        <f>SUM(C105:C106)</f>
        <v>107834</v>
      </c>
      <c r="D107" s="42"/>
      <c r="E107" s="80">
        <f>B107*B117/1000+C107*B118/1000</f>
        <v>490.77602</v>
      </c>
      <c r="F107" s="42"/>
    </row>
    <row r="108" spans="1:6" ht="12.75">
      <c r="A108" s="114"/>
      <c r="B108" s="104"/>
      <c r="C108" s="42"/>
      <c r="D108" s="42"/>
      <c r="E108" s="76"/>
      <c r="F108" s="42"/>
    </row>
    <row r="109" spans="1:6" ht="12.75">
      <c r="A109" s="114"/>
      <c r="B109" s="104"/>
      <c r="C109" s="42"/>
      <c r="D109" s="42"/>
      <c r="E109" s="76"/>
      <c r="F109" s="42"/>
    </row>
    <row r="110" spans="1:6" ht="12.75">
      <c r="A110" s="114"/>
      <c r="B110" s="104"/>
      <c r="C110" s="42"/>
      <c r="D110" s="42"/>
      <c r="E110" s="76"/>
      <c r="F110" s="42"/>
    </row>
    <row r="111" spans="1:6" ht="12.75">
      <c r="A111" s="114"/>
      <c r="B111" s="104"/>
      <c r="C111" s="42"/>
      <c r="D111" s="42"/>
      <c r="E111" s="76"/>
      <c r="F111" s="42"/>
    </row>
    <row r="112" spans="1:4" ht="12.75">
      <c r="A112" s="114" t="s">
        <v>82</v>
      </c>
      <c r="B112" s="111"/>
      <c r="C112" s="12"/>
      <c r="D112" s="12"/>
    </row>
    <row r="113" spans="1:3" ht="12.75">
      <c r="A113" s="114" t="s">
        <v>84</v>
      </c>
      <c r="B113" s="15"/>
      <c r="C113" s="15"/>
    </row>
    <row r="114" spans="1:3" ht="12.75">
      <c r="A114" s="114"/>
      <c r="B114" s="15"/>
      <c r="C114" s="15"/>
    </row>
    <row r="115" spans="1:3" ht="12.75">
      <c r="A115" s="101" t="s">
        <v>93</v>
      </c>
      <c r="B115" s="112" t="s">
        <v>95</v>
      </c>
      <c r="C115" s="15"/>
    </row>
    <row r="116" spans="1:4" ht="12.75">
      <c r="A116" s="114" t="s">
        <v>94</v>
      </c>
      <c r="B116" s="15">
        <v>2.245</v>
      </c>
      <c r="C116" s="15" t="s">
        <v>99</v>
      </c>
      <c r="D116" t="s">
        <v>104</v>
      </c>
    </row>
    <row r="117" spans="1:3" ht="12.75">
      <c r="A117" s="114" t="s">
        <v>96</v>
      </c>
      <c r="B117" s="15">
        <v>2.4</v>
      </c>
      <c r="C117" s="15" t="s">
        <v>100</v>
      </c>
    </row>
    <row r="118" spans="1:3" ht="12.75">
      <c r="A118" s="114" t="s">
        <v>98</v>
      </c>
      <c r="B118" s="15">
        <v>2.65</v>
      </c>
      <c r="C118" s="15" t="s">
        <v>100</v>
      </c>
    </row>
    <row r="119" spans="1:4" ht="12.75">
      <c r="A119" s="15" t="s">
        <v>83</v>
      </c>
      <c r="B119" s="15">
        <v>460</v>
      </c>
      <c r="C119" s="48" t="s">
        <v>101</v>
      </c>
      <c r="D119" t="s">
        <v>128</v>
      </c>
    </row>
    <row r="120" spans="1:3" ht="12.75">
      <c r="A120" s="114" t="s">
        <v>141</v>
      </c>
      <c r="B120" s="15">
        <v>129</v>
      </c>
      <c r="C120" s="48" t="s">
        <v>101</v>
      </c>
    </row>
    <row r="121" spans="1:4" ht="12.75">
      <c r="A121" s="114" t="s">
        <v>142</v>
      </c>
      <c r="B121" s="48">
        <f>B120*0.55</f>
        <v>70.95</v>
      </c>
      <c r="C121" s="48" t="s">
        <v>101</v>
      </c>
      <c r="D121" t="s">
        <v>144</v>
      </c>
    </row>
    <row r="122" spans="1:3" ht="12.75">
      <c r="A122" s="114"/>
      <c r="B122" s="15"/>
      <c r="C122" s="15"/>
    </row>
    <row r="123" spans="1:2" ht="15.75">
      <c r="A123" s="124"/>
      <c r="B123"/>
    </row>
    <row r="124" spans="1:2" ht="12.75">
      <c r="A124" s="15"/>
      <c r="B124"/>
    </row>
    <row r="125" spans="1:2" ht="12.75">
      <c r="A125" s="15"/>
      <c r="B125"/>
    </row>
    <row r="126" spans="1:2" ht="12.75">
      <c r="A126" s="15"/>
      <c r="B126"/>
    </row>
    <row r="127" spans="1:2" ht="12.75">
      <c r="A127" s="15"/>
      <c r="B127"/>
    </row>
    <row r="128" spans="1:2" ht="12.75">
      <c r="A128" s="15"/>
      <c r="B128"/>
    </row>
    <row r="129" spans="1:2" ht="12.75">
      <c r="A129" s="15"/>
      <c r="B129"/>
    </row>
    <row r="130" spans="1:2" ht="12.75">
      <c r="A130" s="15"/>
      <c r="B130"/>
    </row>
    <row r="131" spans="1:2" ht="12.75">
      <c r="A131" s="114"/>
      <c r="B131" s="15"/>
    </row>
    <row r="132" spans="1:2" ht="12.75">
      <c r="A132" s="114"/>
      <c r="B132" s="15"/>
    </row>
    <row r="133" spans="1:2" ht="12.75">
      <c r="A133" s="114"/>
      <c r="B133" s="15"/>
    </row>
    <row r="134" spans="1:2" ht="12.75">
      <c r="A134" s="114"/>
      <c r="B134" s="15"/>
    </row>
    <row r="135" spans="1:2" ht="12.75">
      <c r="A135" s="114"/>
      <c r="B135" s="15"/>
    </row>
    <row r="136" spans="1:2" ht="12.75">
      <c r="A136" s="114"/>
      <c r="B136" s="15"/>
    </row>
    <row r="137" spans="1:2" ht="12.75">
      <c r="A137" s="114"/>
      <c r="B137" s="15"/>
    </row>
    <row r="138" spans="1:2" ht="12.75">
      <c r="A138" s="114"/>
      <c r="B138" s="15"/>
    </row>
    <row r="139" spans="1:2" ht="12.75">
      <c r="A139" s="114"/>
      <c r="B139" s="15"/>
    </row>
    <row r="140" spans="1:2" ht="12.75">
      <c r="A140" s="114"/>
      <c r="B140" s="15"/>
    </row>
    <row r="141" spans="1:2" ht="12.75">
      <c r="A141" s="114"/>
      <c r="B141" s="15"/>
    </row>
    <row r="142" spans="1:2" ht="12.75">
      <c r="A142" s="114"/>
      <c r="B142" s="15"/>
    </row>
    <row r="143" spans="1:2" ht="12.75">
      <c r="A143" s="114"/>
      <c r="B143" s="15"/>
    </row>
    <row r="144" spans="1:2" ht="12.75">
      <c r="A144" s="114"/>
      <c r="B144" s="15"/>
    </row>
    <row r="145" spans="1:2" ht="12.75">
      <c r="A145" s="114"/>
      <c r="B145" s="15"/>
    </row>
    <row r="146" spans="1:2" ht="12.75">
      <c r="A146" s="114"/>
      <c r="B146" s="15"/>
    </row>
    <row r="147" spans="1:2" ht="12.75">
      <c r="A147" s="114"/>
      <c r="B147" s="15"/>
    </row>
    <row r="148" spans="1:2" ht="12.75">
      <c r="A148" s="114"/>
      <c r="B148" s="15"/>
    </row>
    <row r="149" spans="1:2" ht="12.75">
      <c r="A149" s="114"/>
      <c r="B149" s="15"/>
    </row>
    <row r="150" spans="1:2" ht="12.75">
      <c r="A150" s="114"/>
      <c r="B150" s="15"/>
    </row>
    <row r="151" spans="1:2" ht="12.75">
      <c r="A151" s="114"/>
      <c r="B151" s="15"/>
    </row>
    <row r="152" spans="1:2" ht="12.75">
      <c r="A152" s="114"/>
      <c r="B152" s="15"/>
    </row>
    <row r="153" spans="1:2" ht="12.75">
      <c r="A153" s="114"/>
      <c r="B153" s="15"/>
    </row>
    <row r="154" spans="1:2" ht="12.75">
      <c r="A154" s="114"/>
      <c r="B154" s="15"/>
    </row>
    <row r="155" spans="1:2" ht="12.75">
      <c r="A155" s="114"/>
      <c r="B155" s="15"/>
    </row>
    <row r="156" spans="1:2" ht="12.75">
      <c r="A156" s="114"/>
      <c r="B156" s="15"/>
    </row>
    <row r="157" spans="1:2" ht="12.75">
      <c r="A157" s="114"/>
      <c r="B157" s="15"/>
    </row>
    <row r="158" spans="1:2" ht="12.75">
      <c r="A158" s="114"/>
      <c r="B158" s="15"/>
    </row>
    <row r="159" spans="1:2" ht="12.75">
      <c r="A159" s="114"/>
      <c r="B159" s="15"/>
    </row>
    <row r="160" spans="1:2" ht="12.75">
      <c r="A160" s="114"/>
      <c r="B160" s="15"/>
    </row>
    <row r="161" spans="1:2" ht="12.75">
      <c r="A161" s="114"/>
      <c r="B161" s="15"/>
    </row>
    <row r="162" spans="1:2" ht="12.75">
      <c r="A162" s="114"/>
      <c r="B162" s="15"/>
    </row>
    <row r="163" spans="1:2" ht="12.75">
      <c r="A163" s="114"/>
      <c r="B163" s="15"/>
    </row>
    <row r="164" spans="1:2" ht="12.75">
      <c r="A164" s="114"/>
      <c r="B164" s="15"/>
    </row>
    <row r="165" spans="1:2" ht="12.75">
      <c r="A165" s="114"/>
      <c r="B165" s="15"/>
    </row>
    <row r="166" spans="1:2" ht="12.75">
      <c r="A166" s="114"/>
      <c r="B166" s="15"/>
    </row>
    <row r="167" spans="1:2" ht="12.75">
      <c r="A167" s="114"/>
      <c r="B167" s="15"/>
    </row>
    <row r="168" spans="1:2" ht="12.75">
      <c r="A168" s="114"/>
      <c r="B168" s="15"/>
    </row>
    <row r="169" spans="1:2" ht="12.75">
      <c r="A169" s="114"/>
      <c r="B169" s="15"/>
    </row>
    <row r="170" spans="1:2" ht="12.75">
      <c r="A170" s="114"/>
      <c r="B170" s="15"/>
    </row>
    <row r="171" spans="1:2" ht="12.75">
      <c r="A171" s="114"/>
      <c r="B171" s="15"/>
    </row>
    <row r="172" spans="1:2" ht="12.75">
      <c r="A172" s="114"/>
      <c r="B172" s="15"/>
    </row>
    <row r="173" spans="1:2" ht="12.75">
      <c r="A173" s="114"/>
      <c r="B173" s="15"/>
    </row>
    <row r="174" spans="1:2" ht="12.75">
      <c r="A174" s="114"/>
      <c r="B174" s="15"/>
    </row>
    <row r="175" spans="1:2" ht="12.75">
      <c r="A175" s="114"/>
      <c r="B175" s="15"/>
    </row>
    <row r="176" spans="1:2" ht="12.75">
      <c r="A176" s="114"/>
      <c r="B176" s="15"/>
    </row>
    <row r="177" spans="1:2" ht="12.75">
      <c r="A177" s="114"/>
      <c r="B177" s="15"/>
    </row>
    <row r="178" spans="1:2" ht="12.75">
      <c r="A178" s="114"/>
      <c r="B178" s="15"/>
    </row>
    <row r="179" spans="1:2" ht="12.75">
      <c r="A179" s="114"/>
      <c r="B179" s="15"/>
    </row>
    <row r="180" spans="1:2" ht="12.75">
      <c r="A180" s="114"/>
      <c r="B180" s="15"/>
    </row>
    <row r="181" spans="1:2" ht="12.75">
      <c r="A181" s="114"/>
      <c r="B181" s="15"/>
    </row>
    <row r="182" spans="1:2" ht="12.75">
      <c r="A182" s="114"/>
      <c r="B182" s="15"/>
    </row>
    <row r="183" spans="1:2" ht="12.75">
      <c r="A183" s="114"/>
      <c r="B183" s="15"/>
    </row>
    <row r="184" spans="1:2" ht="12.75">
      <c r="A184" s="114"/>
      <c r="B184" s="15"/>
    </row>
    <row r="185" spans="1:2" ht="12.75">
      <c r="A185" s="114"/>
      <c r="B185" s="15"/>
    </row>
    <row r="186" spans="1:2" ht="12.75">
      <c r="A186" s="114"/>
      <c r="B186" s="15"/>
    </row>
    <row r="187" spans="1:2" ht="12.75">
      <c r="A187" s="114"/>
      <c r="B187" s="15"/>
    </row>
    <row r="188" spans="1:2" ht="12.75">
      <c r="A188" s="114"/>
      <c r="B188" s="15"/>
    </row>
    <row r="189" spans="1:2" ht="12.75">
      <c r="A189" s="114"/>
      <c r="B189" s="15"/>
    </row>
    <row r="190" spans="1:2" ht="12.75">
      <c r="A190" s="114"/>
      <c r="B190" s="15"/>
    </row>
    <row r="191" spans="1:2" ht="12.75">
      <c r="A191" s="114"/>
      <c r="B191" s="15"/>
    </row>
    <row r="192" spans="1:2" ht="12.75">
      <c r="A192" s="114"/>
      <c r="B192" s="15"/>
    </row>
    <row r="193" spans="1:2" ht="12.75">
      <c r="A193" s="114"/>
      <c r="B193" s="15"/>
    </row>
    <row r="194" spans="1:2" ht="12.75">
      <c r="A194" s="114"/>
      <c r="B194" s="15"/>
    </row>
    <row r="195" spans="1:2" ht="12.75">
      <c r="A195" s="114"/>
      <c r="B195" s="15"/>
    </row>
    <row r="196" spans="1:2" ht="12.75">
      <c r="A196" s="114"/>
      <c r="B196" s="15"/>
    </row>
    <row r="197" spans="1:2" ht="12.75">
      <c r="A197" s="114"/>
      <c r="B197" s="15"/>
    </row>
    <row r="198" spans="1:2" ht="12.75">
      <c r="A198" s="114"/>
      <c r="B198" s="15"/>
    </row>
    <row r="199" spans="1:2" ht="12.75">
      <c r="A199" s="114"/>
      <c r="B199" s="15"/>
    </row>
    <row r="200" spans="1:2" ht="12.75">
      <c r="A200" s="114"/>
      <c r="B200" s="15"/>
    </row>
    <row r="201" spans="1:2" ht="12.75">
      <c r="A201" s="114"/>
      <c r="B201" s="15"/>
    </row>
    <row r="202" spans="1:2" ht="12.75">
      <c r="A202" s="114"/>
      <c r="B202" s="15"/>
    </row>
    <row r="203" spans="1:2" ht="12.75">
      <c r="A203" s="114"/>
      <c r="B203" s="15"/>
    </row>
    <row r="204" spans="1:2" ht="12.75">
      <c r="A204" s="114"/>
      <c r="B204" s="15"/>
    </row>
    <row r="205" spans="1:2" ht="12.75">
      <c r="A205" s="114"/>
      <c r="B205" s="15"/>
    </row>
    <row r="206" spans="1:2" ht="12.75">
      <c r="A206" s="114"/>
      <c r="B206" s="15"/>
    </row>
  </sheetData>
  <sheetProtection/>
  <mergeCells count="3">
    <mergeCell ref="A1:A2"/>
    <mergeCell ref="B1:D1"/>
    <mergeCell ref="G2:I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6.140625" style="0" customWidth="1"/>
    <col min="2" max="2" width="20.7109375" style="0" customWidth="1"/>
    <col min="3" max="3" width="8.28125" style="0" customWidth="1"/>
  </cols>
  <sheetData>
    <row r="3" spans="1:4" ht="18.75">
      <c r="A3" s="50" t="s">
        <v>103</v>
      </c>
      <c r="D3" s="97">
        <v>2009</v>
      </c>
    </row>
    <row r="4" ht="14.25">
      <c r="A4" s="51"/>
    </row>
    <row r="5" ht="14.25">
      <c r="A5" s="51"/>
    </row>
    <row r="6" spans="2:4" ht="12.75">
      <c r="B6" s="100" t="s">
        <v>96</v>
      </c>
      <c r="D6" t="s">
        <v>97</v>
      </c>
    </row>
    <row r="7" ht="14.25">
      <c r="A7" s="51"/>
    </row>
    <row r="8" ht="14.25">
      <c r="A8" s="51"/>
    </row>
    <row r="9" spans="1:4" ht="14.25">
      <c r="A9" s="51" t="s">
        <v>145</v>
      </c>
      <c r="B9" s="52">
        <v>13177</v>
      </c>
      <c r="C9" s="51"/>
      <c r="D9" s="52">
        <v>22834</v>
      </c>
    </row>
    <row r="10" ht="14.25">
      <c r="A10" s="51"/>
    </row>
    <row r="11" ht="14.25">
      <c r="A11" s="51"/>
    </row>
    <row r="12" spans="1:2" ht="14.25">
      <c r="A12" s="51" t="s">
        <v>146</v>
      </c>
      <c r="B12" s="52">
        <v>69400</v>
      </c>
    </row>
    <row r="13" spans="1:4" ht="14.25">
      <c r="A13" s="51" t="s">
        <v>147</v>
      </c>
      <c r="B13">
        <v>846.3</v>
      </c>
      <c r="D13" s="51"/>
    </row>
    <row r="14" spans="1:4" ht="14.25">
      <c r="A14" s="51" t="s">
        <v>148</v>
      </c>
      <c r="B14" s="52">
        <v>2000</v>
      </c>
      <c r="D14" s="52">
        <v>85000</v>
      </c>
    </row>
    <row r="15" ht="12.75">
      <c r="B15" s="2"/>
    </row>
    <row r="16" spans="1:4" ht="14.25">
      <c r="A16" s="51" t="s">
        <v>81</v>
      </c>
      <c r="B16" s="7">
        <f>B9+B12+B13+B14</f>
        <v>85423.3</v>
      </c>
      <c r="C16" s="2"/>
      <c r="D16" s="7">
        <f>D9+D12+D13+D14</f>
        <v>107834</v>
      </c>
    </row>
    <row r="17" ht="14.25">
      <c r="A17" s="5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0">
      <selection activeCell="H20" sqref="H20"/>
    </sheetView>
  </sheetViews>
  <sheetFormatPr defaultColWidth="9.140625" defaultRowHeight="12.75"/>
  <cols>
    <col min="1" max="1" width="20.8515625" style="0" customWidth="1"/>
    <col min="2" max="2" width="12.57421875" style="0" customWidth="1"/>
    <col min="3" max="3" width="13.00390625" style="0" customWidth="1"/>
    <col min="4" max="4" width="15.28125" style="0" customWidth="1"/>
    <col min="5" max="5" width="16.8515625" style="0" customWidth="1"/>
    <col min="6" max="6" width="12.140625" style="0" customWidth="1"/>
    <col min="7" max="7" width="15.00390625" style="0" customWidth="1"/>
    <col min="8" max="8" width="17.28125" style="0" customWidth="1"/>
  </cols>
  <sheetData>
    <row r="1" spans="1:6" ht="14.25">
      <c r="A1" s="31" t="s">
        <v>149</v>
      </c>
      <c r="B1" s="27"/>
      <c r="C1" s="28"/>
      <c r="D1" s="28"/>
      <c r="E1" s="26" t="s">
        <v>117</v>
      </c>
      <c r="F1" s="27"/>
    </row>
    <row r="2" spans="1:8" ht="15.75">
      <c r="A2" s="27"/>
      <c r="B2" s="27" t="s">
        <v>78</v>
      </c>
      <c r="C2" s="27" t="s">
        <v>85</v>
      </c>
      <c r="D2" s="27" t="s">
        <v>122</v>
      </c>
      <c r="E2" s="32" t="s">
        <v>119</v>
      </c>
      <c r="F2" s="86" t="s">
        <v>118</v>
      </c>
      <c r="G2" s="90" t="s">
        <v>123</v>
      </c>
      <c r="H2" s="90" t="s">
        <v>120</v>
      </c>
    </row>
    <row r="3" spans="1:8" ht="12.75">
      <c r="A3" s="27"/>
      <c r="B3" s="27" t="s">
        <v>79</v>
      </c>
      <c r="C3" s="27" t="s">
        <v>79</v>
      </c>
      <c r="D3" s="27" t="s">
        <v>110</v>
      </c>
      <c r="E3" s="32" t="s">
        <v>114</v>
      </c>
      <c r="F3" s="86" t="s">
        <v>114</v>
      </c>
      <c r="G3" s="90" t="s">
        <v>114</v>
      </c>
      <c r="H3" s="90" t="s">
        <v>114</v>
      </c>
    </row>
    <row r="4" spans="1:8" ht="12.75">
      <c r="A4" s="27" t="s">
        <v>80</v>
      </c>
      <c r="B4" s="29">
        <f>Energiforbrug2009!B91</f>
        <v>5675509.332</v>
      </c>
      <c r="C4" s="29">
        <f>Energiforbrug2009!D91</f>
        <v>18851557.039600004</v>
      </c>
      <c r="D4" s="29"/>
      <c r="E4" s="29">
        <f>Energiforbrug2009!E91</f>
        <v>2610.7342927199998</v>
      </c>
      <c r="F4" s="87">
        <f>Energiforbrug2009!J91-Energiforbrug2009!E91</f>
        <v>2501.055125432641</v>
      </c>
      <c r="G4" s="27"/>
      <c r="H4" s="27"/>
    </row>
    <row r="5" spans="1:8" ht="12.75">
      <c r="A5" s="27" t="s">
        <v>86</v>
      </c>
      <c r="B5" s="30">
        <f>Energiforbrug2009!B98</f>
        <v>5343315</v>
      </c>
      <c r="C5" s="30">
        <f>Energiforbrug2009!D98</f>
        <v>268538</v>
      </c>
      <c r="D5" s="30"/>
      <c r="E5" s="29">
        <f>Energiforbrug2009!E98</f>
        <v>2457.9249</v>
      </c>
      <c r="F5" s="88">
        <f>Energiforbrug2009!J98-Energiforbrug2009!E98</f>
        <v>38.718790431654725</v>
      </c>
      <c r="G5" s="27"/>
      <c r="H5" s="27"/>
    </row>
    <row r="6" spans="1:8" ht="12.75">
      <c r="A6" s="27" t="s">
        <v>105</v>
      </c>
      <c r="B6" s="30"/>
      <c r="C6" s="30"/>
      <c r="D6" s="30">
        <f>Transport09!B16+Transport09!D16</f>
        <v>193257.3</v>
      </c>
      <c r="E6" s="29"/>
      <c r="F6" s="87"/>
      <c r="G6" s="84">
        <f>Energiforbrug2009!E107</f>
        <v>490.77602</v>
      </c>
      <c r="H6" s="27"/>
    </row>
    <row r="7" spans="1:8" ht="12.75">
      <c r="A7" s="28" t="s">
        <v>81</v>
      </c>
      <c r="B7" s="33">
        <f>B4+B5</f>
        <v>11018824.332</v>
      </c>
      <c r="C7" s="33">
        <f>C4+C5</f>
        <v>19120095.039600004</v>
      </c>
      <c r="D7" s="33">
        <f>D4+D5+D6</f>
        <v>193257.3</v>
      </c>
      <c r="E7" s="33">
        <f>E4+E5</f>
        <v>5068.65919272</v>
      </c>
      <c r="F7" s="89">
        <f>F4+F5</f>
        <v>2539.7739158642958</v>
      </c>
      <c r="G7" s="33">
        <f>G4+G5+G6</f>
        <v>490.77602</v>
      </c>
      <c r="H7" s="33">
        <f>E7+F7+G7</f>
        <v>8099.209128584295</v>
      </c>
    </row>
    <row r="8" spans="1:8" ht="14.25">
      <c r="A8" s="93" t="s">
        <v>121</v>
      </c>
      <c r="B8" s="94"/>
      <c r="C8" s="94"/>
      <c r="D8" s="95"/>
      <c r="E8" s="91">
        <f>E7/H7*100</f>
        <v>62.58214984017801</v>
      </c>
      <c r="F8" s="91">
        <f>F7/H7*100</f>
        <v>31.35829530442359</v>
      </c>
      <c r="G8" s="91">
        <f>G7/H7*100</f>
        <v>6.059554855398399</v>
      </c>
      <c r="H8" s="92">
        <f>E8+F8+G8</f>
        <v>100</v>
      </c>
    </row>
    <row r="12" spans="1:6" ht="14.25">
      <c r="A12" s="83"/>
      <c r="F12" s="22" t="s">
        <v>126</v>
      </c>
    </row>
    <row r="13" spans="1:6" ht="14.25">
      <c r="A13" s="83" t="s">
        <v>150</v>
      </c>
      <c r="B13" s="21"/>
      <c r="C13" s="21"/>
      <c r="D13" s="21"/>
      <c r="E13" s="21"/>
      <c r="F13" s="23">
        <f>E7+F7+G7</f>
        <v>8099.209128584295</v>
      </c>
    </row>
    <row r="14" spans="1:5" ht="12.75">
      <c r="A14" s="22"/>
      <c r="B14" s="21"/>
      <c r="C14" s="21"/>
      <c r="D14" s="21"/>
      <c r="E14" s="21"/>
    </row>
    <row r="15" ht="14.25">
      <c r="F15" s="22" t="s">
        <v>124</v>
      </c>
    </row>
    <row r="16" spans="1:6" ht="12.75">
      <c r="A16" s="21" t="s">
        <v>152</v>
      </c>
      <c r="B16" s="21"/>
      <c r="C16" s="21"/>
      <c r="D16" s="21"/>
      <c r="E16" s="24"/>
      <c r="F16" s="25">
        <f>F13/2400</f>
        <v>3.3746704702434562</v>
      </c>
    </row>
    <row r="17" spans="1:6" ht="14.25">
      <c r="A17" s="21"/>
      <c r="B17" s="21"/>
      <c r="C17" s="21"/>
      <c r="D17" s="21"/>
      <c r="E17" s="24"/>
      <c r="F17" s="22" t="s">
        <v>125</v>
      </c>
    </row>
    <row r="18" spans="1:7" ht="12.75">
      <c r="A18" s="21" t="s">
        <v>127</v>
      </c>
      <c r="B18" s="21"/>
      <c r="C18" s="21"/>
      <c r="D18" s="21"/>
      <c r="E18" s="21"/>
      <c r="F18" s="25">
        <f>H7/32544</f>
        <v>0.24886950370526964</v>
      </c>
      <c r="G18" s="25"/>
    </row>
    <row r="19" spans="1:7" ht="12.75">
      <c r="A19" s="21"/>
      <c r="B19" s="21"/>
      <c r="C19" s="21"/>
      <c r="D19" s="21"/>
      <c r="E19" s="21"/>
      <c r="F19" s="25"/>
      <c r="G19" s="25"/>
    </row>
    <row r="20" ht="18">
      <c r="A20" s="85" t="s">
        <v>115</v>
      </c>
    </row>
    <row r="21" ht="15.75">
      <c r="A21" t="s">
        <v>151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Ringsted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Kristian Rasmussen</dc:creator>
  <cp:keywords/>
  <dc:description/>
  <cp:lastModifiedBy>Christina Kaaber-Bühler</cp:lastModifiedBy>
  <cp:lastPrinted>2009-05-19T12:03:13Z</cp:lastPrinted>
  <dcterms:created xsi:type="dcterms:W3CDTF">2009-04-28T16:28:06Z</dcterms:created>
  <dcterms:modified xsi:type="dcterms:W3CDTF">2011-02-28T14:50:26Z</dcterms:modified>
  <cp:category/>
  <cp:version/>
  <cp:contentType/>
  <cp:contentStatus/>
</cp:coreProperties>
</file>