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11" yWindow="65521" windowWidth="14250" windowHeight="7830" activeTab="0"/>
  </bookViews>
  <sheets>
    <sheet name="2008" sheetId="1" r:id="rId1"/>
    <sheet name="Graf" sheetId="2" r:id="rId2"/>
  </sheets>
  <definedNames>
    <definedName name="_xlnm.Print_Area" localSheetId="0">'2008'!$A$1:$AZ$82</definedName>
  </definedNames>
  <calcPr fullCalcOnLoad="1"/>
</workbook>
</file>

<file path=xl/sharedStrings.xml><?xml version="1.0" encoding="utf-8"?>
<sst xmlns="http://schemas.openxmlformats.org/spreadsheetml/2006/main" count="150" uniqueCount="132">
  <si>
    <t>Sted:</t>
  </si>
  <si>
    <t>År:</t>
  </si>
  <si>
    <t>Enheder</t>
  </si>
  <si>
    <t>TJ</t>
  </si>
  <si>
    <t>tons</t>
  </si>
  <si>
    <t>Antal indbyggere</t>
  </si>
  <si>
    <t>Brændsel</t>
  </si>
  <si>
    <t>LPG og petroleum</t>
  </si>
  <si>
    <t>Kul</t>
  </si>
  <si>
    <t>Fuelolie</t>
  </si>
  <si>
    <t>Brændselsolie</t>
  </si>
  <si>
    <t>Dieselolie</t>
  </si>
  <si>
    <t>Benzin</t>
  </si>
  <si>
    <t>Naturgas</t>
  </si>
  <si>
    <t>Vindenergi</t>
  </si>
  <si>
    <t>Bølgeenergi</t>
  </si>
  <si>
    <t>Vandkraft</t>
  </si>
  <si>
    <t>Solenergi</t>
  </si>
  <si>
    <t>Geotermi</t>
  </si>
  <si>
    <t>Husdyrsgødning</t>
  </si>
  <si>
    <t>Halm</t>
  </si>
  <si>
    <t>Brænde og træflis</t>
  </si>
  <si>
    <t>Træpiller og træaffald</t>
  </si>
  <si>
    <t>Organisk affald, industri</t>
  </si>
  <si>
    <t>Organisk affald, husholdninger</t>
  </si>
  <si>
    <t>Restaffald</t>
  </si>
  <si>
    <t>Anlæg</t>
  </si>
  <si>
    <t>Navn</t>
  </si>
  <si>
    <t>Virkningsgrad %</t>
  </si>
  <si>
    <t>el</t>
  </si>
  <si>
    <t>proces</t>
  </si>
  <si>
    <t>varme</t>
  </si>
  <si>
    <t>El-net</t>
  </si>
  <si>
    <t>Fjv-net</t>
  </si>
  <si>
    <t>ab værk</t>
  </si>
  <si>
    <t>an forbruger</t>
  </si>
  <si>
    <t>Slutforbrug</t>
  </si>
  <si>
    <t>Samlet</t>
  </si>
  <si>
    <t>Varmtvand</t>
  </si>
  <si>
    <t>Rumvarme</t>
  </si>
  <si>
    <t>Transport</t>
  </si>
  <si>
    <t>Boliger, inkl. fritidshuse</t>
  </si>
  <si>
    <t>Offentlig service</t>
  </si>
  <si>
    <t>Privat service</t>
  </si>
  <si>
    <t>Handel (detail + engros)</t>
  </si>
  <si>
    <t>Bygge- og anlægsvirksomhed</t>
  </si>
  <si>
    <t>Fremstillingsvirksomhed</t>
  </si>
  <si>
    <t>Gartneri</t>
  </si>
  <si>
    <t>Landbrug</t>
  </si>
  <si>
    <t>Elkomfur</t>
  </si>
  <si>
    <t>Elvandvarmer</t>
  </si>
  <si>
    <t>Elradiator</t>
  </si>
  <si>
    <t>Solvarmeanlæg</t>
  </si>
  <si>
    <t>Varmepumper, indv.</t>
  </si>
  <si>
    <t>Træpillekedel, indv.</t>
  </si>
  <si>
    <t>Brændekedel/ovn indv.</t>
  </si>
  <si>
    <t>Halmfyr, indv.</t>
  </si>
  <si>
    <t>Geotermiske anlæg</t>
  </si>
  <si>
    <t>Solcelleanlæg</t>
  </si>
  <si>
    <t>Vindkraftanlæg</t>
  </si>
  <si>
    <t>Vandkraftanlæg</t>
  </si>
  <si>
    <t>Bølgekraftanlæg</t>
  </si>
  <si>
    <t>Dieselbiler, små</t>
  </si>
  <si>
    <t>Busser</t>
  </si>
  <si>
    <t>Traktorer</t>
  </si>
  <si>
    <t>Skibe</t>
  </si>
  <si>
    <t>CO2-emissioner (1000 tons)</t>
  </si>
  <si>
    <t>Lokale ressourcer</t>
  </si>
  <si>
    <t>Udnyttelsesprocent af lokale ressourcer</t>
  </si>
  <si>
    <t>tons/indbygger</t>
  </si>
  <si>
    <t>CO2-emission (tons/TJ)</t>
  </si>
  <si>
    <t>Elnetvirkningsgrad, %</t>
  </si>
  <si>
    <t>Centrale kraftværker, Dampturbine</t>
  </si>
  <si>
    <t>Centrale kraftværker, Forbrændingsmotor</t>
  </si>
  <si>
    <t>Centrale kraftværker, Gasturbine</t>
  </si>
  <si>
    <t>Centrale kraftværker, Kedel</t>
  </si>
  <si>
    <t>Centrale kraftværker, Forbrug</t>
  </si>
  <si>
    <t>Affaldsforbrændingsanlæg, dampturbine</t>
  </si>
  <si>
    <t>Affaldsforbrændingsanlæg, kedel</t>
  </si>
  <si>
    <t>Affaldsforbrændingsanlæg, kombianlæg</t>
  </si>
  <si>
    <t>Affaldsforbrændingsanlæg, forbrug</t>
  </si>
  <si>
    <t>Lokale KV-værker, motor</t>
  </si>
  <si>
    <t>Lokale KV-værker, forbrug</t>
  </si>
  <si>
    <t>Lokale KV-værker, kedel</t>
  </si>
  <si>
    <t>Belysning</t>
  </si>
  <si>
    <t>Elkompressorer</t>
  </si>
  <si>
    <t>Elmotorer mv.</t>
  </si>
  <si>
    <t>Industrielle KV-værker, dampturbine</t>
  </si>
  <si>
    <t>Industrielle KV-værker, forbrændingsmotor</t>
  </si>
  <si>
    <t>Industrielle KV-værker, gasturbine</t>
  </si>
  <si>
    <t>Industrielle KV-værker, kedel</t>
  </si>
  <si>
    <t>Industrielle KV-værker, kombianlæg</t>
  </si>
  <si>
    <t>Industrielle KV-værker, overskudsvarme</t>
  </si>
  <si>
    <t>Industrielle KV-værker, forbrug, fjv</t>
  </si>
  <si>
    <t>Industrielle KV-værker, forbrug, eget forbrug, el</t>
  </si>
  <si>
    <t>Industrielle KV-værker, forbrug, eget forbrug, varme</t>
  </si>
  <si>
    <t>Fjernvarmeværker, kedel</t>
  </si>
  <si>
    <t>Fjernvarmeværker, sol</t>
  </si>
  <si>
    <t>Fjernvarmeværker, forbrug</t>
  </si>
  <si>
    <t>Decentrale KV-værker, Dampturbine</t>
  </si>
  <si>
    <t>Decentrale KV-værker, Forbrændingsmotor</t>
  </si>
  <si>
    <t>Decentrale KV-værker, gasturbine</t>
  </si>
  <si>
    <t>Decentrale KV-værker, kedel</t>
  </si>
  <si>
    <t>Decentrale KV-værker, kombianlæg</t>
  </si>
  <si>
    <t>Decentrale KV-værker, forbrug</t>
  </si>
  <si>
    <t>Tog</t>
  </si>
  <si>
    <t>Fly</t>
  </si>
  <si>
    <t>Naturgaskedel, villakedler</t>
  </si>
  <si>
    <t>Busser, kollektiv trafik</t>
  </si>
  <si>
    <t>Naturgaskedel, store anlæg, erhverv</t>
  </si>
  <si>
    <t>Gasoliekedel, store anlæg, erhverv</t>
  </si>
  <si>
    <t>Faktisk energiforbrug</t>
  </si>
  <si>
    <t>Deponi, slam, renseanlæg</t>
  </si>
  <si>
    <t>Afgasset fibre</t>
  </si>
  <si>
    <t>Varmekilder til varmepumper</t>
  </si>
  <si>
    <t>JP1</t>
  </si>
  <si>
    <t>Elimport</t>
  </si>
  <si>
    <t>Import, Brænde og træflis</t>
  </si>
  <si>
    <t>Import, træpiller og træaffald</t>
  </si>
  <si>
    <t>% VE forbrugt</t>
  </si>
  <si>
    <t>Gårdanlæg biogas, motor</t>
  </si>
  <si>
    <t>Benzinbiler, små, mm.</t>
  </si>
  <si>
    <t>Lastbiler/sættevogne/entreprenørmaskiner</t>
  </si>
  <si>
    <t>Samsø Kommune</t>
  </si>
  <si>
    <t>Geografisk Energibalance, Samsø Kommune</t>
  </si>
  <si>
    <t>Gasoliekedel, indv.</t>
  </si>
  <si>
    <t>Naturgaskedel, store anlæg</t>
  </si>
  <si>
    <t>Eksport rapsolie</t>
  </si>
  <si>
    <t>Bioolie og energiafgrøder</t>
  </si>
  <si>
    <t>Gaskomfur, proces, mm.</t>
  </si>
  <si>
    <t>I alt</t>
  </si>
  <si>
    <t>El-eksport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</si>
</sst>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#,##0.0"/>
    <numFmt numFmtId="174" formatCode="0.0000"/>
    <numFmt numFmtId="175" formatCode="0.000"/>
    <numFmt numFmtId="176" formatCode="0.0000000"/>
    <numFmt numFmtId="177" formatCode="0.000000"/>
    <numFmt numFmtId="178" formatCode="0.00000"/>
    <numFmt numFmtId="179" formatCode="#,##0.000"/>
  </numFmts>
  <fonts count="22">
    <font>
      <sz val="10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9" fillId="18" borderId="3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4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4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4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4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textRotation="90" wrapText="1"/>
    </xf>
    <xf numFmtId="0" fontId="0" fillId="0" borderId="28" xfId="0" applyFill="1" applyBorder="1" applyAlignment="1">
      <alignment textRotation="90" wrapText="1"/>
    </xf>
    <xf numFmtId="0" fontId="0" fillId="0" borderId="28" xfId="0" applyBorder="1" applyAlignment="1">
      <alignment textRotation="90" wrapText="1"/>
    </xf>
    <xf numFmtId="0" fontId="0" fillId="0" borderId="39" xfId="0" applyBorder="1" applyAlignment="1">
      <alignment textRotation="90"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textRotation="90" wrapText="1"/>
    </xf>
    <xf numFmtId="0" fontId="0" fillId="0" borderId="40" xfId="0" applyBorder="1" applyAlignment="1">
      <alignment textRotation="90" wrapText="1"/>
    </xf>
    <xf numFmtId="0" fontId="0" fillId="0" borderId="41" xfId="0" applyBorder="1" applyAlignment="1">
      <alignment textRotation="90" wrapText="1"/>
    </xf>
    <xf numFmtId="3" fontId="0" fillId="0" borderId="39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7" xfId="0" applyNumberFormat="1" applyBorder="1" applyAlignment="1">
      <alignment horizontal="left"/>
    </xf>
    <xf numFmtId="1" fontId="0" fillId="0" borderId="31" xfId="0" applyNumberFormat="1" applyBorder="1" applyAlignment="1">
      <alignment/>
    </xf>
    <xf numFmtId="172" fontId="0" fillId="0" borderId="0" xfId="0" applyNumberFormat="1" applyFill="1" applyAlignment="1">
      <alignment/>
    </xf>
    <xf numFmtId="0" fontId="0" fillId="24" borderId="42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0" xfId="0" applyFill="1" applyBorder="1" applyAlignment="1">
      <alignment/>
    </xf>
    <xf numFmtId="1" fontId="0" fillId="24" borderId="45" xfId="0" applyNumberFormat="1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1" fontId="0" fillId="0" borderId="49" xfId="0" applyNumberFormat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0" fontId="0" fillId="24" borderId="50" xfId="0" applyFill="1" applyBorder="1" applyAlignment="1">
      <alignment/>
    </xf>
    <xf numFmtId="1" fontId="0" fillId="24" borderId="0" xfId="0" applyNumberFormat="1" applyFill="1" applyBorder="1" applyAlignment="1">
      <alignment/>
    </xf>
    <xf numFmtId="0" fontId="0" fillId="24" borderId="51" xfId="0" applyFill="1" applyBorder="1" applyAlignment="1">
      <alignment/>
    </xf>
    <xf numFmtId="3" fontId="0" fillId="24" borderId="51" xfId="0" applyNumberFormat="1" applyFill="1" applyBorder="1" applyAlignment="1">
      <alignment/>
    </xf>
    <xf numFmtId="3" fontId="0" fillId="24" borderId="52" xfId="0" applyNumberForma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1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1" fontId="0" fillId="24" borderId="38" xfId="0" applyNumberFormat="1" applyFill="1" applyBorder="1" applyAlignment="1">
      <alignment/>
    </xf>
    <xf numFmtId="1" fontId="0" fillId="24" borderId="28" xfId="0" applyNumberFormat="1" applyFill="1" applyBorder="1" applyAlignment="1">
      <alignment/>
    </xf>
    <xf numFmtId="0" fontId="0" fillId="24" borderId="28" xfId="0" applyFill="1" applyBorder="1" applyAlignment="1">
      <alignment/>
    </xf>
    <xf numFmtId="3" fontId="0" fillId="24" borderId="28" xfId="0" applyNumberFormat="1" applyFill="1" applyBorder="1" applyAlignment="1">
      <alignment/>
    </xf>
    <xf numFmtId="3" fontId="0" fillId="24" borderId="39" xfId="0" applyNumberFormat="1" applyFill="1" applyBorder="1" applyAlignment="1">
      <alignment/>
    </xf>
    <xf numFmtId="1" fontId="0" fillId="24" borderId="50" xfId="0" applyNumberFormat="1" applyFill="1" applyBorder="1" applyAlignment="1">
      <alignment/>
    </xf>
    <xf numFmtId="1" fontId="0" fillId="24" borderId="51" xfId="0" applyNumberFormat="1" applyFill="1" applyBorder="1" applyAlignment="1">
      <alignment/>
    </xf>
    <xf numFmtId="172" fontId="0" fillId="24" borderId="51" xfId="0" applyNumberFormat="1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24" borderId="27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38" xfId="0" applyFill="1" applyBorder="1" applyAlignment="1">
      <alignment textRotation="90" wrapText="1"/>
    </xf>
    <xf numFmtId="0" fontId="0" fillId="24" borderId="28" xfId="0" applyFill="1" applyBorder="1" applyAlignment="1">
      <alignment textRotation="90" wrapText="1"/>
    </xf>
    <xf numFmtId="3" fontId="0" fillId="24" borderId="28" xfId="0" applyNumberFormat="1" applyFill="1" applyBorder="1" applyAlignment="1">
      <alignment textRotation="90" wrapText="1"/>
    </xf>
    <xf numFmtId="3" fontId="0" fillId="24" borderId="39" xfId="0" applyNumberFormat="1" applyFill="1" applyBorder="1" applyAlignment="1">
      <alignment textRotation="90" wrapText="1"/>
    </xf>
    <xf numFmtId="3" fontId="0" fillId="24" borderId="41" xfId="0" applyNumberFormat="1" applyFill="1" applyBorder="1" applyAlignment="1">
      <alignment/>
    </xf>
    <xf numFmtId="3" fontId="0" fillId="24" borderId="34" xfId="0" applyNumberFormat="1" applyFill="1" applyBorder="1" applyAlignment="1">
      <alignment horizontal="left"/>
    </xf>
    <xf numFmtId="0" fontId="0" fillId="0" borderId="53" xfId="0" applyFill="1" applyBorder="1" applyAlignment="1">
      <alignment textRotation="90" wrapText="1"/>
    </xf>
    <xf numFmtId="3" fontId="0" fillId="24" borderId="43" xfId="0" applyNumberFormat="1" applyFill="1" applyBorder="1" applyAlignment="1" applyProtection="1">
      <alignment horizontal="right"/>
      <protection locked="0"/>
    </xf>
    <xf numFmtId="3" fontId="0" fillId="24" borderId="54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Biomasse og biogas potentiale,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Graf!$B$5:$G$5</c:f>
              <c:strCache/>
            </c:strRef>
          </c:cat>
          <c:val>
            <c:numRef>
              <c:f>Graf!$B$6:$G$6</c:f>
              <c:numCache/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Energi i Terra Joule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0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78</xdr:row>
      <xdr:rowOff>142875</xdr:rowOff>
    </xdr:from>
    <xdr:to>
      <xdr:col>6</xdr:col>
      <xdr:colOff>295275</xdr:colOff>
      <xdr:row>80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25675"/>
          <a:ext cx="1533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18</xdr:row>
      <xdr:rowOff>19050</xdr:rowOff>
    </xdr:from>
    <xdr:to>
      <xdr:col>16</xdr:col>
      <xdr:colOff>323850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1143000" y="3409950"/>
        <a:ext cx="89344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showZeros="0" tabSelected="1" zoomScale="85" zoomScaleNormal="85" zoomScalePageLayoutView="0" workbookViewId="0" topLeftCell="A1">
      <pane ySplit="7" topLeftCell="BM32" activePane="bottomLeft" state="frozen"/>
      <selection pane="topLeft" activeCell="O53" sqref="O53"/>
      <selection pane="bottomLeft" activeCell="K63" sqref="K63"/>
    </sheetView>
  </sheetViews>
  <sheetFormatPr defaultColWidth="9.140625" defaultRowHeight="12.75"/>
  <cols>
    <col min="1" max="1" width="10.140625" style="0" bestFit="1" customWidth="1"/>
    <col min="2" max="2" width="5.7109375" style="5" customWidth="1"/>
    <col min="3" max="3" width="8.57421875" style="0" customWidth="1"/>
    <col min="4" max="4" width="7.140625" style="0" customWidth="1"/>
    <col min="5" max="5" width="6.421875" style="0" customWidth="1"/>
    <col min="6" max="6" width="8.421875" style="0" customWidth="1"/>
    <col min="7" max="7" width="6.140625" style="5" customWidth="1"/>
    <col min="8" max="8" width="8.140625" style="0" customWidth="1"/>
    <col min="9" max="9" width="7.00390625" style="0" bestFit="1" customWidth="1"/>
    <col min="10" max="10" width="6.8515625" style="0" customWidth="1"/>
    <col min="11" max="16" width="5.7109375" style="0" customWidth="1"/>
    <col min="17" max="17" width="6.57421875" style="0" customWidth="1"/>
    <col min="18" max="18" width="6.28125" style="0" customWidth="1"/>
    <col min="19" max="19" width="6.421875" style="0" bestFit="1" customWidth="1"/>
    <col min="20" max="20" width="7.421875" style="0" customWidth="1"/>
    <col min="21" max="21" width="6.140625" style="0" customWidth="1"/>
    <col min="22" max="25" width="5.7109375" style="0" customWidth="1"/>
    <col min="26" max="26" width="5.7109375" style="5" customWidth="1"/>
    <col min="27" max="27" width="5.7109375" style="0" customWidth="1"/>
    <col min="28" max="28" width="7.140625" style="0" customWidth="1"/>
    <col min="29" max="29" width="8.7109375" style="0" customWidth="1"/>
    <col min="30" max="30" width="52.140625" style="0" bestFit="1" customWidth="1"/>
    <col min="31" max="35" width="5.7109375" style="0" customWidth="1"/>
    <col min="37" max="37" width="6.421875" style="0" customWidth="1"/>
    <col min="38" max="38" width="8.140625" style="0" bestFit="1" customWidth="1"/>
    <col min="39" max="39" width="6.8515625" style="0" customWidth="1"/>
    <col min="40" max="40" width="7.57421875" style="0" customWidth="1"/>
    <col min="41" max="41" width="6.57421875" style="0" customWidth="1"/>
    <col min="42" max="42" width="7.28125" style="0" bestFit="1" customWidth="1"/>
    <col min="43" max="43" width="5.7109375" style="0" hidden="1" customWidth="1"/>
    <col min="44" max="48" width="5.7109375" style="0" customWidth="1"/>
    <col min="49" max="49" width="6.421875" style="5" bestFit="1" customWidth="1"/>
    <col min="50" max="51" width="5.7109375" style="0" customWidth="1"/>
    <col min="52" max="52" width="7.28125" style="0" bestFit="1" customWidth="1"/>
  </cols>
  <sheetData>
    <row r="1" spans="1:11" s="5" customFormat="1" ht="12.75">
      <c r="A1" s="61" t="s">
        <v>0</v>
      </c>
      <c r="B1" s="62"/>
      <c r="C1" s="62" t="s">
        <v>123</v>
      </c>
      <c r="D1" s="62"/>
      <c r="E1" s="62"/>
      <c r="F1" s="61" t="s">
        <v>5</v>
      </c>
      <c r="G1" s="62"/>
      <c r="H1" s="62"/>
      <c r="I1" s="62"/>
      <c r="J1" s="110">
        <v>4085</v>
      </c>
      <c r="K1" s="111"/>
    </row>
    <row r="2" spans="1:11" s="5" customFormat="1" ht="12.75">
      <c r="A2" s="63" t="s">
        <v>1</v>
      </c>
      <c r="B2" s="64"/>
      <c r="C2" s="64">
        <v>2008</v>
      </c>
      <c r="D2" s="64"/>
      <c r="E2" s="64"/>
      <c r="F2" s="63" t="s">
        <v>71</v>
      </c>
      <c r="G2" s="64"/>
      <c r="H2" s="64"/>
      <c r="I2" s="64"/>
      <c r="J2" s="64"/>
      <c r="K2" s="65">
        <v>92.6</v>
      </c>
    </row>
    <row r="3" spans="1:11" s="5" customFormat="1" ht="13.5" thickBot="1">
      <c r="A3" s="66" t="s">
        <v>2</v>
      </c>
      <c r="B3" s="67"/>
      <c r="C3" s="67" t="s">
        <v>3</v>
      </c>
      <c r="D3" s="67" t="s">
        <v>4</v>
      </c>
      <c r="E3" s="67"/>
      <c r="F3" s="66"/>
      <c r="G3" s="67"/>
      <c r="H3" s="67"/>
      <c r="I3" s="67"/>
      <c r="J3" s="67"/>
      <c r="K3" s="68"/>
    </row>
    <row r="4" spans="1:53" ht="13.5" thickBot="1">
      <c r="A4" s="5"/>
      <c r="C4" s="5"/>
      <c r="D4" s="5"/>
      <c r="E4" s="5"/>
      <c r="F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X4" s="5"/>
      <c r="AY4" s="5"/>
      <c r="AZ4" s="5"/>
      <c r="BA4" s="5"/>
    </row>
    <row r="5" spans="1:52" ht="13.5" thickBot="1">
      <c r="A5" s="40"/>
      <c r="B5" s="41"/>
      <c r="C5" s="42"/>
      <c r="D5" s="42"/>
      <c r="E5" s="42"/>
      <c r="F5" s="42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 t="s">
        <v>124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4"/>
    </row>
    <row r="6" spans="1:52" ht="13.5" thickBot="1">
      <c r="A6" s="40" t="s">
        <v>6</v>
      </c>
      <c r="B6" s="41"/>
      <c r="C6" s="42"/>
      <c r="D6" s="42"/>
      <c r="E6" s="42"/>
      <c r="F6" s="42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 t="s">
        <v>26</v>
      </c>
      <c r="AE6" s="42" t="s">
        <v>28</v>
      </c>
      <c r="AF6" s="42"/>
      <c r="AG6" s="42"/>
      <c r="AH6" s="42"/>
      <c r="AI6" s="42"/>
      <c r="AJ6" s="40" t="s">
        <v>32</v>
      </c>
      <c r="AK6" s="44"/>
      <c r="AL6" s="40" t="s">
        <v>33</v>
      </c>
      <c r="AM6" s="44"/>
      <c r="AN6" s="42" t="s">
        <v>36</v>
      </c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4"/>
    </row>
    <row r="7" spans="1:52" s="1" customFormat="1" ht="106.5" thickBot="1">
      <c r="A7" s="45" t="s">
        <v>116</v>
      </c>
      <c r="B7" s="46" t="s">
        <v>7</v>
      </c>
      <c r="C7" s="47" t="s">
        <v>8</v>
      </c>
      <c r="D7" s="47" t="s">
        <v>9</v>
      </c>
      <c r="E7" s="46" t="s">
        <v>10</v>
      </c>
      <c r="F7" s="47" t="s">
        <v>11</v>
      </c>
      <c r="G7" s="46" t="s">
        <v>115</v>
      </c>
      <c r="H7" s="47" t="s">
        <v>12</v>
      </c>
      <c r="I7" s="47" t="s">
        <v>13</v>
      </c>
      <c r="J7" s="46" t="s">
        <v>14</v>
      </c>
      <c r="K7" s="47" t="s">
        <v>15</v>
      </c>
      <c r="L7" s="47" t="s">
        <v>16</v>
      </c>
      <c r="M7" s="47" t="s">
        <v>17</v>
      </c>
      <c r="N7" s="47" t="s">
        <v>18</v>
      </c>
      <c r="O7" s="46" t="s">
        <v>19</v>
      </c>
      <c r="P7" s="47" t="s">
        <v>113</v>
      </c>
      <c r="Q7" s="46" t="s">
        <v>128</v>
      </c>
      <c r="R7" s="46" t="s">
        <v>127</v>
      </c>
      <c r="S7" s="47" t="s">
        <v>20</v>
      </c>
      <c r="T7" s="46" t="s">
        <v>21</v>
      </c>
      <c r="U7" s="46" t="s">
        <v>117</v>
      </c>
      <c r="V7" s="46" t="s">
        <v>22</v>
      </c>
      <c r="W7" s="46" t="s">
        <v>118</v>
      </c>
      <c r="X7" s="47" t="s">
        <v>23</v>
      </c>
      <c r="Y7" s="47" t="s">
        <v>24</v>
      </c>
      <c r="Z7" s="47" t="s">
        <v>112</v>
      </c>
      <c r="AA7" s="47" t="s">
        <v>114</v>
      </c>
      <c r="AB7" s="47" t="s">
        <v>25</v>
      </c>
      <c r="AC7" s="48" t="s">
        <v>111</v>
      </c>
      <c r="AD7" s="49" t="s">
        <v>27</v>
      </c>
      <c r="AE7" s="50" t="s">
        <v>29</v>
      </c>
      <c r="AF7" s="47" t="s">
        <v>30</v>
      </c>
      <c r="AG7" s="47" t="s">
        <v>31</v>
      </c>
      <c r="AH7" s="47" t="s">
        <v>32</v>
      </c>
      <c r="AI7" s="48" t="s">
        <v>33</v>
      </c>
      <c r="AJ7" s="50" t="s">
        <v>34</v>
      </c>
      <c r="AK7" s="48" t="s">
        <v>35</v>
      </c>
      <c r="AL7" s="50" t="s">
        <v>34</v>
      </c>
      <c r="AM7" s="48" t="s">
        <v>35</v>
      </c>
      <c r="AN7" s="51" t="s">
        <v>37</v>
      </c>
      <c r="AO7" s="47" t="s">
        <v>38</v>
      </c>
      <c r="AP7" s="47" t="s">
        <v>39</v>
      </c>
      <c r="AQ7" s="47"/>
      <c r="AR7" s="47" t="s">
        <v>41</v>
      </c>
      <c r="AS7" s="47" t="s">
        <v>42</v>
      </c>
      <c r="AT7" s="47" t="s">
        <v>43</v>
      </c>
      <c r="AU7" s="47" t="s">
        <v>44</v>
      </c>
      <c r="AV7" s="47" t="s">
        <v>45</v>
      </c>
      <c r="AW7" s="47" t="s">
        <v>46</v>
      </c>
      <c r="AX7" s="52" t="s">
        <v>47</v>
      </c>
      <c r="AY7" s="52" t="s">
        <v>48</v>
      </c>
      <c r="AZ7" s="48" t="s">
        <v>40</v>
      </c>
    </row>
    <row r="8" spans="1:52" s="5" customFormat="1" ht="12.75">
      <c r="A8" s="77"/>
      <c r="B8" s="78">
        <v>2</v>
      </c>
      <c r="C8" s="79"/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>
        <f aca="true" t="shared" si="0" ref="AC8:AC70">SUM(A8:AB8)</f>
        <v>2</v>
      </c>
      <c r="AD8" s="6" t="s">
        <v>129</v>
      </c>
      <c r="AE8" s="7"/>
      <c r="AF8" s="8"/>
      <c r="AG8" s="8">
        <v>38</v>
      </c>
      <c r="AH8" s="8"/>
      <c r="AI8" s="9"/>
      <c r="AJ8" s="7"/>
      <c r="AK8" s="9"/>
      <c r="AL8" s="7"/>
      <c r="AM8" s="9"/>
      <c r="AN8" s="70">
        <f>SUM(AO8:AZ8,-AQ8)</f>
        <v>0.76</v>
      </c>
      <c r="AO8" s="71"/>
      <c r="AP8" s="71"/>
      <c r="AQ8" s="71"/>
      <c r="AR8" s="71">
        <f>AC8*AG8/100*0.2</f>
        <v>0.15200000000000002</v>
      </c>
      <c r="AS8" s="71"/>
      <c r="AT8" s="71"/>
      <c r="AU8" s="71"/>
      <c r="AV8" s="71"/>
      <c r="AW8" s="71">
        <f>AC8*AG8/100*0.6</f>
        <v>0.45599999999999996</v>
      </c>
      <c r="AX8" s="71"/>
      <c r="AY8" s="71"/>
      <c r="AZ8" s="72">
        <f>AC8*AG8/100*0.2</f>
        <v>0.15200000000000002</v>
      </c>
    </row>
    <row r="9" spans="1:52" s="5" customFormat="1" ht="12.75">
      <c r="A9" s="82"/>
      <c r="B9" s="83"/>
      <c r="C9" s="83"/>
      <c r="D9" s="8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5">
        <f t="shared" si="0"/>
        <v>0</v>
      </c>
      <c r="AD9" s="13" t="s">
        <v>49</v>
      </c>
      <c r="AE9" s="10"/>
      <c r="AF9" s="11">
        <v>44</v>
      </c>
      <c r="AG9" s="11"/>
      <c r="AH9" s="11"/>
      <c r="AI9" s="12"/>
      <c r="AJ9" s="10">
        <f aca="true" t="shared" si="1" ref="AJ9:AJ15">-AK9/$K$2%</f>
        <v>-5.645002945218928</v>
      </c>
      <c r="AK9" s="12">
        <f>AN9/AF9%</f>
        <v>5.227272727272727</v>
      </c>
      <c r="AL9" s="10"/>
      <c r="AM9" s="12"/>
      <c r="AN9" s="73">
        <f aca="true" t="shared" si="2" ref="AN9:AN70">SUM(AO9:AZ9,-AQ9)</f>
        <v>2.3</v>
      </c>
      <c r="AO9" s="74"/>
      <c r="AP9" s="74"/>
      <c r="AQ9" s="74"/>
      <c r="AR9" s="74">
        <v>2.3</v>
      </c>
      <c r="AS9" s="74"/>
      <c r="AT9" s="74"/>
      <c r="AU9" s="74"/>
      <c r="AV9" s="74"/>
      <c r="AW9" s="74"/>
      <c r="AX9" s="74"/>
      <c r="AY9" s="74"/>
      <c r="AZ9" s="75"/>
    </row>
    <row r="10" spans="1:52" s="5" customFormat="1" ht="12.75">
      <c r="A10" s="82"/>
      <c r="B10" s="83"/>
      <c r="C10" s="83"/>
      <c r="D10" s="8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5">
        <f t="shared" si="0"/>
        <v>0</v>
      </c>
      <c r="AD10" s="13" t="s">
        <v>50</v>
      </c>
      <c r="AE10" s="10"/>
      <c r="AF10" s="11"/>
      <c r="AG10" s="11">
        <v>90</v>
      </c>
      <c r="AH10" s="11"/>
      <c r="AI10" s="12"/>
      <c r="AJ10" s="10">
        <f t="shared" si="1"/>
        <v>-0.9599232061435087</v>
      </c>
      <c r="AK10" s="12">
        <f>AN10/AG10%</f>
        <v>0.888888888888889</v>
      </c>
      <c r="AL10" s="10"/>
      <c r="AM10" s="12"/>
      <c r="AN10" s="73">
        <f t="shared" si="2"/>
        <v>0.8</v>
      </c>
      <c r="AO10" s="74">
        <v>0.8</v>
      </c>
      <c r="AP10" s="76"/>
      <c r="AQ10" s="74"/>
      <c r="AR10" s="74"/>
      <c r="AS10" s="74"/>
      <c r="AT10" s="74"/>
      <c r="AU10" s="74"/>
      <c r="AV10" s="74"/>
      <c r="AW10" s="74"/>
      <c r="AX10" s="74"/>
      <c r="AY10" s="74"/>
      <c r="AZ10" s="75"/>
    </row>
    <row r="11" spans="1:52" s="5" customFormat="1" ht="12.75">
      <c r="A11" s="82"/>
      <c r="B11" s="83"/>
      <c r="C11" s="83"/>
      <c r="D11" s="8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5">
        <f t="shared" si="0"/>
        <v>0</v>
      </c>
      <c r="AD11" s="13" t="s">
        <v>51</v>
      </c>
      <c r="AE11" s="10"/>
      <c r="AF11" s="11"/>
      <c r="AG11" s="11">
        <v>100</v>
      </c>
      <c r="AH11" s="11"/>
      <c r="AI11" s="12"/>
      <c r="AJ11" s="10">
        <f t="shared" si="1"/>
        <v>-4.103671706263499</v>
      </c>
      <c r="AK11" s="12">
        <f>AN11/AG11%</f>
        <v>3.8</v>
      </c>
      <c r="AL11" s="10"/>
      <c r="AM11" s="12"/>
      <c r="AN11" s="73">
        <f t="shared" si="2"/>
        <v>3.8</v>
      </c>
      <c r="AO11" s="74"/>
      <c r="AP11" s="74">
        <v>3.8</v>
      </c>
      <c r="AQ11" s="74"/>
      <c r="AR11" s="74"/>
      <c r="AS11" s="74"/>
      <c r="AT11" s="74"/>
      <c r="AU11" s="74"/>
      <c r="AV11" s="74"/>
      <c r="AW11" s="74"/>
      <c r="AX11" s="74"/>
      <c r="AY11" s="74"/>
      <c r="AZ11" s="75"/>
    </row>
    <row r="12" spans="1:52" s="5" customFormat="1" ht="12.75">
      <c r="A12" s="82"/>
      <c r="B12" s="83"/>
      <c r="C12" s="83"/>
      <c r="D12" s="8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5">
        <f t="shared" si="0"/>
        <v>0</v>
      </c>
      <c r="AD12" s="13" t="s">
        <v>84</v>
      </c>
      <c r="AE12" s="10"/>
      <c r="AF12" s="11">
        <v>50</v>
      </c>
      <c r="AG12" s="11"/>
      <c r="AH12" s="11"/>
      <c r="AI12" s="12"/>
      <c r="AJ12" s="10">
        <f t="shared" si="1"/>
        <v>-16.846652267818577</v>
      </c>
      <c r="AK12" s="12">
        <f>AN12/AF12%</f>
        <v>15.6</v>
      </c>
      <c r="AL12" s="10"/>
      <c r="AM12" s="12"/>
      <c r="AN12" s="73">
        <f t="shared" si="2"/>
        <v>7.8</v>
      </c>
      <c r="AO12" s="74"/>
      <c r="AP12" s="74"/>
      <c r="AQ12" s="74"/>
      <c r="AR12" s="74">
        <v>2.6</v>
      </c>
      <c r="AS12" s="74">
        <v>1.5</v>
      </c>
      <c r="AT12" s="74">
        <v>0.4</v>
      </c>
      <c r="AU12" s="74">
        <v>1.2</v>
      </c>
      <c r="AV12" s="74">
        <v>0</v>
      </c>
      <c r="AW12" s="74">
        <v>0.2</v>
      </c>
      <c r="AX12" s="74">
        <v>0.1</v>
      </c>
      <c r="AY12" s="74">
        <v>1.8</v>
      </c>
      <c r="AZ12" s="75"/>
    </row>
    <row r="13" spans="1:52" s="5" customFormat="1" ht="12.75">
      <c r="A13" s="82"/>
      <c r="B13" s="83"/>
      <c r="C13" s="83"/>
      <c r="D13" s="8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>
        <f t="shared" si="0"/>
        <v>0</v>
      </c>
      <c r="AD13" s="13" t="s">
        <v>85</v>
      </c>
      <c r="AE13" s="10"/>
      <c r="AF13" s="11">
        <v>150</v>
      </c>
      <c r="AG13" s="11"/>
      <c r="AH13" s="11"/>
      <c r="AI13" s="12"/>
      <c r="AJ13" s="10">
        <f t="shared" si="1"/>
        <v>-12.251385128869694</v>
      </c>
      <c r="AK13" s="12">
        <f>AN13/AF13%</f>
        <v>11.344782629333336</v>
      </c>
      <c r="AL13" s="10"/>
      <c r="AM13" s="12"/>
      <c r="AN13" s="73">
        <f t="shared" si="2"/>
        <v>17.017173944000003</v>
      </c>
      <c r="AO13" s="74"/>
      <c r="AP13" s="74"/>
      <c r="AQ13" s="74"/>
      <c r="AR13" s="74">
        <v>9.3</v>
      </c>
      <c r="AS13" s="74">
        <v>0</v>
      </c>
      <c r="AT13" s="74">
        <v>1.4</v>
      </c>
      <c r="AU13" s="74">
        <v>4.2</v>
      </c>
      <c r="AV13" s="74">
        <v>0.1</v>
      </c>
      <c r="AW13" s="74">
        <v>0.9</v>
      </c>
      <c r="AX13" s="74">
        <v>0.017173943999999997</v>
      </c>
      <c r="AY13" s="74">
        <v>1.1</v>
      </c>
      <c r="AZ13" s="75"/>
    </row>
    <row r="14" spans="1:52" s="5" customFormat="1" ht="12.75">
      <c r="A14" s="82"/>
      <c r="B14" s="83"/>
      <c r="C14" s="83"/>
      <c r="D14" s="8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5">
        <f t="shared" si="0"/>
        <v>0</v>
      </c>
      <c r="AD14" s="13" t="s">
        <v>86</v>
      </c>
      <c r="AE14" s="10"/>
      <c r="AF14" s="11">
        <v>85</v>
      </c>
      <c r="AG14" s="11"/>
      <c r="AH14" s="11"/>
      <c r="AI14" s="12"/>
      <c r="AJ14" s="10">
        <f t="shared" si="1"/>
        <v>-63.90547579723035</v>
      </c>
      <c r="AK14" s="12">
        <f>AN14/AF14%</f>
        <v>59.176470588235304</v>
      </c>
      <c r="AL14" s="10"/>
      <c r="AM14" s="12"/>
      <c r="AN14" s="73">
        <f t="shared" si="2"/>
        <v>50.300000000000004</v>
      </c>
      <c r="AO14" s="74"/>
      <c r="AP14" s="74"/>
      <c r="AQ14" s="74"/>
      <c r="AR14" s="74">
        <v>14.6</v>
      </c>
      <c r="AS14" s="74">
        <v>7</v>
      </c>
      <c r="AT14" s="74">
        <v>1.3</v>
      </c>
      <c r="AU14" s="74">
        <v>4</v>
      </c>
      <c r="AV14" s="74">
        <v>0.5</v>
      </c>
      <c r="AW14" s="74">
        <v>5.4</v>
      </c>
      <c r="AX14" s="74">
        <v>0.6</v>
      </c>
      <c r="AY14" s="74">
        <v>16.9</v>
      </c>
      <c r="AZ14" s="75"/>
    </row>
    <row r="15" spans="1:52" s="5" customFormat="1" ht="12.75">
      <c r="A15" s="82"/>
      <c r="B15" s="83"/>
      <c r="C15" s="83"/>
      <c r="D15" s="8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>
        <f>AN15-AK15</f>
        <v>1.5</v>
      </c>
      <c r="AB15" s="74"/>
      <c r="AC15" s="75">
        <f>SUM(A15:AB15)</f>
        <v>1.5</v>
      </c>
      <c r="AD15" s="13" t="s">
        <v>53</v>
      </c>
      <c r="AE15" s="10"/>
      <c r="AF15" s="11"/>
      <c r="AG15" s="11">
        <v>250</v>
      </c>
      <c r="AH15" s="11"/>
      <c r="AI15" s="12"/>
      <c r="AJ15" s="10">
        <f t="shared" si="1"/>
        <v>-1.0799136069114472</v>
      </c>
      <c r="AK15" s="12">
        <f>AN15/AG15%</f>
        <v>1</v>
      </c>
      <c r="AL15" s="10"/>
      <c r="AM15" s="12"/>
      <c r="AN15" s="73">
        <v>2.5</v>
      </c>
      <c r="AO15" s="74">
        <f>AN15*17.5%</f>
        <v>0.4375</v>
      </c>
      <c r="AP15" s="74">
        <f>AN15*82.5%</f>
        <v>2.0625</v>
      </c>
      <c r="AQ15" s="74"/>
      <c r="AR15" s="74"/>
      <c r="AS15" s="74"/>
      <c r="AT15" s="74"/>
      <c r="AU15" s="74"/>
      <c r="AV15" s="74"/>
      <c r="AW15" s="74"/>
      <c r="AX15" s="74"/>
      <c r="AY15" s="74"/>
      <c r="AZ15" s="75"/>
    </row>
    <row r="16" spans="1:53" s="5" customFormat="1" ht="12.75">
      <c r="A16" s="82"/>
      <c r="B16" s="83"/>
      <c r="C16" s="83"/>
      <c r="D16" s="83"/>
      <c r="E16" s="74"/>
      <c r="F16" s="74"/>
      <c r="G16" s="74"/>
      <c r="H16" s="74"/>
      <c r="I16" s="74"/>
      <c r="J16" s="74"/>
      <c r="K16" s="74"/>
      <c r="L16" s="74"/>
      <c r="M16" s="74">
        <v>6.7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5">
        <f t="shared" si="0"/>
        <v>6.7</v>
      </c>
      <c r="AD16" s="13" t="s">
        <v>52</v>
      </c>
      <c r="AE16" s="31"/>
      <c r="AF16" s="32"/>
      <c r="AG16" s="32">
        <v>100</v>
      </c>
      <c r="AH16" s="32"/>
      <c r="AI16" s="33"/>
      <c r="AJ16" s="31"/>
      <c r="AK16" s="33"/>
      <c r="AL16" s="31"/>
      <c r="AM16" s="33"/>
      <c r="AN16" s="73">
        <f t="shared" si="2"/>
        <v>6.7</v>
      </c>
      <c r="AO16" s="74">
        <f>AC16*80%</f>
        <v>5.36</v>
      </c>
      <c r="AP16" s="74">
        <f>AC16-AO16</f>
        <v>1.3399999999999999</v>
      </c>
      <c r="AQ16" s="74"/>
      <c r="AR16" s="74"/>
      <c r="AS16" s="74"/>
      <c r="AT16" s="74"/>
      <c r="AU16" s="74"/>
      <c r="AV16" s="74"/>
      <c r="AW16" s="74"/>
      <c r="AX16" s="74"/>
      <c r="AY16" s="74"/>
      <c r="AZ16" s="75"/>
      <c r="BA16"/>
    </row>
    <row r="17" spans="1:53" s="5" customFormat="1" ht="12.75">
      <c r="A17" s="84">
        <f>AE17%*AJ17</f>
        <v>-286.21455774331486</v>
      </c>
      <c r="B17" s="83"/>
      <c r="C17" s="83"/>
      <c r="D17" s="8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>
        <f t="shared" si="0"/>
        <v>-286.21455774331486</v>
      </c>
      <c r="AD17" s="13" t="s">
        <v>116</v>
      </c>
      <c r="AE17" s="31">
        <v>100</v>
      </c>
      <c r="AF17" s="32"/>
      <c r="AG17" s="32"/>
      <c r="AH17" s="32"/>
      <c r="AI17" s="33"/>
      <c r="AJ17" s="31">
        <f>-SUM(AJ18:AJ70,AJ8:AJ16)</f>
        <v>-286.21455774331486</v>
      </c>
      <c r="AK17" s="33"/>
      <c r="AL17" s="31"/>
      <c r="AM17" s="33"/>
      <c r="AN17" s="73">
        <f t="shared" si="2"/>
        <v>0</v>
      </c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5"/>
      <c r="BA17"/>
    </row>
    <row r="18" spans="1:53" s="5" customFormat="1" ht="12.75">
      <c r="A18" s="82"/>
      <c r="B18" s="83"/>
      <c r="C18" s="83"/>
      <c r="D18" s="83"/>
      <c r="E18" s="74">
        <v>80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5">
        <f t="shared" si="0"/>
        <v>80</v>
      </c>
      <c r="AD18" s="13" t="s">
        <v>125</v>
      </c>
      <c r="AE18" s="31"/>
      <c r="AF18" s="32"/>
      <c r="AG18" s="32">
        <v>75</v>
      </c>
      <c r="AH18" s="32"/>
      <c r="AI18" s="33"/>
      <c r="AJ18" s="31"/>
      <c r="AK18" s="33"/>
      <c r="AL18" s="31"/>
      <c r="AM18" s="33"/>
      <c r="AN18" s="73">
        <f t="shared" si="2"/>
        <v>60</v>
      </c>
      <c r="AO18" s="74">
        <f>AC18*AG18/100*17.5%</f>
        <v>10.5</v>
      </c>
      <c r="AP18" s="74">
        <f>AC18*AG18/100-AO18</f>
        <v>49.5</v>
      </c>
      <c r="AQ18" s="74"/>
      <c r="AR18" s="74"/>
      <c r="AS18" s="74"/>
      <c r="AT18" s="74"/>
      <c r="AU18" s="74"/>
      <c r="AV18" s="74"/>
      <c r="AW18" s="74"/>
      <c r="AX18" s="74"/>
      <c r="AY18" s="74"/>
      <c r="AZ18" s="75"/>
      <c r="BA18"/>
    </row>
    <row r="19" spans="1:53" s="5" customFormat="1" ht="12.75">
      <c r="A19" s="82"/>
      <c r="B19" s="83"/>
      <c r="C19" s="83"/>
      <c r="D19" s="8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>
        <f t="shared" si="0"/>
        <v>0</v>
      </c>
      <c r="AD19" s="13" t="s">
        <v>110</v>
      </c>
      <c r="AE19" s="31"/>
      <c r="AF19" s="32">
        <v>90</v>
      </c>
      <c r="AG19" s="32">
        <v>90</v>
      </c>
      <c r="AH19" s="32"/>
      <c r="AI19" s="33"/>
      <c r="AJ19" s="31"/>
      <c r="AK19" s="33"/>
      <c r="AL19" s="31"/>
      <c r="AM19" s="33"/>
      <c r="AN19" s="73">
        <f t="shared" si="2"/>
        <v>0</v>
      </c>
      <c r="AO19" s="74">
        <f>(AC19*AG19/100*17.5%)*11.5%</f>
        <v>0</v>
      </c>
      <c r="AP19" s="74">
        <f>(AC19*AG19/100)*11.5%-AO19</f>
        <v>0</v>
      </c>
      <c r="AQ19" s="74"/>
      <c r="AR19" s="74"/>
      <c r="AS19" s="74"/>
      <c r="AT19" s="74"/>
      <c r="AU19" s="74"/>
      <c r="AV19" s="74"/>
      <c r="AW19" s="74">
        <f>AC19*AF19/100*88.5%</f>
        <v>0</v>
      </c>
      <c r="AX19" s="74"/>
      <c r="AY19" s="74"/>
      <c r="AZ19" s="75"/>
      <c r="BA19"/>
    </row>
    <row r="20" spans="1:53" s="5" customFormat="1" ht="12.75">
      <c r="A20" s="82"/>
      <c r="B20" s="83"/>
      <c r="C20" s="83"/>
      <c r="D20" s="8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>
        <f t="shared" si="0"/>
        <v>0</v>
      </c>
      <c r="AD20" s="13" t="s">
        <v>107</v>
      </c>
      <c r="AE20" s="31"/>
      <c r="AF20" s="32"/>
      <c r="AG20" s="32">
        <v>80</v>
      </c>
      <c r="AH20" s="32"/>
      <c r="AI20" s="33"/>
      <c r="AJ20" s="31"/>
      <c r="AK20" s="33"/>
      <c r="AL20" s="31"/>
      <c r="AM20" s="33"/>
      <c r="AN20" s="10">
        <f t="shared" si="2"/>
        <v>0</v>
      </c>
      <c r="AO20" s="11">
        <f>AC20*AG20/100*17.5%</f>
        <v>0</v>
      </c>
      <c r="AP20" s="11">
        <f>AC20*AG20/100-AO20</f>
        <v>0</v>
      </c>
      <c r="AQ20" s="11"/>
      <c r="AR20" s="11"/>
      <c r="AS20" s="11"/>
      <c r="AT20" s="11"/>
      <c r="AU20" s="11"/>
      <c r="AV20" s="11"/>
      <c r="AW20" s="11"/>
      <c r="AX20" s="32"/>
      <c r="AY20" s="32"/>
      <c r="AZ20" s="33"/>
      <c r="BA20"/>
    </row>
    <row r="21" spans="1:53" s="5" customFormat="1" ht="12.75">
      <c r="A21" s="82"/>
      <c r="B21" s="83"/>
      <c r="C21" s="83"/>
      <c r="D21" s="8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>
        <f t="shared" si="0"/>
        <v>0</v>
      </c>
      <c r="AD21" s="13" t="s">
        <v>126</v>
      </c>
      <c r="AE21" s="31"/>
      <c r="AF21" s="32"/>
      <c r="AG21" s="32">
        <v>90</v>
      </c>
      <c r="AH21" s="32"/>
      <c r="AI21" s="33"/>
      <c r="AJ21" s="31"/>
      <c r="AK21" s="33"/>
      <c r="AL21" s="31"/>
      <c r="AM21" s="33"/>
      <c r="AN21" s="10">
        <f t="shared" si="2"/>
        <v>0</v>
      </c>
      <c r="AO21" s="11">
        <f>AC21*AG21/100*17.5%</f>
        <v>0</v>
      </c>
      <c r="AP21" s="11">
        <f>AC21*AG21/100-AO21</f>
        <v>0</v>
      </c>
      <c r="AQ21" s="11"/>
      <c r="AR21" s="11"/>
      <c r="AS21" s="11"/>
      <c r="AT21" s="11"/>
      <c r="AU21" s="11"/>
      <c r="AV21" s="11"/>
      <c r="AW21" s="11"/>
      <c r="AX21" s="32"/>
      <c r="AY21" s="32"/>
      <c r="AZ21" s="33"/>
      <c r="BA21"/>
    </row>
    <row r="22" spans="1:53" s="5" customFormat="1" ht="12.75">
      <c r="A22" s="82"/>
      <c r="B22" s="83"/>
      <c r="C22" s="83"/>
      <c r="D22" s="8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5">
        <f t="shared" si="0"/>
        <v>0</v>
      </c>
      <c r="AD22" s="13" t="s">
        <v>109</v>
      </c>
      <c r="AE22" s="31"/>
      <c r="AF22" s="32">
        <v>90</v>
      </c>
      <c r="AG22" s="32">
        <v>90</v>
      </c>
      <c r="AH22" s="32"/>
      <c r="AI22" s="33"/>
      <c r="AJ22" s="31"/>
      <c r="AK22" s="33"/>
      <c r="AL22" s="31"/>
      <c r="AM22" s="33"/>
      <c r="AN22" s="10">
        <f t="shared" si="2"/>
        <v>0</v>
      </c>
      <c r="AO22" s="11">
        <f>(AC22*AG22/100*17.5%)*11.5%</f>
        <v>0</v>
      </c>
      <c r="AP22" s="11">
        <f>(AC22*AG22/100)*11.5%-AO22</f>
        <v>0</v>
      </c>
      <c r="AQ22" s="11"/>
      <c r="AR22" s="11"/>
      <c r="AS22" s="11"/>
      <c r="AT22" s="11"/>
      <c r="AU22" s="11"/>
      <c r="AV22" s="11"/>
      <c r="AW22" s="11">
        <f>AC22*AF22/100*88.5%</f>
        <v>0</v>
      </c>
      <c r="AX22" s="32"/>
      <c r="AY22" s="32"/>
      <c r="AZ22" s="33"/>
      <c r="BA22"/>
    </row>
    <row r="23" spans="1:52" s="5" customFormat="1" ht="12.75">
      <c r="A23" s="82"/>
      <c r="B23" s="83"/>
      <c r="C23" s="83"/>
      <c r="D23" s="8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>
        <f>20.3*39.4%</f>
        <v>7.9982</v>
      </c>
      <c r="W23" s="74">
        <f>20.3*60.6%</f>
        <v>12.3018</v>
      </c>
      <c r="X23" s="74"/>
      <c r="Y23" s="74"/>
      <c r="Z23" s="74"/>
      <c r="AA23" s="74"/>
      <c r="AB23" s="74"/>
      <c r="AC23" s="75">
        <f t="shared" si="0"/>
        <v>20.3</v>
      </c>
      <c r="AD23" s="13" t="s">
        <v>54</v>
      </c>
      <c r="AE23" s="10"/>
      <c r="AF23" s="11"/>
      <c r="AG23" s="11">
        <v>70</v>
      </c>
      <c r="AH23" s="11"/>
      <c r="AI23" s="12"/>
      <c r="AJ23" s="10"/>
      <c r="AK23" s="12"/>
      <c r="AL23" s="10"/>
      <c r="AM23" s="12"/>
      <c r="AN23" s="10">
        <f t="shared" si="2"/>
        <v>14.21</v>
      </c>
      <c r="AO23" s="11">
        <f>AC23*AG23/100*17.5%</f>
        <v>2.48675</v>
      </c>
      <c r="AP23" s="11">
        <f>AC23*AG23/100-AO23</f>
        <v>11.72325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2"/>
    </row>
    <row r="24" spans="1:52" s="5" customFormat="1" ht="12.75">
      <c r="A24" s="82"/>
      <c r="B24" s="83"/>
      <c r="C24" s="83"/>
      <c r="D24" s="8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>
        <f>44.5*90%</f>
        <v>40.050000000000004</v>
      </c>
      <c r="U24" s="74">
        <f>44.5*10%</f>
        <v>4.45</v>
      </c>
      <c r="V24" s="74"/>
      <c r="W24" s="74"/>
      <c r="X24" s="74"/>
      <c r="Y24" s="74"/>
      <c r="Z24" s="74"/>
      <c r="AA24" s="74"/>
      <c r="AB24" s="74"/>
      <c r="AC24" s="75">
        <f t="shared" si="0"/>
        <v>44.50000000000001</v>
      </c>
      <c r="AD24" s="13" t="s">
        <v>55</v>
      </c>
      <c r="AE24" s="10"/>
      <c r="AF24" s="11"/>
      <c r="AG24" s="11">
        <v>60</v>
      </c>
      <c r="AH24" s="11"/>
      <c r="AI24" s="12"/>
      <c r="AJ24" s="10"/>
      <c r="AK24" s="12"/>
      <c r="AL24" s="10"/>
      <c r="AM24" s="12"/>
      <c r="AN24" s="10">
        <f t="shared" si="2"/>
        <v>26.700000000000003</v>
      </c>
      <c r="AO24" s="11">
        <f>AC24*AG24/100*17.5%</f>
        <v>4.6725</v>
      </c>
      <c r="AP24" s="11">
        <f>AC24*AG24/100-AO24</f>
        <v>22.027500000000003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2"/>
    </row>
    <row r="25" spans="1:52" s="5" customFormat="1" ht="12.75">
      <c r="A25" s="82"/>
      <c r="B25" s="83"/>
      <c r="C25" s="83"/>
      <c r="D25" s="8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>
        <v>5.1</v>
      </c>
      <c r="T25" s="74"/>
      <c r="U25" s="74"/>
      <c r="V25" s="74"/>
      <c r="W25" s="74"/>
      <c r="X25" s="74"/>
      <c r="Y25" s="74"/>
      <c r="Z25" s="74"/>
      <c r="AA25" s="74"/>
      <c r="AB25" s="74"/>
      <c r="AC25" s="75">
        <f t="shared" si="0"/>
        <v>5.1</v>
      </c>
      <c r="AD25" s="13" t="s">
        <v>56</v>
      </c>
      <c r="AE25" s="10"/>
      <c r="AF25" s="11"/>
      <c r="AG25" s="11">
        <v>60</v>
      </c>
      <c r="AH25" s="11"/>
      <c r="AI25" s="12"/>
      <c r="AJ25" s="10"/>
      <c r="AK25" s="12"/>
      <c r="AL25" s="10"/>
      <c r="AM25" s="12"/>
      <c r="AN25" s="10">
        <f t="shared" si="2"/>
        <v>3.06</v>
      </c>
      <c r="AO25" s="11">
        <f>AC25*AG25/100*17.5%</f>
        <v>0.5355</v>
      </c>
      <c r="AP25" s="11">
        <f>AC25*AG25/100-AO25</f>
        <v>2.5245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2"/>
    </row>
    <row r="26" spans="1:52" s="5" customFormat="1" ht="12.75">
      <c r="A26" s="82"/>
      <c r="B26" s="83"/>
      <c r="C26" s="83"/>
      <c r="D26" s="8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>
        <f t="shared" si="0"/>
        <v>0</v>
      </c>
      <c r="AD26" s="13" t="s">
        <v>57</v>
      </c>
      <c r="AE26" s="10"/>
      <c r="AF26" s="11"/>
      <c r="AG26" s="11">
        <v>100</v>
      </c>
      <c r="AH26" s="11"/>
      <c r="AI26" s="12"/>
      <c r="AJ26" s="10"/>
      <c r="AK26" s="12"/>
      <c r="AL26" s="10"/>
      <c r="AM26" s="12"/>
      <c r="AN26" s="10">
        <f t="shared" si="2"/>
        <v>0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</row>
    <row r="27" spans="1:52" s="5" customFormat="1" ht="12.75">
      <c r="A27" s="82"/>
      <c r="B27" s="83"/>
      <c r="C27" s="83"/>
      <c r="D27" s="83"/>
      <c r="E27" s="74"/>
      <c r="F27" s="74"/>
      <c r="G27" s="74"/>
      <c r="H27" s="74"/>
      <c r="I27" s="74"/>
      <c r="J27" s="74"/>
      <c r="K27" s="74"/>
      <c r="L27" s="74"/>
      <c r="M27" s="74">
        <v>0.006582401770890979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5">
        <f t="shared" si="0"/>
        <v>0.006582401770890979</v>
      </c>
      <c r="AD27" s="13" t="s">
        <v>58</v>
      </c>
      <c r="AE27" s="11">
        <v>100</v>
      </c>
      <c r="AF27" s="11"/>
      <c r="AG27" s="11"/>
      <c r="AH27" s="11"/>
      <c r="AI27" s="12"/>
      <c r="AJ27" s="10">
        <f>AC27*AE27/100</f>
        <v>0.00658240177089098</v>
      </c>
      <c r="AK27" s="12"/>
      <c r="AL27" s="10"/>
      <c r="AM27" s="12"/>
      <c r="AN27" s="10">
        <f t="shared" si="2"/>
        <v>0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</row>
    <row r="28" spans="1:52" s="5" customFormat="1" ht="12.75">
      <c r="A28" s="83"/>
      <c r="B28" s="83"/>
      <c r="C28" s="83"/>
      <c r="D28" s="83"/>
      <c r="E28" s="74"/>
      <c r="F28" s="74"/>
      <c r="G28" s="74"/>
      <c r="H28" s="74"/>
      <c r="I28" s="74"/>
      <c r="J28" s="74">
        <v>391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>
        <f t="shared" si="0"/>
        <v>391</v>
      </c>
      <c r="AD28" s="13" t="s">
        <v>59</v>
      </c>
      <c r="AE28" s="11">
        <v>100</v>
      </c>
      <c r="AF28" s="11"/>
      <c r="AG28" s="11"/>
      <c r="AH28" s="11"/>
      <c r="AI28" s="12"/>
      <c r="AJ28" s="10">
        <f>AE28*AC28/100</f>
        <v>391</v>
      </c>
      <c r="AK28" s="12"/>
      <c r="AL28" s="10"/>
      <c r="AM28" s="12"/>
      <c r="AN28" s="10">
        <f t="shared" si="2"/>
        <v>0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2"/>
    </row>
    <row r="29" spans="1:52" s="5" customFormat="1" ht="12.75">
      <c r="A29" s="83"/>
      <c r="B29" s="83"/>
      <c r="C29" s="83"/>
      <c r="D29" s="8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>
        <f t="shared" si="0"/>
        <v>0</v>
      </c>
      <c r="AD29" s="13" t="s">
        <v>60</v>
      </c>
      <c r="AE29" s="11">
        <v>100</v>
      </c>
      <c r="AF29" s="11"/>
      <c r="AG29" s="11"/>
      <c r="AH29" s="11"/>
      <c r="AI29" s="12"/>
      <c r="AJ29" s="10">
        <f>AC29</f>
        <v>0</v>
      </c>
      <c r="AK29" s="12"/>
      <c r="AL29" s="10"/>
      <c r="AM29" s="12"/>
      <c r="AN29" s="10">
        <f t="shared" si="2"/>
        <v>0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2"/>
    </row>
    <row r="30" spans="1:52" s="5" customFormat="1" ht="12.75">
      <c r="A30" s="83"/>
      <c r="B30" s="83"/>
      <c r="C30" s="83"/>
      <c r="D30" s="8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5">
        <f t="shared" si="0"/>
        <v>0</v>
      </c>
      <c r="AD30" s="13" t="s">
        <v>61</v>
      </c>
      <c r="AE30" s="11">
        <v>100</v>
      </c>
      <c r="AF30" s="11"/>
      <c r="AG30" s="11"/>
      <c r="AH30" s="11"/>
      <c r="AI30" s="12"/>
      <c r="AJ30" s="10"/>
      <c r="AK30" s="12"/>
      <c r="AL30" s="10"/>
      <c r="AM30" s="12"/>
      <c r="AN30" s="10">
        <f t="shared" si="2"/>
        <v>0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</row>
    <row r="31" spans="1:52" s="5" customFormat="1" ht="12.75">
      <c r="A31" s="83"/>
      <c r="B31" s="83"/>
      <c r="C31" s="85"/>
      <c r="D31" s="8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5">
        <f t="shared" si="0"/>
        <v>0</v>
      </c>
      <c r="AD31" s="13" t="s">
        <v>72</v>
      </c>
      <c r="AE31" s="10"/>
      <c r="AF31" s="11"/>
      <c r="AG31" s="11"/>
      <c r="AH31" s="11"/>
      <c r="AI31" s="12"/>
      <c r="AJ31" s="10">
        <f>AC31*AE31/100</f>
        <v>0</v>
      </c>
      <c r="AK31" s="12"/>
      <c r="AL31" s="10">
        <f>AC31*AG31/100</f>
        <v>0</v>
      </c>
      <c r="AM31" s="12"/>
      <c r="AN31" s="10">
        <f t="shared" si="2"/>
        <v>0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/>
    </row>
    <row r="32" spans="1:52" s="5" customFormat="1" ht="12.75">
      <c r="A32" s="83"/>
      <c r="B32" s="83"/>
      <c r="C32" s="85"/>
      <c r="D32" s="8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5">
        <f t="shared" si="0"/>
        <v>0</v>
      </c>
      <c r="AD32" s="13" t="s">
        <v>73</v>
      </c>
      <c r="AE32" s="10"/>
      <c r="AF32" s="11"/>
      <c r="AG32" s="11"/>
      <c r="AH32" s="11"/>
      <c r="AI32" s="12"/>
      <c r="AJ32" s="10">
        <f>AC32*AE32/100</f>
        <v>0</v>
      </c>
      <c r="AK32" s="12"/>
      <c r="AL32" s="10">
        <f>AC32*AG32</f>
        <v>0</v>
      </c>
      <c r="AM32" s="12"/>
      <c r="AN32" s="10">
        <f t="shared" si="2"/>
        <v>0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2"/>
    </row>
    <row r="33" spans="1:52" s="5" customFormat="1" ht="12.75">
      <c r="A33" s="83"/>
      <c r="B33" s="83"/>
      <c r="C33" s="85"/>
      <c r="D33" s="8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5">
        <f t="shared" si="0"/>
        <v>0</v>
      </c>
      <c r="AD33" s="13" t="s">
        <v>74</v>
      </c>
      <c r="AE33" s="10"/>
      <c r="AF33" s="11"/>
      <c r="AG33" s="11"/>
      <c r="AH33" s="11"/>
      <c r="AI33" s="12"/>
      <c r="AJ33" s="10">
        <f>AC33*AE33/100</f>
        <v>0</v>
      </c>
      <c r="AK33" s="12"/>
      <c r="AL33" s="10">
        <f>AC33*AG33</f>
        <v>0</v>
      </c>
      <c r="AM33" s="12"/>
      <c r="AN33" s="10">
        <f t="shared" si="2"/>
        <v>0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2"/>
    </row>
    <row r="34" spans="1:52" s="5" customFormat="1" ht="12.75">
      <c r="A34" s="83"/>
      <c r="B34" s="85"/>
      <c r="C34" s="85"/>
      <c r="D34" s="8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5">
        <f t="shared" si="0"/>
        <v>0</v>
      </c>
      <c r="AD34" s="13" t="s">
        <v>75</v>
      </c>
      <c r="AE34" s="10"/>
      <c r="AF34" s="11"/>
      <c r="AG34" s="11"/>
      <c r="AH34" s="11"/>
      <c r="AI34" s="12"/>
      <c r="AJ34" s="10"/>
      <c r="AK34" s="12"/>
      <c r="AL34" s="10">
        <f>AC34*AG34/100</f>
        <v>0</v>
      </c>
      <c r="AM34" s="12"/>
      <c r="AN34" s="10">
        <f t="shared" si="2"/>
        <v>0</v>
      </c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</row>
    <row r="35" spans="1:52" s="5" customFormat="1" ht="12.75">
      <c r="A35" s="83"/>
      <c r="B35" s="83"/>
      <c r="C35" s="85"/>
      <c r="D35" s="8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>
        <f t="shared" si="0"/>
        <v>0</v>
      </c>
      <c r="AD35" s="13" t="s">
        <v>76</v>
      </c>
      <c r="AE35" s="10"/>
      <c r="AF35" s="11"/>
      <c r="AG35" s="11"/>
      <c r="AH35" s="11"/>
      <c r="AI35" s="12"/>
      <c r="AJ35" s="10"/>
      <c r="AK35" s="12"/>
      <c r="AL35" s="10">
        <f>-SUM(AL31:AL34)</f>
        <v>0</v>
      </c>
      <c r="AM35" s="12">
        <f>-AL35*AI35/100</f>
        <v>0</v>
      </c>
      <c r="AN35" s="10">
        <f t="shared" si="2"/>
        <v>0</v>
      </c>
      <c r="AO35" s="11">
        <f>(AM35-AW35)*17.5%</f>
        <v>0</v>
      </c>
      <c r="AP35" s="11">
        <f>AM35-AO35-AW35</f>
        <v>0</v>
      </c>
      <c r="AQ35" s="11"/>
      <c r="AR35" s="11"/>
      <c r="AS35" s="11"/>
      <c r="AT35" s="11"/>
      <c r="AU35" s="11"/>
      <c r="AV35" s="11"/>
      <c r="AW35" s="11">
        <f>(7818*60%)*AM35/SUM($AM$35:$AM$52)</f>
        <v>0</v>
      </c>
      <c r="AX35" s="11"/>
      <c r="AY35" s="11"/>
      <c r="AZ35" s="12"/>
    </row>
    <row r="36" spans="1:52" s="5" customFormat="1" ht="12.75">
      <c r="A36" s="83"/>
      <c r="B36" s="83"/>
      <c r="C36" s="83"/>
      <c r="D36" s="8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5">
        <f t="shared" si="0"/>
        <v>0</v>
      </c>
      <c r="AD36" s="13" t="s">
        <v>77</v>
      </c>
      <c r="AE36" s="10"/>
      <c r="AF36" s="11"/>
      <c r="AG36" s="11"/>
      <c r="AH36" s="11"/>
      <c r="AI36" s="12"/>
      <c r="AJ36" s="10">
        <f>AC36*AE36/100</f>
        <v>0</v>
      </c>
      <c r="AK36" s="12"/>
      <c r="AL36" s="10">
        <f>AC36*AG36/100</f>
        <v>0</v>
      </c>
      <c r="AM36" s="12"/>
      <c r="AN36" s="10">
        <f t="shared" si="2"/>
        <v>0</v>
      </c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2"/>
    </row>
    <row r="37" spans="1:52" s="5" customFormat="1" ht="12.75">
      <c r="A37" s="83"/>
      <c r="B37" s="83"/>
      <c r="C37" s="83"/>
      <c r="D37" s="8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5">
        <f t="shared" si="0"/>
        <v>0</v>
      </c>
      <c r="AD37" s="13" t="s">
        <v>78</v>
      </c>
      <c r="AE37" s="10"/>
      <c r="AF37" s="11"/>
      <c r="AG37" s="11"/>
      <c r="AH37" s="11"/>
      <c r="AI37" s="12"/>
      <c r="AJ37" s="10">
        <f>AC37*AE37/100</f>
        <v>0</v>
      </c>
      <c r="AK37" s="12"/>
      <c r="AL37" s="10">
        <f>AC37*AG37/100</f>
        <v>0</v>
      </c>
      <c r="AM37" s="12"/>
      <c r="AN37" s="10">
        <f t="shared" si="2"/>
        <v>0</v>
      </c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2"/>
    </row>
    <row r="38" spans="1:52" s="5" customFormat="1" ht="12.75">
      <c r="A38" s="83"/>
      <c r="B38" s="83"/>
      <c r="C38" s="83"/>
      <c r="D38" s="8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5">
        <f t="shared" si="0"/>
        <v>0</v>
      </c>
      <c r="AD38" s="13" t="s">
        <v>79</v>
      </c>
      <c r="AE38" s="10"/>
      <c r="AF38" s="11"/>
      <c r="AG38" s="11"/>
      <c r="AH38" s="11"/>
      <c r="AI38" s="12"/>
      <c r="AJ38" s="10">
        <f>AC38*AE38/100</f>
        <v>0</v>
      </c>
      <c r="AK38" s="12"/>
      <c r="AL38" s="10">
        <f>AC38*AG38/100</f>
        <v>0</v>
      </c>
      <c r="AM38" s="12"/>
      <c r="AN38" s="10">
        <f t="shared" si="2"/>
        <v>0</v>
      </c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2"/>
    </row>
    <row r="39" spans="1:52" s="5" customFormat="1" ht="12.75">
      <c r="A39" s="83"/>
      <c r="B39" s="83"/>
      <c r="C39" s="83"/>
      <c r="D39" s="8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>
        <f t="shared" si="0"/>
        <v>0</v>
      </c>
      <c r="AD39" s="13" t="s">
        <v>80</v>
      </c>
      <c r="AE39" s="10"/>
      <c r="AF39" s="11"/>
      <c r="AG39" s="11"/>
      <c r="AH39" s="11"/>
      <c r="AI39" s="12">
        <v>75</v>
      </c>
      <c r="AJ39" s="10"/>
      <c r="AK39" s="12"/>
      <c r="AL39" s="10">
        <f>-SUM(AL36:AL38)</f>
        <v>0</v>
      </c>
      <c r="AM39" s="12">
        <f>-AL39*AI39/100</f>
        <v>0</v>
      </c>
      <c r="AN39" s="10">
        <f t="shared" si="2"/>
        <v>0</v>
      </c>
      <c r="AO39" s="11">
        <f>(AM39-AW39)*17.5%</f>
        <v>0</v>
      </c>
      <c r="AP39" s="11">
        <f>AM39-AO39-AW39</f>
        <v>0</v>
      </c>
      <c r="AQ39" s="11"/>
      <c r="AR39" s="11"/>
      <c r="AS39" s="11"/>
      <c r="AT39" s="11"/>
      <c r="AU39" s="11"/>
      <c r="AV39" s="11"/>
      <c r="AW39" s="11">
        <f>(7818*60%)*AM39/SUM($AM$35:$AM$52)</f>
        <v>0</v>
      </c>
      <c r="AX39" s="11"/>
      <c r="AY39" s="11"/>
      <c r="AZ39" s="12"/>
    </row>
    <row r="40" spans="1:52" s="5" customFormat="1" ht="12.75">
      <c r="A40" s="83"/>
      <c r="B40" s="83"/>
      <c r="C40" s="85"/>
      <c r="D40" s="8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5">
        <f t="shared" si="0"/>
        <v>0</v>
      </c>
      <c r="AD40" s="13" t="s">
        <v>99</v>
      </c>
      <c r="AE40" s="10"/>
      <c r="AF40" s="11"/>
      <c r="AG40" s="11"/>
      <c r="AH40" s="11"/>
      <c r="AI40" s="12"/>
      <c r="AJ40" s="10">
        <f>AC40*AE40/100</f>
        <v>0</v>
      </c>
      <c r="AK40" s="12"/>
      <c r="AL40" s="10">
        <f>AC40*AG40/100</f>
        <v>0</v>
      </c>
      <c r="AM40" s="12"/>
      <c r="AN40" s="10">
        <f t="shared" si="2"/>
        <v>0</v>
      </c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2"/>
    </row>
    <row r="41" spans="1:52" s="5" customFormat="1" ht="12.75">
      <c r="A41" s="83"/>
      <c r="B41" s="83"/>
      <c r="C41" s="83"/>
      <c r="D41" s="8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>
        <f t="shared" si="0"/>
        <v>0</v>
      </c>
      <c r="AD41" s="13" t="s">
        <v>100</v>
      </c>
      <c r="AE41" s="10"/>
      <c r="AF41" s="11"/>
      <c r="AG41" s="11"/>
      <c r="AH41" s="11"/>
      <c r="AI41" s="12"/>
      <c r="AJ41" s="10">
        <f>AC41*AE41/100</f>
        <v>0</v>
      </c>
      <c r="AK41" s="12"/>
      <c r="AL41" s="10">
        <f>AC41*AG41/100</f>
        <v>0</v>
      </c>
      <c r="AM41" s="12"/>
      <c r="AN41" s="10">
        <f t="shared" si="2"/>
        <v>0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2"/>
    </row>
    <row r="42" spans="1:52" s="5" customFormat="1" ht="12.75">
      <c r="A42" s="83"/>
      <c r="B42" s="83"/>
      <c r="C42" s="83"/>
      <c r="D42" s="8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5">
        <f t="shared" si="0"/>
        <v>0</v>
      </c>
      <c r="AD42" s="13" t="s">
        <v>101</v>
      </c>
      <c r="AE42" s="10"/>
      <c r="AF42" s="11"/>
      <c r="AG42" s="11"/>
      <c r="AH42" s="11"/>
      <c r="AI42" s="12"/>
      <c r="AJ42" s="10">
        <f>AC42*AE42/100</f>
        <v>0</v>
      </c>
      <c r="AK42" s="12"/>
      <c r="AL42" s="10">
        <f>AC42*AG42/100</f>
        <v>0</v>
      </c>
      <c r="AM42" s="12"/>
      <c r="AN42" s="10">
        <f t="shared" si="2"/>
        <v>0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</row>
    <row r="43" spans="1:52" s="5" customFormat="1" ht="12.75">
      <c r="A43" s="83"/>
      <c r="B43" s="83"/>
      <c r="C43" s="83"/>
      <c r="D43" s="85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5">
        <f t="shared" si="0"/>
        <v>0</v>
      </c>
      <c r="AD43" s="13" t="s">
        <v>102</v>
      </c>
      <c r="AE43" s="10"/>
      <c r="AF43" s="11"/>
      <c r="AG43" s="11"/>
      <c r="AH43" s="11"/>
      <c r="AI43" s="12"/>
      <c r="AJ43" s="10">
        <f>AC43*AE43/100</f>
        <v>0</v>
      </c>
      <c r="AK43" s="12"/>
      <c r="AL43" s="10">
        <f>AC43*AG43/100</f>
        <v>0</v>
      </c>
      <c r="AM43" s="12"/>
      <c r="AN43" s="10">
        <f t="shared" si="2"/>
        <v>0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2"/>
    </row>
    <row r="44" spans="1:52" s="5" customFormat="1" ht="12.75">
      <c r="A44" s="83"/>
      <c r="B44" s="83"/>
      <c r="C44" s="83"/>
      <c r="D44" s="8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>
        <f t="shared" si="0"/>
        <v>0</v>
      </c>
      <c r="AD44" s="13" t="s">
        <v>103</v>
      </c>
      <c r="AE44" s="10"/>
      <c r="AF44" s="11"/>
      <c r="AG44" s="11"/>
      <c r="AH44" s="11"/>
      <c r="AI44" s="12"/>
      <c r="AJ44" s="10">
        <f>AC44*AE44/100</f>
        <v>0</v>
      </c>
      <c r="AK44" s="12"/>
      <c r="AL44" s="10">
        <f>AC44*AG44/100</f>
        <v>0</v>
      </c>
      <c r="AM44" s="12"/>
      <c r="AN44" s="10">
        <f t="shared" si="2"/>
        <v>0</v>
      </c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2"/>
    </row>
    <row r="45" spans="1:52" s="5" customFormat="1" ht="12.75">
      <c r="A45" s="83"/>
      <c r="B45" s="83"/>
      <c r="C45" s="83"/>
      <c r="D45" s="8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>
        <f t="shared" si="0"/>
        <v>0</v>
      </c>
      <c r="AD45" s="13" t="s">
        <v>104</v>
      </c>
      <c r="AE45" s="73"/>
      <c r="AF45" s="74"/>
      <c r="AG45" s="74"/>
      <c r="AH45" s="74"/>
      <c r="AI45" s="75">
        <v>75</v>
      </c>
      <c r="AJ45" s="73"/>
      <c r="AK45" s="12"/>
      <c r="AL45" s="10">
        <f>-SUM(AL40:AL44)</f>
        <v>0</v>
      </c>
      <c r="AM45" s="12">
        <f>-AL45*AI45/100</f>
        <v>0</v>
      </c>
      <c r="AN45" s="10">
        <f t="shared" si="2"/>
        <v>0</v>
      </c>
      <c r="AO45" s="11">
        <f>(AM45-AW45)*17.5%</f>
        <v>0</v>
      </c>
      <c r="AP45" s="11">
        <f>AM45-AO45-AW45</f>
        <v>0</v>
      </c>
      <c r="AQ45" s="11"/>
      <c r="AR45" s="11"/>
      <c r="AS45" s="11"/>
      <c r="AT45" s="11"/>
      <c r="AU45" s="11"/>
      <c r="AV45" s="11"/>
      <c r="AW45" s="11">
        <f>(0*60%)*AM45/SUM($AM$35:$AM$52)</f>
        <v>0</v>
      </c>
      <c r="AX45" s="11"/>
      <c r="AY45" s="11"/>
      <c r="AZ45" s="12"/>
    </row>
    <row r="46" spans="1:52" s="5" customFormat="1" ht="12.75">
      <c r="A46" s="83"/>
      <c r="B46" s="83"/>
      <c r="C46" s="83"/>
      <c r="D46" s="8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>
        <f t="shared" si="0"/>
        <v>0</v>
      </c>
      <c r="AD46" s="13" t="s">
        <v>120</v>
      </c>
      <c r="AE46" s="73"/>
      <c r="AF46" s="76"/>
      <c r="AG46" s="74"/>
      <c r="AH46" s="74"/>
      <c r="AI46" s="75"/>
      <c r="AJ46" s="73">
        <f>AC46*AE46/100</f>
        <v>0</v>
      </c>
      <c r="AK46" s="12"/>
      <c r="AL46" s="10">
        <f>AC46*AG46/100</f>
        <v>0</v>
      </c>
      <c r="AM46" s="12"/>
      <c r="AN46" s="10">
        <f>SUM(AO46:AZ46,-AQ46)</f>
        <v>0</v>
      </c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2"/>
    </row>
    <row r="47" spans="1:52" s="5" customFormat="1" ht="12.75">
      <c r="A47" s="83"/>
      <c r="B47" s="83"/>
      <c r="C47" s="83"/>
      <c r="D47" s="8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>
        <f t="shared" si="0"/>
        <v>0</v>
      </c>
      <c r="AD47" s="13" t="s">
        <v>81</v>
      </c>
      <c r="AE47" s="73"/>
      <c r="AF47" s="74"/>
      <c r="AG47" s="74"/>
      <c r="AH47" s="74"/>
      <c r="AI47" s="75"/>
      <c r="AJ47" s="73">
        <f>AC47*AE47/100</f>
        <v>0</v>
      </c>
      <c r="AK47" s="12"/>
      <c r="AL47" s="10">
        <f>AC47*AG47/100</f>
        <v>0</v>
      </c>
      <c r="AM47" s="12"/>
      <c r="AN47" s="10">
        <f t="shared" si="2"/>
        <v>0</v>
      </c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2"/>
    </row>
    <row r="48" spans="1:52" s="5" customFormat="1" ht="12.75">
      <c r="A48" s="83"/>
      <c r="B48" s="83"/>
      <c r="C48" s="83"/>
      <c r="D48" s="8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5">
        <f t="shared" si="0"/>
        <v>0</v>
      </c>
      <c r="AD48" s="13" t="s">
        <v>83</v>
      </c>
      <c r="AE48" s="73"/>
      <c r="AF48" s="74"/>
      <c r="AG48" s="74"/>
      <c r="AH48" s="74"/>
      <c r="AI48" s="75"/>
      <c r="AJ48" s="73">
        <f>AC48*AE48/100</f>
        <v>0</v>
      </c>
      <c r="AK48" s="12"/>
      <c r="AL48" s="10">
        <f>AC48*AG48/100</f>
        <v>0</v>
      </c>
      <c r="AM48" s="12"/>
      <c r="AN48" s="10">
        <f t="shared" si="2"/>
        <v>0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2"/>
    </row>
    <row r="49" spans="1:52" s="5" customFormat="1" ht="12.75">
      <c r="A49" s="83"/>
      <c r="B49" s="83"/>
      <c r="C49" s="83"/>
      <c r="D49" s="8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5">
        <f t="shared" si="0"/>
        <v>0</v>
      </c>
      <c r="AD49" s="13" t="s">
        <v>82</v>
      </c>
      <c r="AE49" s="73"/>
      <c r="AF49" s="74"/>
      <c r="AG49" s="74"/>
      <c r="AH49" s="74"/>
      <c r="AI49" s="75">
        <v>75</v>
      </c>
      <c r="AJ49" s="73"/>
      <c r="AK49" s="12"/>
      <c r="AL49" s="10">
        <f>-SUM(AL47:AL48)</f>
        <v>0</v>
      </c>
      <c r="AM49" s="12">
        <f>-AL49*AI49/100</f>
        <v>0</v>
      </c>
      <c r="AN49" s="10">
        <f t="shared" si="2"/>
        <v>0</v>
      </c>
      <c r="AO49" s="11">
        <f>(AM49-AW49)*17.5%</f>
        <v>0</v>
      </c>
      <c r="AP49" s="11">
        <f>AM49-AO49-AW49</f>
        <v>0</v>
      </c>
      <c r="AQ49" s="11"/>
      <c r="AR49" s="11"/>
      <c r="AS49" s="11"/>
      <c r="AT49" s="11"/>
      <c r="AU49" s="11"/>
      <c r="AV49" s="11"/>
      <c r="AW49" s="11">
        <f>(0*60%)*AM49/SUM($AM$35:$AM$52)</f>
        <v>0</v>
      </c>
      <c r="AX49" s="11"/>
      <c r="AY49" s="11"/>
      <c r="AZ49" s="12"/>
    </row>
    <row r="50" spans="1:52" s="5" customFormat="1" ht="12.75">
      <c r="A50" s="83"/>
      <c r="B50" s="83"/>
      <c r="C50" s="85"/>
      <c r="D50" s="85"/>
      <c r="E50" s="74">
        <v>0.04</v>
      </c>
      <c r="F50" s="74"/>
      <c r="G50" s="74"/>
      <c r="H50" s="74"/>
      <c r="I50" s="74"/>
      <c r="J50" s="74"/>
      <c r="K50" s="74"/>
      <c r="L50" s="74"/>
      <c r="M50" s="74">
        <v>4</v>
      </c>
      <c r="N50" s="74"/>
      <c r="O50" s="74"/>
      <c r="P50" s="74"/>
      <c r="Q50" s="74"/>
      <c r="R50" s="74"/>
      <c r="S50" s="74">
        <v>74.2</v>
      </c>
      <c r="T50" s="74">
        <f>16*90%</f>
        <v>14.4</v>
      </c>
      <c r="U50" s="74">
        <f>16*10%</f>
        <v>1.6</v>
      </c>
      <c r="V50" s="74"/>
      <c r="W50" s="74"/>
      <c r="X50" s="74"/>
      <c r="Y50" s="74"/>
      <c r="Z50" s="74"/>
      <c r="AA50" s="74"/>
      <c r="AB50" s="74"/>
      <c r="AC50" s="75">
        <f t="shared" si="0"/>
        <v>94.24000000000001</v>
      </c>
      <c r="AD50" s="13" t="s">
        <v>96</v>
      </c>
      <c r="AE50" s="73"/>
      <c r="AF50" s="74"/>
      <c r="AG50" s="74">
        <v>83.6</v>
      </c>
      <c r="AH50" s="74"/>
      <c r="AI50" s="75"/>
      <c r="AJ50" s="73"/>
      <c r="AK50" s="12"/>
      <c r="AL50" s="10">
        <f>AC50*AG50/100</f>
        <v>78.78464</v>
      </c>
      <c r="AM50" s="12"/>
      <c r="AN50" s="10">
        <f t="shared" si="2"/>
        <v>0</v>
      </c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2"/>
    </row>
    <row r="51" spans="1:52" s="5" customFormat="1" ht="12.75">
      <c r="A51" s="83"/>
      <c r="B51" s="83"/>
      <c r="C51" s="83"/>
      <c r="D51" s="8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  <c r="AD51" s="13" t="s">
        <v>97</v>
      </c>
      <c r="AE51" s="73"/>
      <c r="AF51" s="74"/>
      <c r="AG51" s="74"/>
      <c r="AH51" s="74"/>
      <c r="AI51" s="75"/>
      <c r="AJ51" s="73"/>
      <c r="AK51" s="12"/>
      <c r="AL51" s="10">
        <f>AC51*AG51/100</f>
        <v>0</v>
      </c>
      <c r="AM51" s="12"/>
      <c r="AN51" s="10">
        <f t="shared" si="2"/>
        <v>0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2"/>
    </row>
    <row r="52" spans="1:52" s="5" customFormat="1" ht="12.75">
      <c r="A52" s="83"/>
      <c r="B52" s="83"/>
      <c r="C52" s="83"/>
      <c r="D52" s="8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5">
        <f t="shared" si="0"/>
        <v>0</v>
      </c>
      <c r="AD52" s="13" t="s">
        <v>98</v>
      </c>
      <c r="AE52" s="73"/>
      <c r="AF52" s="74"/>
      <c r="AG52" s="74"/>
      <c r="AH52" s="74"/>
      <c r="AI52" s="75">
        <v>70.3</v>
      </c>
      <c r="AJ52" s="73"/>
      <c r="AK52" s="12"/>
      <c r="AL52" s="10">
        <f>-SUM(AL50:AL51)</f>
        <v>-78.78464</v>
      </c>
      <c r="AM52" s="12">
        <f>-AL52*AI52/100</f>
        <v>55.38560192</v>
      </c>
      <c r="AN52" s="10">
        <f t="shared" si="2"/>
        <v>55.38560192</v>
      </c>
      <c r="AO52" s="11">
        <f>(AM52-AW52)*17.5%</f>
        <v>9.692480336</v>
      </c>
      <c r="AP52" s="11">
        <f>AM52-AO52-AW52</f>
        <v>45.693121584</v>
      </c>
      <c r="AQ52" s="11"/>
      <c r="AR52" s="11"/>
      <c r="AS52" s="11"/>
      <c r="AT52" s="11"/>
      <c r="AU52" s="11"/>
      <c r="AV52" s="11"/>
      <c r="AW52" s="11">
        <f>(0*60%)*AM52/SUM($AM$35:$AM$52)</f>
        <v>0</v>
      </c>
      <c r="AX52" s="11"/>
      <c r="AY52" s="11"/>
      <c r="AZ52" s="12"/>
    </row>
    <row r="53" spans="1:52" s="5" customFormat="1" ht="12.75">
      <c r="A53" s="83"/>
      <c r="B53" s="83"/>
      <c r="C53" s="83"/>
      <c r="D53" s="8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5">
        <f t="shared" si="0"/>
        <v>0</v>
      </c>
      <c r="AD53" s="13" t="s">
        <v>87</v>
      </c>
      <c r="AE53" s="73"/>
      <c r="AF53" s="74"/>
      <c r="AG53" s="74"/>
      <c r="AH53" s="74"/>
      <c r="AI53" s="75"/>
      <c r="AJ53" s="73">
        <f aca="true" t="shared" si="3" ref="AJ53:AJ58">AE53/100*AC53</f>
        <v>0</v>
      </c>
      <c r="AK53" s="12"/>
      <c r="AL53" s="10">
        <f aca="true" t="shared" si="4" ref="AL53:AL58">AC53*AG53/100</f>
        <v>0</v>
      </c>
      <c r="AM53" s="12"/>
      <c r="AN53" s="10">
        <f t="shared" si="2"/>
        <v>0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2"/>
    </row>
    <row r="54" spans="1:52" s="5" customFormat="1" ht="12.75">
      <c r="A54" s="83"/>
      <c r="B54" s="83"/>
      <c r="C54" s="83"/>
      <c r="D54" s="8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5">
        <f t="shared" si="0"/>
        <v>0</v>
      </c>
      <c r="AD54" s="13" t="s">
        <v>88</v>
      </c>
      <c r="AE54" s="73"/>
      <c r="AF54" s="74"/>
      <c r="AG54" s="74"/>
      <c r="AH54" s="74"/>
      <c r="AI54" s="75"/>
      <c r="AJ54" s="73">
        <f t="shared" si="3"/>
        <v>0</v>
      </c>
      <c r="AK54" s="12"/>
      <c r="AL54" s="10">
        <f t="shared" si="4"/>
        <v>0</v>
      </c>
      <c r="AM54" s="12"/>
      <c r="AN54" s="10">
        <f t="shared" si="2"/>
        <v>0</v>
      </c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2"/>
    </row>
    <row r="55" spans="1:52" s="5" customFormat="1" ht="12.75">
      <c r="A55" s="83"/>
      <c r="B55" s="83"/>
      <c r="C55" s="83"/>
      <c r="D55" s="8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5">
        <f t="shared" si="0"/>
        <v>0</v>
      </c>
      <c r="AD55" s="13" t="s">
        <v>89</v>
      </c>
      <c r="AE55" s="73"/>
      <c r="AF55" s="74"/>
      <c r="AG55" s="74"/>
      <c r="AH55" s="74"/>
      <c r="AI55" s="75"/>
      <c r="AJ55" s="73">
        <f t="shared" si="3"/>
        <v>0</v>
      </c>
      <c r="AK55" s="12"/>
      <c r="AL55" s="10">
        <f t="shared" si="4"/>
        <v>0</v>
      </c>
      <c r="AM55" s="12"/>
      <c r="AN55" s="10">
        <f t="shared" si="2"/>
        <v>0</v>
      </c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2"/>
    </row>
    <row r="56" spans="1:52" s="5" customFormat="1" ht="12.75">
      <c r="A56" s="83"/>
      <c r="B56" s="83"/>
      <c r="C56" s="83"/>
      <c r="D56" s="85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5">
        <f t="shared" si="0"/>
        <v>0</v>
      </c>
      <c r="AD56" s="13" t="s">
        <v>90</v>
      </c>
      <c r="AE56" s="10"/>
      <c r="AF56" s="11"/>
      <c r="AG56" s="11"/>
      <c r="AH56" s="11"/>
      <c r="AI56" s="12"/>
      <c r="AJ56" s="10">
        <f t="shared" si="3"/>
        <v>0</v>
      </c>
      <c r="AK56" s="12"/>
      <c r="AL56" s="10">
        <f t="shared" si="4"/>
        <v>0</v>
      </c>
      <c r="AM56" s="12"/>
      <c r="AN56" s="10">
        <f t="shared" si="2"/>
        <v>0</v>
      </c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2"/>
    </row>
    <row r="57" spans="1:52" s="5" customFormat="1" ht="12.75">
      <c r="A57" s="83"/>
      <c r="B57" s="83"/>
      <c r="C57" s="83"/>
      <c r="D57" s="8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5">
        <f t="shared" si="0"/>
        <v>0</v>
      </c>
      <c r="AD57" s="13" t="s">
        <v>91</v>
      </c>
      <c r="AE57" s="10"/>
      <c r="AF57" s="11"/>
      <c r="AG57" s="11"/>
      <c r="AH57" s="11"/>
      <c r="AI57" s="12"/>
      <c r="AJ57" s="10">
        <f t="shared" si="3"/>
        <v>0</v>
      </c>
      <c r="AK57" s="12"/>
      <c r="AL57" s="10">
        <f t="shared" si="4"/>
        <v>0</v>
      </c>
      <c r="AM57" s="12"/>
      <c r="AN57" s="10">
        <f t="shared" si="2"/>
        <v>0</v>
      </c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2"/>
    </row>
    <row r="58" spans="1:52" s="5" customFormat="1" ht="12.75">
      <c r="A58" s="83"/>
      <c r="B58" s="83"/>
      <c r="C58" s="85"/>
      <c r="D58" s="8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>
        <f t="shared" si="0"/>
        <v>0</v>
      </c>
      <c r="AD58" s="13" t="s">
        <v>92</v>
      </c>
      <c r="AE58" s="10"/>
      <c r="AF58" s="11"/>
      <c r="AG58" s="11"/>
      <c r="AH58" s="11"/>
      <c r="AI58" s="12"/>
      <c r="AJ58" s="10">
        <f t="shared" si="3"/>
        <v>0</v>
      </c>
      <c r="AK58" s="12"/>
      <c r="AL58" s="10">
        <f t="shared" si="4"/>
        <v>0</v>
      </c>
      <c r="AM58" s="12"/>
      <c r="AN58" s="10">
        <f t="shared" si="2"/>
        <v>0</v>
      </c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2"/>
    </row>
    <row r="59" spans="1:52" s="5" customFormat="1" ht="12.75">
      <c r="A59" s="83"/>
      <c r="B59" s="83"/>
      <c r="C59" s="83"/>
      <c r="D59" s="8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5">
        <f t="shared" si="0"/>
        <v>0</v>
      </c>
      <c r="AD59" s="15" t="s">
        <v>94</v>
      </c>
      <c r="AE59" s="10"/>
      <c r="AF59" s="11"/>
      <c r="AG59" s="11"/>
      <c r="AH59" s="11"/>
      <c r="AI59" s="14"/>
      <c r="AJ59" s="10">
        <f>-AK59</f>
        <v>0</v>
      </c>
      <c r="AK59" s="12">
        <v>0</v>
      </c>
      <c r="AL59" s="10"/>
      <c r="AM59" s="12"/>
      <c r="AN59" s="10">
        <f t="shared" si="2"/>
        <v>0</v>
      </c>
      <c r="AO59" s="11"/>
      <c r="AP59" s="11"/>
      <c r="AQ59" s="11"/>
      <c r="AR59" s="11"/>
      <c r="AS59" s="11"/>
      <c r="AT59" s="11"/>
      <c r="AU59" s="11"/>
      <c r="AV59" s="11"/>
      <c r="AW59" s="11">
        <f>AK59</f>
        <v>0</v>
      </c>
      <c r="AX59" s="11"/>
      <c r="AY59" s="11"/>
      <c r="AZ59" s="12"/>
    </row>
    <row r="60" spans="1:52" s="5" customFormat="1" ht="12.75">
      <c r="A60" s="83"/>
      <c r="B60" s="83"/>
      <c r="C60" s="83"/>
      <c r="D60" s="8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5">
        <f t="shared" si="0"/>
        <v>0</v>
      </c>
      <c r="AD60" s="15" t="s">
        <v>95</v>
      </c>
      <c r="AE60" s="10"/>
      <c r="AF60" s="11"/>
      <c r="AG60" s="11"/>
      <c r="AH60" s="11"/>
      <c r="AI60" s="12"/>
      <c r="AJ60" s="10"/>
      <c r="AK60" s="12"/>
      <c r="AL60" s="10">
        <f>-AM60</f>
        <v>0</v>
      </c>
      <c r="AM60" s="16">
        <v>0</v>
      </c>
      <c r="AN60" s="10">
        <f t="shared" si="2"/>
        <v>0</v>
      </c>
      <c r="AO60" s="11"/>
      <c r="AP60" s="11"/>
      <c r="AQ60" s="11"/>
      <c r="AR60" s="11"/>
      <c r="AS60" s="11"/>
      <c r="AT60" s="11"/>
      <c r="AU60" s="11"/>
      <c r="AV60" s="11"/>
      <c r="AW60" s="11">
        <f>AM60</f>
        <v>0</v>
      </c>
      <c r="AX60" s="11"/>
      <c r="AY60" s="11"/>
      <c r="AZ60" s="12"/>
    </row>
    <row r="61" spans="1:52" s="5" customFormat="1" ht="12.75">
      <c r="A61" s="83"/>
      <c r="B61" s="83"/>
      <c r="C61" s="83"/>
      <c r="D61" s="8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5">
        <f t="shared" si="0"/>
        <v>0</v>
      </c>
      <c r="AD61" s="15" t="s">
        <v>93</v>
      </c>
      <c r="AE61" s="10"/>
      <c r="AF61" s="11"/>
      <c r="AG61" s="11"/>
      <c r="AH61" s="11"/>
      <c r="AI61" s="12">
        <v>75</v>
      </c>
      <c r="AJ61" s="10"/>
      <c r="AK61" s="12"/>
      <c r="AL61" s="10">
        <f>-SUM(AL53:AL60)</f>
        <v>0</v>
      </c>
      <c r="AM61" s="12">
        <f>-AL61*AI61/100</f>
        <v>0</v>
      </c>
      <c r="AN61" s="10">
        <f t="shared" si="2"/>
        <v>0</v>
      </c>
      <c r="AO61" s="11">
        <f>AM61*17.5%</f>
        <v>0</v>
      </c>
      <c r="AP61" s="11">
        <f>AM61-AO61</f>
        <v>0</v>
      </c>
      <c r="AQ61" s="11"/>
      <c r="AR61" s="11"/>
      <c r="AS61" s="11"/>
      <c r="AT61" s="11"/>
      <c r="AU61" s="11"/>
      <c r="AV61" s="11"/>
      <c r="AW61" s="11"/>
      <c r="AX61" s="11"/>
      <c r="AY61" s="11"/>
      <c r="AZ61" s="12"/>
    </row>
    <row r="62" spans="1:52" s="5" customFormat="1" ht="12.75">
      <c r="A62" s="82"/>
      <c r="B62" s="83"/>
      <c r="C62" s="83"/>
      <c r="D62" s="83"/>
      <c r="E62" s="74"/>
      <c r="F62" s="74"/>
      <c r="G62" s="74"/>
      <c r="H62" s="74">
        <v>58.8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5">
        <f t="shared" si="0"/>
        <v>58.8</v>
      </c>
      <c r="AD62" s="13" t="s">
        <v>121</v>
      </c>
      <c r="AE62" s="10"/>
      <c r="AF62" s="11">
        <v>20</v>
      </c>
      <c r="AG62" s="11"/>
      <c r="AH62" s="11"/>
      <c r="AI62" s="12"/>
      <c r="AJ62" s="10"/>
      <c r="AK62" s="12"/>
      <c r="AL62" s="10"/>
      <c r="AM62" s="12"/>
      <c r="AN62" s="10">
        <f t="shared" si="2"/>
        <v>11.76</v>
      </c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2">
        <f>AC62*AF62/100</f>
        <v>11.76</v>
      </c>
    </row>
    <row r="63" spans="1:52" s="5" customFormat="1" ht="12.75">
      <c r="A63" s="82"/>
      <c r="B63" s="83"/>
      <c r="C63" s="83"/>
      <c r="D63" s="83"/>
      <c r="E63" s="74"/>
      <c r="F63" s="74">
        <v>14</v>
      </c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>
        <v>16.428676787069</v>
      </c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5">
        <f>SUM(A63:AB63)-R63</f>
        <v>14</v>
      </c>
      <c r="AD63" s="13" t="s">
        <v>62</v>
      </c>
      <c r="AE63" s="10"/>
      <c r="AF63" s="11">
        <v>25</v>
      </c>
      <c r="AG63" s="11"/>
      <c r="AH63" s="11"/>
      <c r="AI63" s="12"/>
      <c r="AJ63" s="10"/>
      <c r="AK63" s="12"/>
      <c r="AL63" s="10"/>
      <c r="AM63" s="12"/>
      <c r="AN63" s="10">
        <f t="shared" si="2"/>
        <v>3.5</v>
      </c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2">
        <f aca="true" t="shared" si="5" ref="AZ63:AZ70">AC63*AF63/100</f>
        <v>3.5</v>
      </c>
    </row>
    <row r="64" spans="1:52" s="5" customFormat="1" ht="12.75">
      <c r="A64" s="82"/>
      <c r="B64" s="83"/>
      <c r="C64" s="83"/>
      <c r="D64" s="83"/>
      <c r="E64" s="74"/>
      <c r="F64" s="74">
        <v>3.9</v>
      </c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5">
        <f t="shared" si="0"/>
        <v>3.9</v>
      </c>
      <c r="AD64" s="13" t="s">
        <v>63</v>
      </c>
      <c r="AE64" s="10"/>
      <c r="AF64" s="11">
        <v>33</v>
      </c>
      <c r="AG64" s="11"/>
      <c r="AH64" s="11"/>
      <c r="AI64" s="12"/>
      <c r="AJ64" s="10"/>
      <c r="AK64" s="12"/>
      <c r="AL64" s="10"/>
      <c r="AM64" s="12"/>
      <c r="AN64" s="10">
        <f t="shared" si="2"/>
        <v>1.287</v>
      </c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2">
        <f t="shared" si="5"/>
        <v>1.287</v>
      </c>
    </row>
    <row r="65" spans="1:52" s="5" customFormat="1" ht="12.75">
      <c r="A65" s="82"/>
      <c r="B65" s="83"/>
      <c r="C65" s="83"/>
      <c r="D65" s="8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5">
        <f t="shared" si="0"/>
        <v>0</v>
      </c>
      <c r="AD65" s="13" t="s">
        <v>108</v>
      </c>
      <c r="AE65" s="10"/>
      <c r="AF65" s="11">
        <v>33</v>
      </c>
      <c r="AG65" s="11"/>
      <c r="AH65" s="11"/>
      <c r="AI65" s="12"/>
      <c r="AJ65" s="10"/>
      <c r="AK65" s="12"/>
      <c r="AL65" s="10"/>
      <c r="AM65" s="12"/>
      <c r="AN65" s="10">
        <f t="shared" si="2"/>
        <v>0</v>
      </c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2">
        <f t="shared" si="5"/>
        <v>0</v>
      </c>
    </row>
    <row r="66" spans="1:52" s="5" customFormat="1" ht="12.75">
      <c r="A66" s="82"/>
      <c r="B66" s="83"/>
      <c r="C66" s="83"/>
      <c r="D66" s="83"/>
      <c r="E66" s="74"/>
      <c r="F66" s="74">
        <v>56.1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>
        <f t="shared" si="0"/>
        <v>56.1</v>
      </c>
      <c r="AD66" s="13" t="s">
        <v>122</v>
      </c>
      <c r="AE66" s="10"/>
      <c r="AF66" s="11">
        <v>33</v>
      </c>
      <c r="AG66" s="11"/>
      <c r="AH66" s="11"/>
      <c r="AI66" s="12"/>
      <c r="AJ66" s="10"/>
      <c r="AK66" s="12"/>
      <c r="AL66" s="10"/>
      <c r="AM66" s="12"/>
      <c r="AN66" s="10">
        <f t="shared" si="2"/>
        <v>18.512999999999998</v>
      </c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2">
        <f t="shared" si="5"/>
        <v>18.512999999999998</v>
      </c>
    </row>
    <row r="67" spans="1:52" s="5" customFormat="1" ht="12.75">
      <c r="A67" s="82"/>
      <c r="B67" s="83"/>
      <c r="C67" s="83"/>
      <c r="D67" s="83"/>
      <c r="E67" s="74"/>
      <c r="F67" s="74">
        <v>33</v>
      </c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5">
        <f t="shared" si="0"/>
        <v>33</v>
      </c>
      <c r="AD67" s="13" t="s">
        <v>64</v>
      </c>
      <c r="AE67" s="10"/>
      <c r="AF67" s="11">
        <v>33</v>
      </c>
      <c r="AG67" s="11"/>
      <c r="AH67" s="11"/>
      <c r="AI67" s="12"/>
      <c r="AJ67" s="10"/>
      <c r="AK67" s="12"/>
      <c r="AL67" s="10"/>
      <c r="AM67" s="12"/>
      <c r="AN67" s="10">
        <f t="shared" si="2"/>
        <v>10.89</v>
      </c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>
        <f>AC67*AF67%</f>
        <v>10.89</v>
      </c>
      <c r="AZ67" s="12"/>
    </row>
    <row r="68" spans="1:52" s="5" customFormat="1" ht="12.75">
      <c r="A68" s="86"/>
      <c r="B68" s="87"/>
      <c r="C68" s="87"/>
      <c r="D68" s="87"/>
      <c r="E68" s="88"/>
      <c r="F68" s="88">
        <v>2.4</v>
      </c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74"/>
      <c r="X68" s="88"/>
      <c r="Y68" s="88"/>
      <c r="Z68" s="88"/>
      <c r="AA68" s="88"/>
      <c r="AB68" s="88"/>
      <c r="AC68" s="75">
        <f t="shared" si="0"/>
        <v>2.4</v>
      </c>
      <c r="AD68" s="19" t="s">
        <v>105</v>
      </c>
      <c r="AE68" s="17"/>
      <c r="AF68" s="11">
        <v>33</v>
      </c>
      <c r="AG68" s="18"/>
      <c r="AH68" s="18"/>
      <c r="AI68" s="20"/>
      <c r="AJ68" s="10">
        <f>-AK68/$K$2%</f>
        <v>0</v>
      </c>
      <c r="AK68" s="20">
        <v>0</v>
      </c>
      <c r="AL68" s="17"/>
      <c r="AM68" s="20"/>
      <c r="AN68" s="17">
        <f t="shared" si="2"/>
        <v>0.792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2">
        <f>AC68*AF68/100+AK68*AF68%</f>
        <v>0.792</v>
      </c>
    </row>
    <row r="69" spans="1:52" s="5" customFormat="1" ht="12.75">
      <c r="A69" s="86"/>
      <c r="B69" s="87"/>
      <c r="C69" s="87"/>
      <c r="D69" s="87"/>
      <c r="E69" s="88"/>
      <c r="F69" s="88"/>
      <c r="G69" s="88">
        <v>28.8</v>
      </c>
      <c r="H69" s="88">
        <v>0.7</v>
      </c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74"/>
      <c r="X69" s="88"/>
      <c r="Y69" s="88"/>
      <c r="Z69" s="88"/>
      <c r="AA69" s="88"/>
      <c r="AB69" s="88"/>
      <c r="AC69" s="75">
        <f t="shared" si="0"/>
        <v>29.5</v>
      </c>
      <c r="AD69" s="19" t="s">
        <v>106</v>
      </c>
      <c r="AE69" s="17"/>
      <c r="AF69" s="11">
        <v>33</v>
      </c>
      <c r="AG69" s="18"/>
      <c r="AH69" s="18"/>
      <c r="AI69" s="20"/>
      <c r="AJ69" s="17"/>
      <c r="AK69" s="20"/>
      <c r="AL69" s="17"/>
      <c r="AM69" s="20"/>
      <c r="AN69" s="17">
        <f t="shared" si="2"/>
        <v>9.735</v>
      </c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2">
        <f t="shared" si="5"/>
        <v>9.735</v>
      </c>
    </row>
    <row r="70" spans="1:52" s="5" customFormat="1" ht="13.5" thickBot="1">
      <c r="A70" s="86"/>
      <c r="B70" s="87"/>
      <c r="C70" s="87"/>
      <c r="D70" s="87">
        <v>0.9</v>
      </c>
      <c r="E70" s="88"/>
      <c r="F70" s="88">
        <v>3.5</v>
      </c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74"/>
      <c r="X70" s="88"/>
      <c r="Y70" s="88"/>
      <c r="Z70" s="88"/>
      <c r="AA70" s="88"/>
      <c r="AB70" s="88"/>
      <c r="AC70" s="89">
        <f t="shared" si="0"/>
        <v>4.4</v>
      </c>
      <c r="AD70" s="21" t="s">
        <v>65</v>
      </c>
      <c r="AE70" s="22"/>
      <c r="AF70" s="11">
        <v>33</v>
      </c>
      <c r="AG70" s="23"/>
      <c r="AH70" s="23"/>
      <c r="AI70" s="24"/>
      <c r="AJ70" s="22"/>
      <c r="AK70" s="24"/>
      <c r="AL70" s="22"/>
      <c r="AM70" s="24"/>
      <c r="AN70" s="22">
        <f t="shared" si="2"/>
        <v>1.4520000000000002</v>
      </c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12">
        <f t="shared" si="5"/>
        <v>1.4520000000000002</v>
      </c>
    </row>
    <row r="71" spans="1:53" ht="13.5" thickBot="1">
      <c r="A71" s="90">
        <f aca="true" t="shared" si="6" ref="A71:AA71">SUM(A8:A70)</f>
        <v>-286.21455774331486</v>
      </c>
      <c r="B71" s="91">
        <f t="shared" si="6"/>
        <v>2</v>
      </c>
      <c r="C71" s="92">
        <f t="shared" si="6"/>
        <v>0</v>
      </c>
      <c r="D71" s="92">
        <f t="shared" si="6"/>
        <v>0.9</v>
      </c>
      <c r="E71" s="93">
        <f t="shared" si="6"/>
        <v>80.04</v>
      </c>
      <c r="F71" s="93">
        <f t="shared" si="6"/>
        <v>112.9</v>
      </c>
      <c r="G71" s="93">
        <f t="shared" si="6"/>
        <v>28.8</v>
      </c>
      <c r="H71" s="93">
        <f t="shared" si="6"/>
        <v>59.5</v>
      </c>
      <c r="I71" s="93">
        <f t="shared" si="6"/>
        <v>0</v>
      </c>
      <c r="J71" s="93">
        <f t="shared" si="6"/>
        <v>391</v>
      </c>
      <c r="K71" s="93">
        <f t="shared" si="6"/>
        <v>0</v>
      </c>
      <c r="L71" s="93">
        <f t="shared" si="6"/>
        <v>0</v>
      </c>
      <c r="M71" s="93">
        <f t="shared" si="6"/>
        <v>10.706582401770891</v>
      </c>
      <c r="N71" s="93">
        <f t="shared" si="6"/>
        <v>0</v>
      </c>
      <c r="O71" s="93">
        <f t="shared" si="6"/>
        <v>0</v>
      </c>
      <c r="P71" s="93">
        <f t="shared" si="6"/>
        <v>0</v>
      </c>
      <c r="Q71" s="93">
        <f t="shared" si="6"/>
        <v>0</v>
      </c>
      <c r="R71" s="93">
        <f t="shared" si="6"/>
        <v>16.428676787069</v>
      </c>
      <c r="S71" s="93">
        <f t="shared" si="6"/>
        <v>79.3</v>
      </c>
      <c r="T71" s="93">
        <f t="shared" si="6"/>
        <v>54.45</v>
      </c>
      <c r="U71" s="93">
        <f t="shared" si="6"/>
        <v>6.050000000000001</v>
      </c>
      <c r="V71" s="93">
        <f t="shared" si="6"/>
        <v>7.9982</v>
      </c>
      <c r="W71" s="93">
        <f t="shared" si="6"/>
        <v>12.3018</v>
      </c>
      <c r="X71" s="93">
        <f t="shared" si="6"/>
        <v>0</v>
      </c>
      <c r="Y71" s="93">
        <f t="shared" si="6"/>
        <v>0</v>
      </c>
      <c r="Z71" s="93">
        <f t="shared" si="6"/>
        <v>0</v>
      </c>
      <c r="AA71" s="93">
        <f t="shared" si="6"/>
        <v>1.5</v>
      </c>
      <c r="AB71" s="93">
        <f>SUM(AB8:AB70)</f>
        <v>0</v>
      </c>
      <c r="AC71" s="94">
        <f>SUM(AC8:AC70)</f>
        <v>561.232024658456</v>
      </c>
      <c r="AD71" s="54" t="s">
        <v>37</v>
      </c>
      <c r="AE71" s="55"/>
      <c r="AF71" s="55"/>
      <c r="AG71" s="55"/>
      <c r="AH71" s="55"/>
      <c r="AI71" s="55"/>
      <c r="AJ71" s="56">
        <f aca="true" t="shared" si="7" ref="AJ71:AZ71">SUM(AJ8:AJ70)</f>
        <v>5.684341886080802E-14</v>
      </c>
      <c r="AK71" s="25">
        <f t="shared" si="7"/>
        <v>97.03741483373025</v>
      </c>
      <c r="AL71" s="25">
        <f t="shared" si="7"/>
        <v>0</v>
      </c>
      <c r="AM71" s="25">
        <f t="shared" si="7"/>
        <v>55.38560192</v>
      </c>
      <c r="AN71" s="25">
        <f t="shared" si="7"/>
        <v>309.26177586399996</v>
      </c>
      <c r="AO71" s="25">
        <f t="shared" si="7"/>
        <v>34.484730336</v>
      </c>
      <c r="AP71" s="25">
        <f t="shared" si="7"/>
        <v>138.670871584</v>
      </c>
      <c r="AQ71" s="25"/>
      <c r="AR71" s="25">
        <f t="shared" si="7"/>
        <v>28.951999999999998</v>
      </c>
      <c r="AS71" s="25">
        <f t="shared" si="7"/>
        <v>8.5</v>
      </c>
      <c r="AT71" s="25">
        <f t="shared" si="7"/>
        <v>3.0999999999999996</v>
      </c>
      <c r="AU71" s="25">
        <f t="shared" si="7"/>
        <v>9.4</v>
      </c>
      <c r="AV71" s="25">
        <f t="shared" si="7"/>
        <v>0.6</v>
      </c>
      <c r="AW71" s="25">
        <f t="shared" si="7"/>
        <v>6.956</v>
      </c>
      <c r="AX71" s="25">
        <f t="shared" si="7"/>
        <v>0.717173944</v>
      </c>
      <c r="AY71" s="25">
        <f t="shared" si="7"/>
        <v>30.689999999999998</v>
      </c>
      <c r="AZ71" s="53">
        <f t="shared" si="7"/>
        <v>47.190999999999995</v>
      </c>
      <c r="BA71" s="5"/>
    </row>
    <row r="72" spans="1:52" ht="12.75">
      <c r="A72" s="95">
        <f aca="true" t="shared" si="8" ref="A72:Z72">A71*A77/1000</f>
        <v>-35.690955350591366</v>
      </c>
      <c r="B72" s="96">
        <f t="shared" si="8"/>
        <v>0.13</v>
      </c>
      <c r="C72" s="97">
        <f t="shared" si="8"/>
        <v>0</v>
      </c>
      <c r="D72" s="97">
        <f t="shared" si="8"/>
        <v>0.0702</v>
      </c>
      <c r="E72" s="80">
        <f t="shared" si="8"/>
        <v>5.914956000000001</v>
      </c>
      <c r="F72" s="80">
        <f t="shared" si="8"/>
        <v>8.34331</v>
      </c>
      <c r="G72" s="80">
        <f t="shared" si="8"/>
        <v>2.0736</v>
      </c>
      <c r="H72" s="80">
        <f t="shared" si="8"/>
        <v>4.3435</v>
      </c>
      <c r="I72" s="80">
        <f t="shared" si="8"/>
        <v>0</v>
      </c>
      <c r="J72" s="80">
        <f t="shared" si="8"/>
        <v>0</v>
      </c>
      <c r="K72" s="80">
        <f t="shared" si="8"/>
        <v>0</v>
      </c>
      <c r="L72" s="80">
        <f t="shared" si="8"/>
        <v>0</v>
      </c>
      <c r="M72" s="80">
        <f t="shared" si="8"/>
        <v>0</v>
      </c>
      <c r="N72" s="80">
        <f t="shared" si="8"/>
        <v>0</v>
      </c>
      <c r="O72" s="80">
        <f t="shared" si="8"/>
        <v>0</v>
      </c>
      <c r="P72" s="80">
        <f t="shared" si="8"/>
        <v>0</v>
      </c>
      <c r="Q72" s="80">
        <f t="shared" si="8"/>
        <v>0</v>
      </c>
      <c r="R72" s="80">
        <f t="shared" si="8"/>
        <v>0</v>
      </c>
      <c r="S72" s="80">
        <f t="shared" si="8"/>
        <v>0</v>
      </c>
      <c r="T72" s="80">
        <f t="shared" si="8"/>
        <v>0</v>
      </c>
      <c r="U72" s="80">
        <f t="shared" si="8"/>
        <v>0</v>
      </c>
      <c r="V72" s="80">
        <f t="shared" si="8"/>
        <v>0</v>
      </c>
      <c r="W72" s="80">
        <f t="shared" si="8"/>
        <v>0</v>
      </c>
      <c r="X72" s="80">
        <f t="shared" si="8"/>
        <v>0</v>
      </c>
      <c r="Y72" s="80">
        <f t="shared" si="8"/>
        <v>0</v>
      </c>
      <c r="Z72" s="80">
        <f t="shared" si="8"/>
        <v>0</v>
      </c>
      <c r="AA72" s="80">
        <v>0</v>
      </c>
      <c r="AB72" s="80">
        <f>AB71*AB77/1000</f>
        <v>0</v>
      </c>
      <c r="AC72" s="81">
        <f>SUM(A72:AB72)</f>
        <v>-14.815389350591367</v>
      </c>
      <c r="AD72" s="26" t="s">
        <v>66</v>
      </c>
      <c r="AE72" s="27">
        <f>AC72*1000/J1</f>
        <v>-3.6267782987983765</v>
      </c>
      <c r="AF72" s="27" t="s">
        <v>69</v>
      </c>
      <c r="AG72" s="27"/>
      <c r="AH72" s="27"/>
      <c r="AI72" s="28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30"/>
      <c r="AV72" s="30"/>
      <c r="AW72" s="30"/>
      <c r="AX72" s="30"/>
      <c r="AY72" s="30"/>
      <c r="AZ72" s="30"/>
    </row>
    <row r="73" spans="1:52" ht="12.75">
      <c r="A73" s="82"/>
      <c r="B73" s="83"/>
      <c r="C73" s="83"/>
      <c r="D73" s="8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>
        <v>45.81769913635692</v>
      </c>
      <c r="P73" s="74">
        <v>5.543509869695483</v>
      </c>
      <c r="Q73" s="74">
        <v>132.3414753522414</v>
      </c>
      <c r="R73" s="74"/>
      <c r="S73" s="74">
        <v>73.37376313376939</v>
      </c>
      <c r="T73" s="74">
        <v>66.32378472135842</v>
      </c>
      <c r="U73" s="74"/>
      <c r="V73" s="74"/>
      <c r="W73" s="74"/>
      <c r="X73" s="74"/>
      <c r="Y73" s="74">
        <v>0</v>
      </c>
      <c r="Z73" s="74"/>
      <c r="AA73" s="74"/>
      <c r="AB73" s="74"/>
      <c r="AC73" s="75">
        <f>SUM(A73:AB73)</f>
        <v>323.4002322134216</v>
      </c>
      <c r="AD73" s="34" t="s">
        <v>67</v>
      </c>
      <c r="AE73" s="59">
        <f>SUM(A71,J71:Q71,S71:AB71)/SUM(A71:Q71,S71:AB71)*100</f>
        <v>49.37209789963135</v>
      </c>
      <c r="AF73" s="35" t="s">
        <v>119</v>
      </c>
      <c r="AG73" s="35"/>
      <c r="AH73" s="35"/>
      <c r="AI73" s="36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30"/>
      <c r="AV73" s="30"/>
      <c r="AW73" s="30"/>
      <c r="AX73" s="30"/>
      <c r="AY73" s="30"/>
      <c r="AZ73" s="30"/>
    </row>
    <row r="74" spans="1:52" ht="13.5" thickBot="1">
      <c r="A74" s="98"/>
      <c r="B74" s="99"/>
      <c r="C74" s="99"/>
      <c r="D74" s="99"/>
      <c r="E74" s="100"/>
      <c r="F74" s="100"/>
      <c r="G74" s="100"/>
      <c r="H74" s="100"/>
      <c r="I74" s="100"/>
      <c r="J74" s="100">
        <f>IF(J73&gt;0,J71/J73*100,"")</f>
      </c>
      <c r="K74" s="100">
        <f aca="true" t="shared" si="9" ref="K74:AB74">IF(K73&gt;0,K71/K73*100,"")</f>
      </c>
      <c r="L74" s="100">
        <f t="shared" si="9"/>
      </c>
      <c r="M74" s="100">
        <f t="shared" si="9"/>
      </c>
      <c r="N74" s="100">
        <f t="shared" si="9"/>
      </c>
      <c r="O74" s="100">
        <f>IF(O73&gt;0,O71/O73*100,"")</f>
        <v>0</v>
      </c>
      <c r="P74" s="100">
        <f>IF(P73&gt;0,P71/P73*100,"")</f>
        <v>0</v>
      </c>
      <c r="Q74" s="100">
        <f>IF(Q73&gt;0,Q71/Q73*100,"")</f>
        <v>0</v>
      </c>
      <c r="R74" s="100">
        <f>IF(R73&gt;0,R71/R73*100,"")</f>
      </c>
      <c r="S74" s="100">
        <f>IF(S73&gt;0,S71/S73*100,"")</f>
        <v>108.0767792370501</v>
      </c>
      <c r="T74" s="100">
        <f t="shared" si="9"/>
        <v>82.0972449457718</v>
      </c>
      <c r="U74" s="100"/>
      <c r="V74" s="100">
        <f t="shared" si="9"/>
      </c>
      <c r="W74" s="100"/>
      <c r="X74" s="100">
        <f t="shared" si="9"/>
      </c>
      <c r="Y74" s="100">
        <f t="shared" si="9"/>
      </c>
      <c r="Z74" s="100">
        <f>IF(Z73&gt;0,Z71/Z73*100,"")</f>
      </c>
      <c r="AA74" s="100">
        <f>IF(AA73&gt;0,AA71/AA73*100,"")</f>
      </c>
      <c r="AB74" s="100">
        <f t="shared" si="9"/>
      </c>
      <c r="AC74" s="101">
        <f>SUMIF(J73:AB73,"&gt;0",J71:AB71)/SUM(J73:AB73)%</f>
        <v>41.35742237554558</v>
      </c>
      <c r="AD74" s="37" t="s">
        <v>68</v>
      </c>
      <c r="AE74" s="69"/>
      <c r="AF74" s="38"/>
      <c r="AG74" s="38"/>
      <c r="AH74" s="38"/>
      <c r="AI74" s="3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30"/>
      <c r="AV74" s="30"/>
      <c r="AW74" s="30"/>
      <c r="AX74" s="30"/>
      <c r="AY74" s="30"/>
      <c r="AZ74" s="30"/>
    </row>
    <row r="75" spans="1:52" ht="13.5" thickBot="1">
      <c r="A75" s="102"/>
      <c r="B75" s="102"/>
      <c r="C75" s="102"/>
      <c r="D75" s="102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30"/>
      <c r="AE75" s="30"/>
      <c r="AF75" s="57"/>
      <c r="AG75" s="30"/>
      <c r="AH75" s="30"/>
      <c r="AI75" s="30"/>
      <c r="AJ75" s="29"/>
      <c r="AK75" s="57"/>
      <c r="AL75" s="29"/>
      <c r="AM75" s="29"/>
      <c r="AN75" s="29"/>
      <c r="AO75" s="29"/>
      <c r="AP75" s="29"/>
      <c r="AQ75" s="29"/>
      <c r="AR75" s="29"/>
      <c r="AS75" s="29"/>
      <c r="AT75" s="29"/>
      <c r="AU75" s="30"/>
      <c r="AV75" s="30"/>
      <c r="AW75" s="30"/>
      <c r="AX75" s="30"/>
      <c r="AY75" s="30"/>
      <c r="AZ75" s="30"/>
    </row>
    <row r="76" spans="1:52" ht="81.75" customHeight="1" thickBot="1">
      <c r="A76" s="103" t="str">
        <f>A7</f>
        <v>Elimport</v>
      </c>
      <c r="B76" s="104" t="str">
        <f aca="true" t="shared" si="10" ref="B76:AB76">B7</f>
        <v>LPG og petroleum</v>
      </c>
      <c r="C76" s="104" t="str">
        <f t="shared" si="10"/>
        <v>Kul</v>
      </c>
      <c r="D76" s="104" t="str">
        <f t="shared" si="10"/>
        <v>Fuelolie</v>
      </c>
      <c r="E76" s="105" t="str">
        <f t="shared" si="10"/>
        <v>Brændselsolie</v>
      </c>
      <c r="F76" s="105" t="str">
        <f t="shared" si="10"/>
        <v>Dieselolie</v>
      </c>
      <c r="G76" s="105" t="str">
        <f>G7</f>
        <v>JP1</v>
      </c>
      <c r="H76" s="105" t="str">
        <f t="shared" si="10"/>
        <v>Benzin</v>
      </c>
      <c r="I76" s="105" t="str">
        <f t="shared" si="10"/>
        <v>Naturgas</v>
      </c>
      <c r="J76" s="105" t="str">
        <f t="shared" si="10"/>
        <v>Vindenergi</v>
      </c>
      <c r="K76" s="105" t="str">
        <f t="shared" si="10"/>
        <v>Bølgeenergi</v>
      </c>
      <c r="L76" s="105" t="str">
        <f t="shared" si="10"/>
        <v>Vandkraft</v>
      </c>
      <c r="M76" s="105" t="str">
        <f t="shared" si="10"/>
        <v>Solenergi</v>
      </c>
      <c r="N76" s="105" t="str">
        <f t="shared" si="10"/>
        <v>Geotermi</v>
      </c>
      <c r="O76" s="105" t="str">
        <f t="shared" si="10"/>
        <v>Husdyrsgødning</v>
      </c>
      <c r="P76" s="105" t="str">
        <f>P7</f>
        <v>Afgasset fibre</v>
      </c>
      <c r="Q76" s="105" t="str">
        <f t="shared" si="10"/>
        <v>Bioolie og energiafgrøder</v>
      </c>
      <c r="R76" s="105" t="str">
        <f>R7</f>
        <v>Eksport rapsolie</v>
      </c>
      <c r="S76" s="105" t="str">
        <f t="shared" si="10"/>
        <v>Halm</v>
      </c>
      <c r="T76" s="105" t="str">
        <f t="shared" si="10"/>
        <v>Brænde og træflis</v>
      </c>
      <c r="U76" s="105" t="str">
        <f>U7</f>
        <v>Import, Brænde og træflis</v>
      </c>
      <c r="V76" s="105" t="str">
        <f t="shared" si="10"/>
        <v>Træpiller og træaffald</v>
      </c>
      <c r="W76" s="105" t="str">
        <f>W7</f>
        <v>Import, træpiller og træaffald</v>
      </c>
      <c r="X76" s="105" t="str">
        <f t="shared" si="10"/>
        <v>Organisk affald, industri</v>
      </c>
      <c r="Y76" s="105" t="str">
        <f t="shared" si="10"/>
        <v>Organisk affald, husholdninger</v>
      </c>
      <c r="Z76" s="105" t="str">
        <f t="shared" si="10"/>
        <v>Deponi, slam, renseanlæg</v>
      </c>
      <c r="AA76" s="106" t="str">
        <f>AA7</f>
        <v>Varmekilder til varmepumper</v>
      </c>
      <c r="AB76" s="106" t="str">
        <f t="shared" si="10"/>
        <v>Restaffald</v>
      </c>
      <c r="AC76" s="76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3.5" thickBot="1">
      <c r="A77" s="90">
        <v>124.7</v>
      </c>
      <c r="B77" s="91">
        <v>65</v>
      </c>
      <c r="C77" s="91">
        <v>95</v>
      </c>
      <c r="D77" s="91">
        <v>78</v>
      </c>
      <c r="E77" s="91">
        <v>73.9</v>
      </c>
      <c r="F77" s="91">
        <v>73.9</v>
      </c>
      <c r="G77" s="91">
        <v>72</v>
      </c>
      <c r="H77" s="91">
        <v>73</v>
      </c>
      <c r="I77" s="91">
        <v>56.8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107">
        <v>0</v>
      </c>
      <c r="AA77" s="107">
        <v>0</v>
      </c>
      <c r="AB77" s="107">
        <v>0</v>
      </c>
      <c r="AC77" s="108" t="s">
        <v>70</v>
      </c>
      <c r="AD77" s="58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3" ht="12.75">
      <c r="A78" s="2"/>
      <c r="B78" s="60"/>
      <c r="C78" s="2"/>
      <c r="D78" s="2"/>
      <c r="E78" s="2"/>
      <c r="F78" s="2"/>
      <c r="G78" s="6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ht="12.75">
      <c r="AD79" s="2"/>
    </row>
    <row r="80" ht="12.75">
      <c r="AD80" s="4"/>
    </row>
    <row r="81" spans="1:30" ht="12.75" customHeight="1">
      <c r="A81" s="3"/>
      <c r="AD81" s="2"/>
    </row>
    <row r="83" ht="12.75">
      <c r="AD83" s="2"/>
    </row>
    <row r="84" ht="12.75">
      <c r="AD84" s="2"/>
    </row>
  </sheetData>
  <sheetProtection/>
  <mergeCells count="1">
    <mergeCell ref="J1:K1"/>
  </mergeCells>
  <printOptions headings="1"/>
  <pageMargins left="0.2" right="0.2" top="0.984251968503937" bottom="0.57" header="0" footer="0"/>
  <pageSetup fitToHeight="1" fitToWidth="1" horizontalDpi="600" verticalDpi="600" orientation="landscape" paperSize="8" scale="54" r:id="rId2"/>
  <headerFooter alignWithMargins="0">
    <oddFooter>&amp;R&amp;F 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5"/>
  <sheetViews>
    <sheetView workbookViewId="0" topLeftCell="A1">
      <selection activeCell="D51" sqref="D51"/>
    </sheetView>
  </sheetViews>
  <sheetFormatPr defaultColWidth="9.140625" defaultRowHeight="12.75"/>
  <sheetData>
    <row r="2" ht="12.75">
      <c r="F2" s="109"/>
    </row>
    <row r="4" ht="13.5" thickBot="1"/>
    <row r="5" spans="2:7" ht="48.75" thickBot="1">
      <c r="B5" s="47" t="s">
        <v>113</v>
      </c>
      <c r="C5" s="46" t="s">
        <v>19</v>
      </c>
      <c r="D5" s="46" t="s">
        <v>128</v>
      </c>
      <c r="E5" s="109" t="s">
        <v>130</v>
      </c>
      <c r="G5" s="45" t="s">
        <v>131</v>
      </c>
    </row>
    <row r="6" spans="2:14" ht="13.5" thickBot="1">
      <c r="B6" s="80">
        <v>5.543509869695483</v>
      </c>
      <c r="C6" s="80">
        <v>45.81769913635692</v>
      </c>
      <c r="D6" s="80">
        <v>132.3414753522414</v>
      </c>
      <c r="E6" s="30">
        <f>SUM(B6:D6)</f>
        <v>183.7026843582938</v>
      </c>
      <c r="G6" s="90">
        <v>286.214557743315</v>
      </c>
      <c r="M6">
        <v>58.8</v>
      </c>
      <c r="N6" t="s">
        <v>121</v>
      </c>
    </row>
    <row r="7" spans="13:14" ht="12.75">
      <c r="M7">
        <v>14</v>
      </c>
      <c r="N7" t="s">
        <v>62</v>
      </c>
    </row>
    <row r="8" spans="13:14" ht="12.75">
      <c r="M8">
        <v>3.9</v>
      </c>
      <c r="N8" t="s">
        <v>63</v>
      </c>
    </row>
    <row r="9" spans="13:14" ht="12.75">
      <c r="M9">
        <v>0</v>
      </c>
      <c r="N9" t="s">
        <v>108</v>
      </c>
    </row>
    <row r="10" spans="13:14" ht="12.75">
      <c r="M10">
        <v>56.1</v>
      </c>
      <c r="N10" t="s">
        <v>122</v>
      </c>
    </row>
    <row r="11" spans="13:14" ht="12.75">
      <c r="M11">
        <v>33</v>
      </c>
      <c r="N11" t="s">
        <v>64</v>
      </c>
    </row>
    <row r="12" spans="13:14" ht="12.75">
      <c r="M12">
        <v>2.4</v>
      </c>
      <c r="N12" t="s">
        <v>105</v>
      </c>
    </row>
    <row r="13" spans="13:14" ht="12.75">
      <c r="M13">
        <v>29.5</v>
      </c>
      <c r="N13" t="s">
        <v>106</v>
      </c>
    </row>
    <row r="14" spans="13:14" ht="12.75">
      <c r="M14">
        <v>4.4</v>
      </c>
      <c r="N14" t="s">
        <v>65</v>
      </c>
    </row>
    <row r="15" ht="12.75">
      <c r="M15">
        <f>SUM(M6:M14)</f>
        <v>202.10000000000002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PlanEnergi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Holm Tambjerg</dc:creator>
  <cp:keywords/>
  <dc:description/>
  <cp:lastModifiedBy>auss</cp:lastModifiedBy>
  <cp:lastPrinted>2010-02-04T16:56:51Z</cp:lastPrinted>
  <dcterms:created xsi:type="dcterms:W3CDTF">2007-01-15T14:25:48Z</dcterms:created>
  <dcterms:modified xsi:type="dcterms:W3CDTF">2010-04-20T08:33:31Z</dcterms:modified>
  <cp:category/>
  <cp:version/>
  <cp:contentType/>
  <cp:contentStatus/>
</cp:coreProperties>
</file>