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19290" windowHeight="5310" activeTab="0"/>
  </bookViews>
  <sheets>
    <sheet name="Baseline" sheetId="1" r:id="rId1"/>
    <sheet name="BAU" sheetId="2" r:id="rId2"/>
    <sheet name="Future" sheetId="3" r:id="rId3"/>
    <sheet name="Diagrammer" sheetId="4" r:id="rId4"/>
    <sheet name="Fremskrivningsfaktor" sheetId="5" r:id="rId5"/>
  </sheets>
  <definedNames>
    <definedName name="_xlnm.Print_Area" localSheetId="0">'Baseline'!$A$1:$AZ$77</definedName>
  </definedNames>
  <calcPr fullCalcOnLoad="1"/>
</workbook>
</file>

<file path=xl/sharedStrings.xml><?xml version="1.0" encoding="utf-8"?>
<sst xmlns="http://schemas.openxmlformats.org/spreadsheetml/2006/main" count="485" uniqueCount="203">
  <si>
    <t>Sted:</t>
  </si>
  <si>
    <t>År:</t>
  </si>
  <si>
    <t>Enheder</t>
  </si>
  <si>
    <t>TJ</t>
  </si>
  <si>
    <t>tons</t>
  </si>
  <si>
    <t>Antal indbyggere</t>
  </si>
  <si>
    <t>Brændsel</t>
  </si>
  <si>
    <t>LPG og petroleum</t>
  </si>
  <si>
    <t>Kul</t>
  </si>
  <si>
    <t>Fuelolie</t>
  </si>
  <si>
    <t>Brændselsolie</t>
  </si>
  <si>
    <t>Dieselolie</t>
  </si>
  <si>
    <t>Benzin</t>
  </si>
  <si>
    <t>Naturgas</t>
  </si>
  <si>
    <t>Vindenergi</t>
  </si>
  <si>
    <t>Bølgeenergi</t>
  </si>
  <si>
    <t>Vandkraft</t>
  </si>
  <si>
    <t>Solenergi</t>
  </si>
  <si>
    <t>Geotermi</t>
  </si>
  <si>
    <t>Husdyrsgødning</t>
  </si>
  <si>
    <t>Energiafgrøder</t>
  </si>
  <si>
    <t>Halm</t>
  </si>
  <si>
    <t>Brænde og træflis</t>
  </si>
  <si>
    <t>Træpiller og træaffald</t>
  </si>
  <si>
    <t>Organisk affald, industri</t>
  </si>
  <si>
    <t>Organisk affald, husholdninger</t>
  </si>
  <si>
    <t>Restaffald</t>
  </si>
  <si>
    <t>Anlæg</t>
  </si>
  <si>
    <t>Navn</t>
  </si>
  <si>
    <t>Virkningsgrad %</t>
  </si>
  <si>
    <t>el</t>
  </si>
  <si>
    <t>proces</t>
  </si>
  <si>
    <t>varme</t>
  </si>
  <si>
    <t>El-net</t>
  </si>
  <si>
    <t>Fjv-net</t>
  </si>
  <si>
    <t>ab værk</t>
  </si>
  <si>
    <t>an forbruger</t>
  </si>
  <si>
    <t>Slutforbrug</t>
  </si>
  <si>
    <t>Samlet</t>
  </si>
  <si>
    <t>Varmtvand</t>
  </si>
  <si>
    <t>Rumvarme</t>
  </si>
  <si>
    <t>Transport</t>
  </si>
  <si>
    <t>Boliger, inkl. fritidshuse</t>
  </si>
  <si>
    <t>Offentlig service</t>
  </si>
  <si>
    <t>Privat service</t>
  </si>
  <si>
    <t>Handel (detail + engros)</t>
  </si>
  <si>
    <t>Bygge- og anlægsvirksomhed</t>
  </si>
  <si>
    <t>Fremstillingsvirksomhed</t>
  </si>
  <si>
    <t>Gartneri</t>
  </si>
  <si>
    <t>Landbrug</t>
  </si>
  <si>
    <t>Gaskomfur</t>
  </si>
  <si>
    <t>Elkomfur</t>
  </si>
  <si>
    <t>Elvandvarmer</t>
  </si>
  <si>
    <t>Elradiator</t>
  </si>
  <si>
    <t>Solvarmeanlæg</t>
  </si>
  <si>
    <t>Varmepumper, indv.</t>
  </si>
  <si>
    <t>Træpillekedel, indv.</t>
  </si>
  <si>
    <t>Brændekedel/ovn indv.</t>
  </si>
  <si>
    <t>Halmfyr, indv.</t>
  </si>
  <si>
    <t>Geotermiske anlæg</t>
  </si>
  <si>
    <t>Solcelleanlæg</t>
  </si>
  <si>
    <t>Vindkraftanlæg</t>
  </si>
  <si>
    <t>Vandkraftanlæg</t>
  </si>
  <si>
    <t>Bølgekraftanlæg</t>
  </si>
  <si>
    <t>Dieselbiler, små</t>
  </si>
  <si>
    <t>Busser</t>
  </si>
  <si>
    <t>Traktorer</t>
  </si>
  <si>
    <t>Skibe</t>
  </si>
  <si>
    <t>CO2-emissioner (1000 tons)</t>
  </si>
  <si>
    <t>Lokale ressourcer</t>
  </si>
  <si>
    <t>Udnyttelsesprocent af lokale ressourcer</t>
  </si>
  <si>
    <t>tons/indbygger</t>
  </si>
  <si>
    <t>CO2-emission (tons/TJ)</t>
  </si>
  <si>
    <t>Elnetvirkningsgrad, %</t>
  </si>
  <si>
    <t>Centrale kraftværker, Dampturbine</t>
  </si>
  <si>
    <t>Centrale kraftværker, Forbrændingsmotor</t>
  </si>
  <si>
    <t>Centrale kraftværker, Gasturbine</t>
  </si>
  <si>
    <t>Centrale kraftværker, Kedel</t>
  </si>
  <si>
    <t>Centrale kraftværker, Forbrug</t>
  </si>
  <si>
    <t>Affaldsforbrændingsanlæg, dampturbine</t>
  </si>
  <si>
    <t>Affaldsforbrændingsanlæg, kedel</t>
  </si>
  <si>
    <t>Affaldsforbrændingsanlæg, kombianlæg</t>
  </si>
  <si>
    <t>Affaldsforbrændingsanlæg, forbrug</t>
  </si>
  <si>
    <t>Lokale KV-værker, motor</t>
  </si>
  <si>
    <t>Lokale KV-værker, forbrug</t>
  </si>
  <si>
    <t>Lokale KV-værker, kedel</t>
  </si>
  <si>
    <t>Belysning</t>
  </si>
  <si>
    <t>Elkompressorer</t>
  </si>
  <si>
    <t>Elmotorer mv.</t>
  </si>
  <si>
    <t>Industrielle KV-værker, dampturbine</t>
  </si>
  <si>
    <t>Industrielle KV-værker, forbrændingsmotor</t>
  </si>
  <si>
    <t>Industrielle KV-værker, gasturbine</t>
  </si>
  <si>
    <t>Industrielle KV-værker, kedel</t>
  </si>
  <si>
    <t>Industrielle KV-værker, kombianlæg</t>
  </si>
  <si>
    <t>Industrielle KV-værker, overskudsvarme</t>
  </si>
  <si>
    <t>Industrielle KV-værker, forbrug, fjv</t>
  </si>
  <si>
    <t>Industrielle KV-værker, forbrug, eget forbrug, el</t>
  </si>
  <si>
    <t>Industrielle KV-værker, forbrug, eget forbrug, varme</t>
  </si>
  <si>
    <t>Fjernvarmeværker, kedel</t>
  </si>
  <si>
    <t>Fjernvarmeværker, sol</t>
  </si>
  <si>
    <t>Fjernvarmeværker, forbrug</t>
  </si>
  <si>
    <t>Decentrale KV-værker, Dampturbine</t>
  </si>
  <si>
    <t>Decentrale KV-værker, Forbrændingsmotor</t>
  </si>
  <si>
    <t>Decentrale KV-værker, gasturbine</t>
  </si>
  <si>
    <t>Decentrale KV-værker, kedel</t>
  </si>
  <si>
    <t>Decentrale KV-værker, kombianlæg</t>
  </si>
  <si>
    <t>Decentrale KV-værker, forbrug</t>
  </si>
  <si>
    <t>Tog</t>
  </si>
  <si>
    <t>Fly</t>
  </si>
  <si>
    <t>Naturgaskedel, villakedler</t>
  </si>
  <si>
    <t>Busser, kollektiv trafik</t>
  </si>
  <si>
    <t>Naturgaskedel, store anlæg, erhverv</t>
  </si>
  <si>
    <t>Gasoliekedel, store anlæg, erhverv</t>
  </si>
  <si>
    <t>Faktisk energiforbrug</t>
  </si>
  <si>
    <t>Deponi, slam, renseanlæg</t>
  </si>
  <si>
    <t>Afgasset fibre</t>
  </si>
  <si>
    <t>Varmekilder til varmepumper</t>
  </si>
  <si>
    <t>JP1</t>
  </si>
  <si>
    <t>Elimport</t>
  </si>
  <si>
    <t>Import, Brænde og træflis</t>
  </si>
  <si>
    <t>Import, træpiller og træaffald</t>
  </si>
  <si>
    <t>% VE forbrugt</t>
  </si>
  <si>
    <t>% VE produceret</t>
  </si>
  <si>
    <t>Gårdanlæg biogas, motor</t>
  </si>
  <si>
    <t>Benzinbiler, små, mm.</t>
  </si>
  <si>
    <t>Lastbiler/sættevogne/entreprenørmaskiner</t>
  </si>
  <si>
    <t>Gasoliekedel, indv. mm.</t>
  </si>
  <si>
    <t>Naturgaskedel, blokvarme</t>
  </si>
  <si>
    <t>År</t>
  </si>
  <si>
    <t>PJ</t>
  </si>
  <si>
    <t>Energi2</t>
  </si>
  <si>
    <t>Energi1</t>
  </si>
  <si>
    <t>Energi</t>
  </si>
  <si>
    <t>Brændsel Total</t>
  </si>
  <si>
    <t>Elektricitet</t>
  </si>
  <si>
    <t>Fjernvarme</t>
  </si>
  <si>
    <t>Lokal varme fra KV</t>
  </si>
  <si>
    <t>Bygas</t>
  </si>
  <si>
    <t>Hovedtotal</t>
  </si>
  <si>
    <t>Kul &amp; Koks</t>
  </si>
  <si>
    <t>Olie &gt;</t>
  </si>
  <si>
    <t>VE &gt;</t>
  </si>
  <si>
    <t>Sektor4</t>
  </si>
  <si>
    <t>Sektor3</t>
  </si>
  <si>
    <t>Sektor2</t>
  </si>
  <si>
    <t>Råolie</t>
  </si>
  <si>
    <t>Orimulsion</t>
  </si>
  <si>
    <t>Petrokoks</t>
  </si>
  <si>
    <t>Fuelolie og Spildolie</t>
  </si>
  <si>
    <t>Gas &amp; dieselolie</t>
  </si>
  <si>
    <t>Petroleum</t>
  </si>
  <si>
    <t>Benzin og LVN</t>
  </si>
  <si>
    <t>JP1 og JP4</t>
  </si>
  <si>
    <t>Flyvebenzin</t>
  </si>
  <si>
    <t>LPG</t>
  </si>
  <si>
    <t>Raffinaderigas</t>
  </si>
  <si>
    <t>Træ</t>
  </si>
  <si>
    <t>Affald</t>
  </si>
  <si>
    <t>Biogas</t>
  </si>
  <si>
    <t>Omgivelsesvarme</t>
  </si>
  <si>
    <t>Anden VE</t>
  </si>
  <si>
    <t>Olie- og gassektor</t>
  </si>
  <si>
    <t>Raffinaderier</t>
  </si>
  <si>
    <t>Nordsø</t>
  </si>
  <si>
    <t>Raffinaderiers egetforbrug</t>
  </si>
  <si>
    <t>Gasværker</t>
  </si>
  <si>
    <t>El- og fjernvarmesektor</t>
  </si>
  <si>
    <t>Fjernvarmeværker</t>
  </si>
  <si>
    <t>Geotermianlæg</t>
  </si>
  <si>
    <t>Kondensproduktion</t>
  </si>
  <si>
    <t>Kraftvarmeproduktion</t>
  </si>
  <si>
    <t>Autoproducenter</t>
  </si>
  <si>
    <t>Separat</t>
  </si>
  <si>
    <t>Kraftvarme</t>
  </si>
  <si>
    <t>Vind- og vandkraft</t>
  </si>
  <si>
    <t>Nettab mv.</t>
  </si>
  <si>
    <t>Endelig energiforbrug i alt</t>
  </si>
  <si>
    <t>Ikke-energiformål</t>
  </si>
  <si>
    <t>Vej</t>
  </si>
  <si>
    <t>Jernbaner</t>
  </si>
  <si>
    <t>Indenrigsluftfart</t>
  </si>
  <si>
    <t>Udenrigsluftfart</t>
  </si>
  <si>
    <t>Søfart</t>
  </si>
  <si>
    <t>Forsvaret</t>
  </si>
  <si>
    <t>Produktionserhverv</t>
  </si>
  <si>
    <t>Landbrug mv.</t>
  </si>
  <si>
    <t>Bygge- &amp; anlægsvirksomhed</t>
  </si>
  <si>
    <t>Servicevirksomhed</t>
  </si>
  <si>
    <t>Offentlig</t>
  </si>
  <si>
    <t>Privat</t>
  </si>
  <si>
    <t>Husholdninger</t>
  </si>
  <si>
    <t>Baselinie</t>
  </si>
  <si>
    <t>BAU</t>
  </si>
  <si>
    <t>Future</t>
  </si>
  <si>
    <t>Samsø Kommune</t>
  </si>
  <si>
    <t>2006/2007</t>
  </si>
  <si>
    <t>Geografisk Energibalance, Samsø Kommune</t>
  </si>
  <si>
    <t>Gasoliekedel, indv.</t>
  </si>
  <si>
    <t>Naturgaskedel, store anlæg</t>
  </si>
  <si>
    <t>Geografisk Energibalance, Samsø, BAU</t>
  </si>
  <si>
    <t>Geografisk Energibalance, Samsø, Future</t>
  </si>
  <si>
    <t>Eksport rapsolie</t>
  </si>
  <si>
    <t>Bioolieog energiafgrøder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</si>
</sst>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"/>
    <numFmt numFmtId="173" formatCode="#,##0.0"/>
    <numFmt numFmtId="174" formatCode="0.0000"/>
    <numFmt numFmtId="175" formatCode="0.000"/>
    <numFmt numFmtId="176" formatCode="0.0000000"/>
    <numFmt numFmtId="177" formatCode="0.000000"/>
    <numFmt numFmtId="178" formatCode="0.00000"/>
  </numFmts>
  <fonts count="28">
    <font>
      <sz val="10"/>
      <name val="Arial"/>
      <family val="0"/>
    </font>
    <font>
      <b/>
      <sz val="16"/>
      <name val="Arial"/>
      <family val="2"/>
    </font>
    <font>
      <b/>
      <i/>
      <sz val="11"/>
      <color indexed="9"/>
      <name val="Arial"/>
      <family val="0"/>
    </font>
    <font>
      <b/>
      <i/>
      <sz val="11"/>
      <color indexed="16"/>
      <name val="Arial"/>
      <family val="0"/>
    </font>
    <font>
      <b/>
      <i/>
      <sz val="10"/>
      <color indexed="9"/>
      <name val="Arial"/>
      <family val="0"/>
    </font>
    <font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0" fillId="17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7" borderId="2" applyNumberFormat="0" applyAlignment="0" applyProtection="0"/>
    <xf numFmtId="0" fontId="22" fillId="18" borderId="3" applyNumberFormat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7" fillId="23" borderId="0" applyNumberFormat="0" applyBorder="0" applyAlignment="0" applyProtection="0"/>
    <xf numFmtId="0" fontId="19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1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20" borderId="11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0" xfId="0" applyNumberFormat="1" applyFill="1" applyBorder="1" applyAlignment="1">
      <alignment textRotation="90" wrapText="1"/>
    </xf>
    <xf numFmtId="1" fontId="0" fillId="0" borderId="23" xfId="0" applyNumberFormat="1" applyFill="1" applyBorder="1" applyAlignment="1">
      <alignment textRotation="90" wrapText="1"/>
    </xf>
    <xf numFmtId="1" fontId="0" fillId="0" borderId="23" xfId="0" applyNumberFormat="1" applyBorder="1" applyAlignment="1">
      <alignment textRotation="90" wrapText="1"/>
    </xf>
    <xf numFmtId="1" fontId="0" fillId="0" borderId="24" xfId="0" applyNumberFormat="1" applyBorder="1" applyAlignment="1">
      <alignment textRotation="90" wrapText="1"/>
    </xf>
    <xf numFmtId="1" fontId="0" fillId="0" borderId="21" xfId="0" applyNumberFormat="1" applyBorder="1" applyAlignment="1">
      <alignment wrapText="1"/>
    </xf>
    <xf numFmtId="1" fontId="0" fillId="0" borderId="10" xfId="0" applyNumberFormat="1" applyBorder="1" applyAlignment="1">
      <alignment textRotation="90" wrapText="1"/>
    </xf>
    <xf numFmtId="1" fontId="0" fillId="0" borderId="25" xfId="0" applyNumberFormat="1" applyBorder="1" applyAlignment="1">
      <alignment textRotation="90" wrapText="1"/>
    </xf>
    <xf numFmtId="1" fontId="0" fillId="0" borderId="26" xfId="0" applyNumberFormat="1" applyBorder="1" applyAlignment="1">
      <alignment textRotation="90" wrapText="1"/>
    </xf>
    <xf numFmtId="1" fontId="0" fillId="0" borderId="23" xfId="0" applyNumberFormat="1" applyFill="1" applyBorder="1" applyAlignment="1">
      <alignment/>
    </xf>
    <xf numFmtId="1" fontId="0" fillId="0" borderId="2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6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1" fontId="0" fillId="0" borderId="19" xfId="0" applyNumberFormat="1" applyBorder="1" applyAlignment="1">
      <alignment horizontal="left"/>
    </xf>
    <xf numFmtId="1" fontId="0" fillId="0" borderId="22" xfId="0" applyNumberFormat="1" applyBorder="1" applyAlignment="1">
      <alignment horizontal="left"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4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4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4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4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/>
    </xf>
    <xf numFmtId="0" fontId="2" fillId="24" borderId="54" xfId="0" applyFont="1" applyFill="1" applyBorder="1" applyAlignment="1">
      <alignment horizontal="left"/>
    </xf>
    <xf numFmtId="0" fontId="3" fillId="24" borderId="53" xfId="0" applyFont="1" applyFill="1" applyBorder="1" applyAlignment="1">
      <alignment horizontal="left"/>
    </xf>
    <xf numFmtId="0" fontId="3" fillId="24" borderId="54" xfId="0" applyFont="1" applyFill="1" applyBorder="1" applyAlignment="1">
      <alignment horizontal="left"/>
    </xf>
    <xf numFmtId="0" fontId="4" fillId="24" borderId="54" xfId="0" applyFont="1" applyFill="1" applyBorder="1" applyAlignment="1">
      <alignment horizontal="right"/>
    </xf>
    <xf numFmtId="0" fontId="4" fillId="24" borderId="55" xfId="0" applyFont="1" applyFill="1" applyBorder="1" applyAlignment="1">
      <alignment horizontal="right"/>
    </xf>
    <xf numFmtId="0" fontId="2" fillId="24" borderId="56" xfId="0" applyFont="1" applyFill="1" applyBorder="1" applyAlignment="1">
      <alignment horizontal="left"/>
    </xf>
    <xf numFmtId="0" fontId="2" fillId="24" borderId="57" xfId="0" applyFont="1" applyFill="1" applyBorder="1" applyAlignment="1">
      <alignment horizontal="left"/>
    </xf>
    <xf numFmtId="0" fontId="4" fillId="24" borderId="53" xfId="0" applyFont="1" applyFill="1" applyBorder="1" applyAlignment="1">
      <alignment horizontal="right"/>
    </xf>
    <xf numFmtId="0" fontId="4" fillId="24" borderId="58" xfId="0" applyFont="1" applyFill="1" applyBorder="1" applyAlignment="1">
      <alignment horizontal="right"/>
    </xf>
    <xf numFmtId="0" fontId="4" fillId="24" borderId="56" xfId="0" applyFont="1" applyFill="1" applyBorder="1" applyAlignment="1">
      <alignment horizontal="right"/>
    </xf>
    <xf numFmtId="0" fontId="4" fillId="24" borderId="59" xfId="0" applyFont="1" applyFill="1" applyBorder="1" applyAlignment="1">
      <alignment horizontal="right"/>
    </xf>
    <xf numFmtId="0" fontId="5" fillId="25" borderId="53" xfId="0" applyFont="1" applyFill="1" applyBorder="1" applyAlignment="1">
      <alignment/>
    </xf>
    <xf numFmtId="0" fontId="4" fillId="24" borderId="60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left"/>
    </xf>
    <xf numFmtId="0" fontId="6" fillId="0" borderId="53" xfId="0" applyFont="1" applyFill="1" applyBorder="1" applyAlignment="1" applyProtection="1">
      <alignment horizontal="left"/>
      <protection locked="0"/>
    </xf>
    <xf numFmtId="2" fontId="7" fillId="0" borderId="53" xfId="0" applyNumberFormat="1" applyFont="1" applyFill="1" applyBorder="1" applyAlignment="1" applyProtection="1">
      <alignment/>
      <protection locked="0"/>
    </xf>
    <xf numFmtId="0" fontId="6" fillId="0" borderId="56" xfId="0" applyFont="1" applyFill="1" applyBorder="1" applyAlignment="1">
      <alignment horizontal="left"/>
    </xf>
    <xf numFmtId="2" fontId="7" fillId="4" borderId="53" xfId="0" applyNumberFormat="1" applyFont="1" applyFill="1" applyBorder="1" applyAlignment="1" applyProtection="1">
      <alignment/>
      <protection locked="0"/>
    </xf>
    <xf numFmtId="0" fontId="8" fillId="0" borderId="61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left"/>
    </xf>
    <xf numFmtId="3" fontId="0" fillId="23" borderId="11" xfId="0" applyNumberFormat="1" applyFill="1" applyBorder="1" applyAlignment="1">
      <alignment/>
    </xf>
    <xf numFmtId="3" fontId="0" fillId="23" borderId="4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Fill="1" applyBorder="1" applyAlignment="1">
      <alignment textRotation="90" wrapText="1"/>
    </xf>
    <xf numFmtId="0" fontId="0" fillId="0" borderId="23" xfId="0" applyFill="1" applyBorder="1" applyAlignment="1">
      <alignment textRotation="90" wrapText="1"/>
    </xf>
    <xf numFmtId="0" fontId="0" fillId="0" borderId="23" xfId="0" applyBorder="1" applyAlignment="1">
      <alignment textRotation="90" wrapText="1"/>
    </xf>
    <xf numFmtId="0" fontId="0" fillId="0" borderId="24" xfId="0" applyBorder="1" applyAlignment="1">
      <alignment textRotation="90" wrapText="1"/>
    </xf>
    <xf numFmtId="0" fontId="0" fillId="0" borderId="21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0" fillId="0" borderId="26" xfId="0" applyBorder="1" applyAlignment="1">
      <alignment textRotation="90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1" fontId="0" fillId="0" borderId="34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3" fontId="0" fillId="20" borderId="40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72" fontId="0" fillId="0" borderId="2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3" xfId="0" applyNumberFormat="1" applyBorder="1" applyAlignment="1">
      <alignment textRotation="90" wrapText="1"/>
    </xf>
    <xf numFmtId="3" fontId="0" fillId="0" borderId="23" xfId="0" applyNumberFormat="1" applyFill="1" applyBorder="1" applyAlignment="1">
      <alignment textRotation="90" wrapText="1"/>
    </xf>
    <xf numFmtId="3" fontId="0" fillId="0" borderId="24" xfId="0" applyNumberFormat="1" applyBorder="1" applyAlignment="1">
      <alignment textRotation="90" wrapText="1"/>
    </xf>
    <xf numFmtId="3" fontId="0" fillId="0" borderId="26" xfId="0" applyNumberFormat="1" applyBorder="1" applyAlignment="1">
      <alignment/>
    </xf>
    <xf numFmtId="3" fontId="0" fillId="0" borderId="19" xfId="0" applyNumberFormat="1" applyBorder="1" applyAlignment="1">
      <alignment horizontal="left"/>
    </xf>
    <xf numFmtId="3" fontId="0" fillId="0" borderId="22" xfId="0" applyNumberFormat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47" xfId="0" applyNumberFormat="1" applyBorder="1" applyAlignment="1">
      <alignment/>
    </xf>
    <xf numFmtId="3" fontId="0" fillId="0" borderId="13" xfId="0" applyNumberFormat="1" applyFill="1" applyBorder="1" applyAlignment="1" applyProtection="1">
      <alignment horizontal="right"/>
      <protection locked="0"/>
    </xf>
    <xf numFmtId="3" fontId="0" fillId="0" borderId="63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5"/>
          <c:w val="0.602"/>
          <c:h val="0.9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Baseline!$A$7</c:f>
              <c:strCache>
                <c:ptCount val="1"/>
                <c:pt idx="0">
                  <c:v>Elimport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Baseline!$A$71</c:f>
              <c:numCache>
                <c:ptCount val="1"/>
                <c:pt idx="0">
                  <c:v>-307.971894469136</c:v>
                </c:pt>
              </c:numCache>
            </c:numRef>
          </c:val>
        </c:ser>
        <c:ser>
          <c:idx val="1"/>
          <c:order val="1"/>
          <c:tx>
            <c:strRef>
              <c:f>Baseline!$B$7</c:f>
              <c:strCache>
                <c:ptCount val="1"/>
                <c:pt idx="0">
                  <c:v>LPG og petroleum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Baseline!$B$71</c:f>
              <c:numCache>
                <c:ptCount val="1"/>
                <c:pt idx="0">
                  <c:v>2.667361105501586</c:v>
                </c:pt>
              </c:numCache>
            </c:numRef>
          </c:val>
        </c:ser>
        <c:ser>
          <c:idx val="2"/>
          <c:order val="2"/>
          <c:tx>
            <c:strRef>
              <c:f>Baseline!$C$7</c:f>
              <c:strCache>
                <c:ptCount val="1"/>
                <c:pt idx="0">
                  <c:v>Kul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Baseline!$C$71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Baseline!$D$7</c:f>
              <c:strCache>
                <c:ptCount val="1"/>
                <c:pt idx="0">
                  <c:v>Fuelolie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Baseline!$D$71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Baseline!$E$7</c:f>
              <c:strCache>
                <c:ptCount val="1"/>
                <c:pt idx="0">
                  <c:v>Brændselsolie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Baseline!$E$71</c:f>
              <c:numCache>
                <c:ptCount val="1"/>
                <c:pt idx="0">
                  <c:v>117.130846464</c:v>
                </c:pt>
              </c:numCache>
            </c:numRef>
          </c:val>
        </c:ser>
        <c:ser>
          <c:idx val="5"/>
          <c:order val="5"/>
          <c:tx>
            <c:strRef>
              <c:f>Baseline!$F$7</c:f>
              <c:strCache>
                <c:ptCount val="1"/>
                <c:pt idx="0">
                  <c:v>Dieselolie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Baseline!$F$71</c:f>
              <c:numCache>
                <c:ptCount val="1"/>
                <c:pt idx="0">
                  <c:v>105.65620034978025</c:v>
                </c:pt>
              </c:numCache>
            </c:numRef>
          </c:val>
        </c:ser>
        <c:ser>
          <c:idx val="6"/>
          <c:order val="6"/>
          <c:tx>
            <c:strRef>
              <c:f>Baseline!$G$7</c:f>
              <c:strCache>
                <c:ptCount val="1"/>
                <c:pt idx="0">
                  <c:v>JP1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Baseline!$G$71</c:f>
              <c:numCache>
                <c:ptCount val="1"/>
                <c:pt idx="0">
                  <c:v>29.482756278405105</c:v>
                </c:pt>
              </c:numCache>
            </c:numRef>
          </c:val>
        </c:ser>
        <c:ser>
          <c:idx val="7"/>
          <c:order val="7"/>
          <c:tx>
            <c:strRef>
              <c:f>Baseline!$H$7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Baseline!$H$71</c:f>
              <c:numCache>
                <c:ptCount val="1"/>
                <c:pt idx="0">
                  <c:v>63.68511265762605</c:v>
                </c:pt>
              </c:numCache>
            </c:numRef>
          </c:val>
        </c:ser>
        <c:ser>
          <c:idx val="8"/>
          <c:order val="8"/>
          <c:tx>
            <c:strRef>
              <c:f>Baseline!$I$7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Baseline!$I$71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Baseline!$J$7</c:f>
              <c:strCache>
                <c:ptCount val="1"/>
                <c:pt idx="0">
                  <c:v>Vindenergi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Baseline!$J$71</c:f>
              <c:numCache>
                <c:ptCount val="1"/>
                <c:pt idx="0">
                  <c:v>411.83048159296874</c:v>
                </c:pt>
              </c:numCache>
            </c:numRef>
          </c:val>
        </c:ser>
        <c:ser>
          <c:idx val="10"/>
          <c:order val="10"/>
          <c:tx>
            <c:strRef>
              <c:f>Baseline!$K$7</c:f>
              <c:strCache>
                <c:ptCount val="1"/>
                <c:pt idx="0">
                  <c:v>Bølgeenergi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Baseline!$K$71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Baseline!$L$7</c:f>
              <c:strCache>
                <c:ptCount val="1"/>
                <c:pt idx="0">
                  <c:v>Vandkraft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Baseline!$L$71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Baseline!$M$7</c:f>
              <c:strCache>
                <c:ptCount val="1"/>
                <c:pt idx="0">
                  <c:v>Solenergi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Baseline!$M$71</c:f>
              <c:numCache>
                <c:ptCount val="1"/>
                <c:pt idx="0">
                  <c:v>3.606582401770891</c:v>
                </c:pt>
              </c:numCache>
            </c:numRef>
          </c:val>
        </c:ser>
        <c:ser>
          <c:idx val="13"/>
          <c:order val="13"/>
          <c:tx>
            <c:strRef>
              <c:f>Baseline!$N$7</c:f>
              <c:strCache>
                <c:ptCount val="1"/>
                <c:pt idx="0">
                  <c:v>Geotermi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Baseline!$N$71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Baseline!$O$7</c:f>
              <c:strCache>
                <c:ptCount val="1"/>
                <c:pt idx="0">
                  <c:v>Husdyrsgødning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Baseline!$O$71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Baseline!$P$7</c:f>
              <c:strCache>
                <c:ptCount val="1"/>
                <c:pt idx="0">
                  <c:v>Afgasset fibre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Baseline!$P$71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Baseline!$Q$7</c:f>
              <c:strCache>
                <c:ptCount val="1"/>
                <c:pt idx="0">
                  <c:v>Bioolieog energiafgrøder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Baseline!$Q$71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Baseline!$R$7</c:f>
              <c:strCache>
                <c:ptCount val="1"/>
                <c:pt idx="0">
                  <c:v>Eksport rapsolie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Baseline!$R$71</c:f>
              <c:numCache>
                <c:ptCount val="1"/>
                <c:pt idx="0">
                  <c:v>-16.428676787069</c:v>
                </c:pt>
              </c:numCache>
            </c:numRef>
          </c:val>
        </c:ser>
        <c:ser>
          <c:idx val="18"/>
          <c:order val="18"/>
          <c:tx>
            <c:strRef>
              <c:f>Baseline!$S$7</c:f>
              <c:strCache>
                <c:ptCount val="1"/>
                <c:pt idx="0">
                  <c:v>Halm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Baseline!$S$71</c:f>
              <c:numCache>
                <c:ptCount val="1"/>
                <c:pt idx="0">
                  <c:v>78.929</c:v>
                </c:pt>
              </c:numCache>
            </c:numRef>
          </c:val>
        </c:ser>
        <c:ser>
          <c:idx val="19"/>
          <c:order val="19"/>
          <c:tx>
            <c:strRef>
              <c:f>Baseline!$T$7</c:f>
              <c:strCache>
                <c:ptCount val="1"/>
                <c:pt idx="0">
                  <c:v>Brænde og træflis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Baseline!$T$71</c:f>
              <c:numCache>
                <c:ptCount val="1"/>
                <c:pt idx="0">
                  <c:v>42.39</c:v>
                </c:pt>
              </c:numCache>
            </c:numRef>
          </c:val>
        </c:ser>
        <c:ser>
          <c:idx val="20"/>
          <c:order val="20"/>
          <c:tx>
            <c:strRef>
              <c:f>Baseline!$U$7</c:f>
              <c:strCache>
                <c:ptCount val="1"/>
                <c:pt idx="0">
                  <c:v>Import, Brænde og træflis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Baseline!$U$71</c:f>
              <c:numCache>
                <c:ptCount val="1"/>
                <c:pt idx="0">
                  <c:v>4.71</c:v>
                </c:pt>
              </c:numCache>
            </c:numRef>
          </c:val>
        </c:ser>
        <c:ser>
          <c:idx val="21"/>
          <c:order val="21"/>
          <c:tx>
            <c:strRef>
              <c:f>Baseline!$V$7</c:f>
              <c:strCache>
                <c:ptCount val="1"/>
                <c:pt idx="0">
                  <c:v>Træpiller og træaffald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Baseline!$V$71</c:f>
              <c:numCache>
                <c:ptCount val="1"/>
                <c:pt idx="0">
                  <c:v>9.810599999999999</c:v>
                </c:pt>
              </c:numCache>
            </c:numRef>
          </c:val>
        </c:ser>
        <c:ser>
          <c:idx val="22"/>
          <c:order val="22"/>
          <c:tx>
            <c:strRef>
              <c:f>Baseline!$W$7</c:f>
              <c:strCache>
                <c:ptCount val="1"/>
                <c:pt idx="0">
                  <c:v>Import, træpiller og træaffald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Baseline!$W$71</c:f>
              <c:numCache>
                <c:ptCount val="1"/>
                <c:pt idx="0">
                  <c:v>15.0894</c:v>
                </c:pt>
              </c:numCache>
            </c:numRef>
          </c:val>
        </c:ser>
        <c:ser>
          <c:idx val="23"/>
          <c:order val="23"/>
          <c:tx>
            <c:strRef>
              <c:f>Baseline!$X$7</c:f>
              <c:strCache>
                <c:ptCount val="1"/>
                <c:pt idx="0">
                  <c:v>Organisk affald, industri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Baseline!$X$71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Baseline!$Y$7</c:f>
              <c:strCache>
                <c:ptCount val="1"/>
                <c:pt idx="0">
                  <c:v>Organisk affald, husholdninger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Baseline!$Y$71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Baseline!$Z$7</c:f>
              <c:strCache>
                <c:ptCount val="1"/>
                <c:pt idx="0">
                  <c:v>Deponi, slam, renseanlæg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Baseline!$Z$71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tx>
            <c:strRef>
              <c:f>Baseline!$AA$7</c:f>
              <c:strCache>
                <c:ptCount val="1"/>
                <c:pt idx="0">
                  <c:v>Varmekilder til varmepumper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Baseline!$AA$71</c:f>
              <c:numCache>
                <c:ptCount val="1"/>
                <c:pt idx="0">
                  <c:v>0.4220031918188458</c:v>
                </c:pt>
              </c:numCache>
            </c:numRef>
          </c:val>
        </c:ser>
        <c:ser>
          <c:idx val="27"/>
          <c:order val="27"/>
          <c:tx>
            <c:strRef>
              <c:f>Baseline!$AB$7</c:f>
              <c:strCache>
                <c:ptCount val="1"/>
                <c:pt idx="0">
                  <c:v>Restaffald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Baseline!$AB$71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8607987"/>
        <c:axId val="56145292"/>
      </c:bar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7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"/>
          <c:w val="0.319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5"/>
          <c:w val="0.6235"/>
          <c:h val="0.9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BAU!$A$7</c:f>
              <c:strCache>
                <c:ptCount val="1"/>
                <c:pt idx="0">
                  <c:v>Elimport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BAU!$A$71</c:f>
              <c:numCache>
                <c:ptCount val="1"/>
                <c:pt idx="0">
                  <c:v>-67.46229920571365</c:v>
                </c:pt>
              </c:numCache>
            </c:numRef>
          </c:val>
        </c:ser>
        <c:ser>
          <c:idx val="1"/>
          <c:order val="1"/>
          <c:tx>
            <c:strRef>
              <c:f>BAU!$B$7</c:f>
              <c:strCache>
                <c:ptCount val="1"/>
                <c:pt idx="0">
                  <c:v>LPG og petroleum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BAU!$B$71</c:f>
              <c:numCache>
                <c:ptCount val="1"/>
                <c:pt idx="0">
                  <c:v>2.667361105501586</c:v>
                </c:pt>
              </c:numCache>
            </c:numRef>
          </c:val>
        </c:ser>
        <c:ser>
          <c:idx val="2"/>
          <c:order val="2"/>
          <c:tx>
            <c:strRef>
              <c:f>BAU!$C$7</c:f>
              <c:strCache>
                <c:ptCount val="1"/>
                <c:pt idx="0">
                  <c:v>Kul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BAU!$C$71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BAU!$D$7</c:f>
              <c:strCache>
                <c:ptCount val="1"/>
                <c:pt idx="0">
                  <c:v>Fuelolie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BAU!$D$71</c:f>
              <c:numCache>
                <c:ptCount val="1"/>
                <c:pt idx="0">
                  <c:v>0.8924589325634203</c:v>
                </c:pt>
              </c:numCache>
            </c:numRef>
          </c:val>
        </c:ser>
        <c:ser>
          <c:idx val="4"/>
          <c:order val="4"/>
          <c:tx>
            <c:strRef>
              <c:f>BAU!$E$7</c:f>
              <c:strCache>
                <c:ptCount val="1"/>
                <c:pt idx="0">
                  <c:v>Brændselsolie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BAU!$E$71</c:f>
              <c:numCache>
                <c:ptCount val="1"/>
                <c:pt idx="0">
                  <c:v>117.130846464</c:v>
                </c:pt>
              </c:numCache>
            </c:numRef>
          </c:val>
        </c:ser>
        <c:ser>
          <c:idx val="5"/>
          <c:order val="5"/>
          <c:tx>
            <c:strRef>
              <c:f>BAU!$F$7</c:f>
              <c:strCache>
                <c:ptCount val="1"/>
                <c:pt idx="0">
                  <c:v>Dieselolie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BAU!$F$71</c:f>
              <c:numCache>
                <c:ptCount val="1"/>
                <c:pt idx="0">
                  <c:v>119.03482046627764</c:v>
                </c:pt>
              </c:numCache>
            </c:numRef>
          </c:val>
        </c:ser>
        <c:ser>
          <c:idx val="6"/>
          <c:order val="6"/>
          <c:tx>
            <c:strRef>
              <c:f>BAU!$G$7</c:f>
              <c:strCache>
                <c:ptCount val="1"/>
                <c:pt idx="0">
                  <c:v>JP1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BAU!$G$71</c:f>
              <c:numCache>
                <c:ptCount val="1"/>
                <c:pt idx="0">
                  <c:v>36.14214472531048</c:v>
                </c:pt>
              </c:numCache>
            </c:numRef>
          </c:val>
        </c:ser>
        <c:ser>
          <c:idx val="7"/>
          <c:order val="7"/>
          <c:tx>
            <c:strRef>
              <c:f>BAU!$H$7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BAU!$H$71</c:f>
              <c:numCache>
                <c:ptCount val="1"/>
                <c:pt idx="0">
                  <c:v>68.7724987347771</c:v>
                </c:pt>
              </c:numCache>
            </c:numRef>
          </c:val>
        </c:ser>
        <c:ser>
          <c:idx val="8"/>
          <c:order val="8"/>
          <c:tx>
            <c:strRef>
              <c:f>BAU!$I$7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BAU!$I$71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BAU!$J$7</c:f>
              <c:strCache>
                <c:ptCount val="1"/>
                <c:pt idx="0">
                  <c:v>Vindenergi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BAU!$J$71</c:f>
              <c:numCache>
                <c:ptCount val="1"/>
                <c:pt idx="0">
                  <c:v>189.8451262369111</c:v>
                </c:pt>
              </c:numCache>
            </c:numRef>
          </c:val>
        </c:ser>
        <c:ser>
          <c:idx val="10"/>
          <c:order val="10"/>
          <c:tx>
            <c:strRef>
              <c:f>BAU!$K$7</c:f>
              <c:strCache>
                <c:ptCount val="1"/>
                <c:pt idx="0">
                  <c:v>Bølgeenergi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BAU!$K$71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BAU!$L$7</c:f>
              <c:strCache>
                <c:ptCount val="1"/>
                <c:pt idx="0">
                  <c:v>Vandkraft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BAU!$L$71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BAU!$M$7</c:f>
              <c:strCache>
                <c:ptCount val="1"/>
                <c:pt idx="0">
                  <c:v>Solenergi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BAU!$M$71</c:f>
              <c:numCache>
                <c:ptCount val="1"/>
                <c:pt idx="0">
                  <c:v>0.006582401770890979</c:v>
                </c:pt>
              </c:numCache>
            </c:numRef>
          </c:val>
        </c:ser>
        <c:ser>
          <c:idx val="13"/>
          <c:order val="13"/>
          <c:tx>
            <c:strRef>
              <c:f>BAU!$N$7</c:f>
              <c:strCache>
                <c:ptCount val="1"/>
                <c:pt idx="0">
                  <c:v>Geotermi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BAU!$N$71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BAU!$O$7</c:f>
              <c:strCache>
                <c:ptCount val="1"/>
                <c:pt idx="0">
                  <c:v>Husdyrsgødning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BAU!$O$71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BAU!$P$7</c:f>
              <c:strCache>
                <c:ptCount val="1"/>
                <c:pt idx="0">
                  <c:v>Afgasset fibre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BAU!$P$71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BAU!$Q$7</c:f>
              <c:strCache>
                <c:ptCount val="1"/>
                <c:pt idx="0">
                  <c:v>Bioolieog energiafgrøder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BAU!$Q$71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BAU!$R$7</c:f>
              <c:strCache>
                <c:ptCount val="1"/>
                <c:pt idx="0">
                  <c:v>Eksport rapsolie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BAU!$R$71</c:f>
              <c:numCache>
                <c:ptCount val="1"/>
                <c:pt idx="0">
                  <c:v>1477.77228747524</c:v>
                </c:pt>
              </c:numCache>
            </c:numRef>
          </c:val>
        </c:ser>
        <c:ser>
          <c:idx val="18"/>
          <c:order val="18"/>
          <c:tx>
            <c:strRef>
              <c:f>BAU!$S$7</c:f>
              <c:strCache>
                <c:ptCount val="1"/>
                <c:pt idx="0">
                  <c:v>Halm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BAU!$S$71</c:f>
              <c:numCache>
                <c:ptCount val="1"/>
                <c:pt idx="0">
                  <c:v>74.43602459981159</c:v>
                </c:pt>
              </c:numCache>
            </c:numRef>
          </c:val>
        </c:ser>
        <c:ser>
          <c:idx val="19"/>
          <c:order val="19"/>
          <c:tx>
            <c:strRef>
              <c:f>BAU!$T$7</c:f>
              <c:strCache>
                <c:ptCount val="1"/>
                <c:pt idx="0">
                  <c:v>Brænde og træflis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BAU!$T$71</c:f>
              <c:numCache>
                <c:ptCount val="1"/>
                <c:pt idx="0">
                  <c:v>53.134140566939166</c:v>
                </c:pt>
              </c:numCache>
            </c:numRef>
          </c:val>
        </c:ser>
        <c:ser>
          <c:idx val="20"/>
          <c:order val="20"/>
          <c:tx>
            <c:strRef>
              <c:f>BAU!$U$7</c:f>
              <c:strCache>
                <c:ptCount val="1"/>
                <c:pt idx="0">
                  <c:v>Import, Brænde og træflis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BAU!$U$71</c:f>
              <c:numCache>
                <c:ptCount val="1"/>
                <c:pt idx="0">
                  <c:v>5.903793396326574</c:v>
                </c:pt>
              </c:numCache>
            </c:numRef>
          </c:val>
        </c:ser>
        <c:ser>
          <c:idx val="21"/>
          <c:order val="21"/>
          <c:tx>
            <c:strRef>
              <c:f>BAU!$V$7</c:f>
              <c:strCache>
                <c:ptCount val="1"/>
                <c:pt idx="0">
                  <c:v>Træpiller og træaffald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BAU!$V$71</c:f>
              <c:numCache>
                <c:ptCount val="1"/>
                <c:pt idx="0">
                  <c:v>12.297188002972712</c:v>
                </c:pt>
              </c:numCache>
            </c:numRef>
          </c:val>
        </c:ser>
        <c:ser>
          <c:idx val="22"/>
          <c:order val="22"/>
          <c:tx>
            <c:strRef>
              <c:f>BAU!$W$7</c:f>
              <c:strCache>
                <c:ptCount val="1"/>
                <c:pt idx="0">
                  <c:v>Import, træpiller og træaffald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BAU!$W$71</c:f>
              <c:numCache>
                <c:ptCount val="1"/>
                <c:pt idx="0">
                  <c:v>18.91394906040981</c:v>
                </c:pt>
              </c:numCache>
            </c:numRef>
          </c:val>
        </c:ser>
        <c:ser>
          <c:idx val="23"/>
          <c:order val="23"/>
          <c:tx>
            <c:strRef>
              <c:f>BAU!$X$7</c:f>
              <c:strCache>
                <c:ptCount val="1"/>
                <c:pt idx="0">
                  <c:v>Organisk affald, industri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BAU!$X$71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BAU!$Y$7</c:f>
              <c:strCache>
                <c:ptCount val="1"/>
                <c:pt idx="0">
                  <c:v>Organisk affald, husholdninger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BAU!$Y$71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BAU!$Z$7</c:f>
              <c:strCache>
                <c:ptCount val="1"/>
                <c:pt idx="0">
                  <c:v>Deponi, slam, renseanlæg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BAU!$Z$71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tx>
            <c:strRef>
              <c:f>BAU!$AA$7</c:f>
              <c:strCache>
                <c:ptCount val="1"/>
                <c:pt idx="0">
                  <c:v>Varmekilder til varmepumper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BAU!$AA$71</c:f>
              <c:numCache>
                <c:ptCount val="1"/>
                <c:pt idx="0">
                  <c:v>0.4220031918188458</c:v>
                </c:pt>
              </c:numCache>
            </c:numRef>
          </c:val>
        </c:ser>
        <c:ser>
          <c:idx val="27"/>
          <c:order val="27"/>
          <c:tx>
            <c:strRef>
              <c:f>BAU!$AB$7</c:f>
              <c:strCache>
                <c:ptCount val="1"/>
                <c:pt idx="0">
                  <c:v>Restaffald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BAU!$AB$71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5545581"/>
        <c:axId val="51474774"/>
      </c:bar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4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"/>
          <c:w val="0.296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5"/>
          <c:w val="0.6235"/>
          <c:h val="0.9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Future!$A$7</c:f>
              <c:strCache>
                <c:ptCount val="1"/>
                <c:pt idx="0">
                  <c:v>Elimport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Future!$A$71</c:f>
              <c:numCache>
                <c:ptCount val="1"/>
                <c:pt idx="0">
                  <c:v>-345.86403390858004</c:v>
                </c:pt>
              </c:numCache>
            </c:numRef>
          </c:val>
        </c:ser>
        <c:ser>
          <c:idx val="1"/>
          <c:order val="1"/>
          <c:tx>
            <c:strRef>
              <c:f>Future!$B$7</c:f>
              <c:strCache>
                <c:ptCount val="1"/>
                <c:pt idx="0">
                  <c:v>LPG og petroleum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Future!$B$71</c:f>
              <c:numCache>
                <c:ptCount val="1"/>
                <c:pt idx="0">
                  <c:v>2.667361105501586</c:v>
                </c:pt>
              </c:numCache>
            </c:numRef>
          </c:val>
        </c:ser>
        <c:ser>
          <c:idx val="2"/>
          <c:order val="2"/>
          <c:tx>
            <c:strRef>
              <c:f>Future!$C$7</c:f>
              <c:strCache>
                <c:ptCount val="1"/>
                <c:pt idx="0">
                  <c:v>Kul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Future!$C$71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Future!$D$7</c:f>
              <c:strCache>
                <c:ptCount val="1"/>
                <c:pt idx="0">
                  <c:v>Fuelolie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Future!$D$71</c:f>
              <c:numCache>
                <c:ptCount val="1"/>
                <c:pt idx="0">
                  <c:v>0.8924589325634203</c:v>
                </c:pt>
              </c:numCache>
            </c:numRef>
          </c:val>
        </c:ser>
        <c:ser>
          <c:idx val="4"/>
          <c:order val="4"/>
          <c:tx>
            <c:strRef>
              <c:f>Future!$E$7</c:f>
              <c:strCache>
                <c:ptCount val="1"/>
                <c:pt idx="0">
                  <c:v>Brændselsolie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Future!$E$71</c:f>
              <c:numCache>
                <c:ptCount val="1"/>
                <c:pt idx="0">
                  <c:v>0.130846464</c:v>
                </c:pt>
              </c:numCache>
            </c:numRef>
          </c:val>
        </c:ser>
        <c:ser>
          <c:idx val="5"/>
          <c:order val="5"/>
          <c:tx>
            <c:strRef>
              <c:f>Future!$F$7</c:f>
              <c:strCache>
                <c:ptCount val="1"/>
                <c:pt idx="0">
                  <c:v>Dieselolie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Future!$F$71</c:f>
              <c:numCache>
                <c:ptCount val="1"/>
                <c:pt idx="0">
                  <c:v>13.864349454422538</c:v>
                </c:pt>
              </c:numCache>
            </c:numRef>
          </c:val>
        </c:ser>
        <c:ser>
          <c:idx val="6"/>
          <c:order val="6"/>
          <c:tx>
            <c:strRef>
              <c:f>Future!$G$7</c:f>
              <c:strCache>
                <c:ptCount val="1"/>
                <c:pt idx="0">
                  <c:v>JP1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Future!$G$71</c:f>
              <c:numCache>
                <c:ptCount val="1"/>
                <c:pt idx="0">
                  <c:v>36.14214472531048</c:v>
                </c:pt>
              </c:numCache>
            </c:numRef>
          </c:val>
        </c:ser>
        <c:ser>
          <c:idx val="7"/>
          <c:order val="7"/>
          <c:tx>
            <c:strRef>
              <c:f>Future!$H$7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Future!$H$71</c:f>
              <c:numCache>
                <c:ptCount val="1"/>
                <c:pt idx="0">
                  <c:v>48.17074911434398</c:v>
                </c:pt>
              </c:numCache>
            </c:numRef>
          </c:val>
        </c:ser>
        <c:ser>
          <c:idx val="8"/>
          <c:order val="8"/>
          <c:tx>
            <c:strRef>
              <c:f>Future!$I$7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Future!$I$71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Future!$J$7</c:f>
              <c:strCache>
                <c:ptCount val="1"/>
                <c:pt idx="0">
                  <c:v>Vindenergi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Future!$J$71</c:f>
              <c:numCache>
                <c:ptCount val="1"/>
                <c:pt idx="0">
                  <c:v>499.84512623691114</c:v>
                </c:pt>
              </c:numCache>
            </c:numRef>
          </c:val>
        </c:ser>
        <c:ser>
          <c:idx val="10"/>
          <c:order val="10"/>
          <c:tx>
            <c:strRef>
              <c:f>Future!$K$7</c:f>
              <c:strCache>
                <c:ptCount val="1"/>
                <c:pt idx="0">
                  <c:v>Bølgeenergi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Future!$K$71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Future!$L$7</c:f>
              <c:strCache>
                <c:ptCount val="1"/>
                <c:pt idx="0">
                  <c:v>Vandkraft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Future!$L$71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Future!$M$7</c:f>
              <c:strCache>
                <c:ptCount val="1"/>
                <c:pt idx="0">
                  <c:v>Solenergi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Future!$M$71</c:f>
              <c:numCache>
                <c:ptCount val="1"/>
                <c:pt idx="0">
                  <c:v>8.60658240177089</c:v>
                </c:pt>
              </c:numCache>
            </c:numRef>
          </c:val>
        </c:ser>
        <c:ser>
          <c:idx val="13"/>
          <c:order val="13"/>
          <c:tx>
            <c:strRef>
              <c:f>Future!$N$7</c:f>
              <c:strCache>
                <c:ptCount val="1"/>
                <c:pt idx="0">
                  <c:v>Geotermi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Future!$N$71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Future!$O$7</c:f>
              <c:strCache>
                <c:ptCount val="1"/>
                <c:pt idx="0">
                  <c:v>Husdyrsgødning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Future!$O$71</c:f>
              <c:numCache>
                <c:ptCount val="1"/>
                <c:pt idx="0">
                  <c:v>46</c:v>
                </c:pt>
              </c:numCache>
            </c:numRef>
          </c:val>
        </c:ser>
        <c:ser>
          <c:idx val="15"/>
          <c:order val="15"/>
          <c:tx>
            <c:strRef>
              <c:f>Future!$P$7</c:f>
              <c:strCache>
                <c:ptCount val="1"/>
                <c:pt idx="0">
                  <c:v>Afgasset fibre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Future!$P$71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Future!$Q$7</c:f>
              <c:strCache>
                <c:ptCount val="1"/>
                <c:pt idx="0">
                  <c:v>Bioolieog energiafgrøder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Future!$Q$71</c:f>
              <c:numCache>
                <c:ptCount val="1"/>
                <c:pt idx="0">
                  <c:v>49</c:v>
                </c:pt>
              </c:numCache>
            </c:numRef>
          </c:val>
        </c:ser>
        <c:ser>
          <c:idx val="17"/>
          <c:order val="17"/>
          <c:tx>
            <c:strRef>
              <c:f>Future!$R$7</c:f>
              <c:strCache>
                <c:ptCount val="1"/>
                <c:pt idx="0">
                  <c:v>Eksport rapsolie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Future!$R$71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Future!$S$7</c:f>
              <c:strCache>
                <c:ptCount val="1"/>
                <c:pt idx="0">
                  <c:v>Halm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Future!$S$71</c:f>
              <c:numCache>
                <c:ptCount val="1"/>
                <c:pt idx="0">
                  <c:v>74.43602459981159</c:v>
                </c:pt>
              </c:numCache>
            </c:numRef>
          </c:val>
        </c:ser>
        <c:ser>
          <c:idx val="19"/>
          <c:order val="19"/>
          <c:tx>
            <c:strRef>
              <c:f>Future!$T$7</c:f>
              <c:strCache>
                <c:ptCount val="1"/>
                <c:pt idx="0">
                  <c:v>Brænde og træflis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Future!$T$71</c:f>
              <c:numCache>
                <c:ptCount val="1"/>
                <c:pt idx="0">
                  <c:v>53.134140566939166</c:v>
                </c:pt>
              </c:numCache>
            </c:numRef>
          </c:val>
        </c:ser>
        <c:ser>
          <c:idx val="20"/>
          <c:order val="20"/>
          <c:tx>
            <c:strRef>
              <c:f>Future!$U$7</c:f>
              <c:strCache>
                <c:ptCount val="1"/>
                <c:pt idx="0">
                  <c:v>Import, Brænde og træflis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Future!$U$71</c:f>
              <c:numCache>
                <c:ptCount val="1"/>
                <c:pt idx="0">
                  <c:v>5.903793396326574</c:v>
                </c:pt>
              </c:numCache>
            </c:numRef>
          </c:val>
        </c:ser>
        <c:ser>
          <c:idx val="21"/>
          <c:order val="21"/>
          <c:tx>
            <c:strRef>
              <c:f>Future!$V$7</c:f>
              <c:strCache>
                <c:ptCount val="1"/>
                <c:pt idx="0">
                  <c:v>Træpiller og træaffald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Future!$V$71</c:f>
              <c:numCache>
                <c:ptCount val="1"/>
                <c:pt idx="0">
                  <c:v>12.297188002972712</c:v>
                </c:pt>
              </c:numCache>
            </c:numRef>
          </c:val>
        </c:ser>
        <c:ser>
          <c:idx val="22"/>
          <c:order val="22"/>
          <c:tx>
            <c:strRef>
              <c:f>Future!$W$7</c:f>
              <c:strCache>
                <c:ptCount val="1"/>
                <c:pt idx="0">
                  <c:v>Import, træpiller og træaffald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Future!$W$71</c:f>
              <c:numCache>
                <c:ptCount val="1"/>
                <c:pt idx="0">
                  <c:v>18.91394906040981</c:v>
                </c:pt>
              </c:numCache>
            </c:numRef>
          </c:val>
        </c:ser>
        <c:ser>
          <c:idx val="23"/>
          <c:order val="23"/>
          <c:tx>
            <c:strRef>
              <c:f>Future!$X$7</c:f>
              <c:strCache>
                <c:ptCount val="1"/>
                <c:pt idx="0">
                  <c:v>Organisk affald, industri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Future!$X$71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Future!$Y$7</c:f>
              <c:strCache>
                <c:ptCount val="1"/>
                <c:pt idx="0">
                  <c:v>Organisk affald, husholdninger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Future!$Y$71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Future!$Z$7</c:f>
              <c:strCache>
                <c:ptCount val="1"/>
                <c:pt idx="0">
                  <c:v>Deponi, slam, renseanlæg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Future!$Z$71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tx>
            <c:strRef>
              <c:f>Future!$AA$7</c:f>
              <c:strCache>
                <c:ptCount val="1"/>
                <c:pt idx="0">
                  <c:v>Varmekilder til varmepumper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Future!$AA$71</c:f>
              <c:numCache>
                <c:ptCount val="1"/>
                <c:pt idx="0">
                  <c:v>59.135559102020935</c:v>
                </c:pt>
              </c:numCache>
            </c:numRef>
          </c:val>
        </c:ser>
        <c:ser>
          <c:idx val="27"/>
          <c:order val="27"/>
          <c:tx>
            <c:strRef>
              <c:f>Future!$AB$7</c:f>
              <c:strCache>
                <c:ptCount val="1"/>
                <c:pt idx="0">
                  <c:v>Restaffald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Future!$AB$71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0619783"/>
        <c:axId val="8707136"/>
      </c:bar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"/>
          <c:w val="0.296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10</xdr:col>
      <xdr:colOff>409575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09600" y="495300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19050</xdr:rowOff>
    </xdr:from>
    <xdr:to>
      <xdr:col>10</xdr:col>
      <xdr:colOff>419100</xdr:colOff>
      <xdr:row>54</xdr:row>
      <xdr:rowOff>114300</xdr:rowOff>
    </xdr:to>
    <xdr:graphicFrame>
      <xdr:nvGraphicFramePr>
        <xdr:cNvPr id="2" name="Chart 3"/>
        <xdr:cNvGraphicFramePr/>
      </xdr:nvGraphicFramePr>
      <xdr:xfrm>
        <a:off x="619125" y="5038725"/>
        <a:ext cx="58959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59</xdr:row>
      <xdr:rowOff>0</xdr:rowOff>
    </xdr:from>
    <xdr:to>
      <xdr:col>10</xdr:col>
      <xdr:colOff>400050</xdr:colOff>
      <xdr:row>82</xdr:row>
      <xdr:rowOff>95250</xdr:rowOff>
    </xdr:to>
    <xdr:graphicFrame>
      <xdr:nvGraphicFramePr>
        <xdr:cNvPr id="3" name="Chart 4"/>
        <xdr:cNvGraphicFramePr/>
      </xdr:nvGraphicFramePr>
      <xdr:xfrm>
        <a:off x="600075" y="9553575"/>
        <a:ext cx="58959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showGridLines="0" showZeros="0" tabSelected="1" zoomScale="85" zoomScaleNormal="85" zoomScalePageLayoutView="0" workbookViewId="0" topLeftCell="A1">
      <pane ySplit="7" topLeftCell="BM32" activePane="bottomLeft" state="frozen"/>
      <selection pane="topLeft" activeCell="O53" sqref="O53"/>
      <selection pane="bottomLeft" activeCell="T73" sqref="O73:T73"/>
    </sheetView>
  </sheetViews>
  <sheetFormatPr defaultColWidth="9.140625" defaultRowHeight="12.75"/>
  <cols>
    <col min="1" max="1" width="10.140625" style="0" bestFit="1" customWidth="1"/>
    <col min="2" max="2" width="5.7109375" style="6" customWidth="1"/>
    <col min="3" max="3" width="8.57421875" style="0" customWidth="1"/>
    <col min="4" max="4" width="7.140625" style="0" customWidth="1"/>
    <col min="5" max="5" width="6.421875" style="0" customWidth="1"/>
    <col min="6" max="6" width="8.421875" style="0" customWidth="1"/>
    <col min="7" max="7" width="6.140625" style="6" customWidth="1"/>
    <col min="8" max="8" width="8.140625" style="0" customWidth="1"/>
    <col min="9" max="9" width="7.00390625" style="0" bestFit="1" customWidth="1"/>
    <col min="10" max="10" width="6.8515625" style="0" customWidth="1"/>
    <col min="11" max="16" width="5.7109375" style="0" customWidth="1"/>
    <col min="17" max="17" width="6.57421875" style="0" customWidth="1"/>
    <col min="18" max="18" width="6.28125" style="0" customWidth="1"/>
    <col min="19" max="19" width="6.421875" style="0" bestFit="1" customWidth="1"/>
    <col min="20" max="20" width="7.421875" style="0" customWidth="1"/>
    <col min="21" max="21" width="6.140625" style="0" customWidth="1"/>
    <col min="22" max="25" width="5.7109375" style="0" customWidth="1"/>
    <col min="26" max="26" width="5.7109375" style="6" customWidth="1"/>
    <col min="27" max="27" width="5.7109375" style="0" customWidth="1"/>
    <col min="28" max="28" width="7.140625" style="0" customWidth="1"/>
    <col min="29" max="29" width="8.7109375" style="0" customWidth="1"/>
    <col min="30" max="30" width="52.140625" style="0" bestFit="1" customWidth="1"/>
    <col min="31" max="35" width="5.7109375" style="0" customWidth="1"/>
    <col min="37" max="37" width="6.421875" style="0" customWidth="1"/>
    <col min="38" max="38" width="8.140625" style="0" bestFit="1" customWidth="1"/>
    <col min="39" max="39" width="6.8515625" style="0" customWidth="1"/>
    <col min="40" max="40" width="7.57421875" style="0" customWidth="1"/>
    <col min="41" max="41" width="6.57421875" style="0" customWidth="1"/>
    <col min="42" max="42" width="7.28125" style="0" bestFit="1" customWidth="1"/>
    <col min="43" max="43" width="5.7109375" style="0" hidden="1" customWidth="1"/>
    <col min="44" max="48" width="5.7109375" style="0" customWidth="1"/>
    <col min="49" max="49" width="6.421875" style="6" bestFit="1" customWidth="1"/>
    <col min="50" max="51" width="5.7109375" style="0" customWidth="1"/>
    <col min="52" max="52" width="7.28125" style="0" bestFit="1" customWidth="1"/>
  </cols>
  <sheetData>
    <row r="1" spans="1:11" s="6" customFormat="1" ht="12.75">
      <c r="A1" s="112" t="s">
        <v>0</v>
      </c>
      <c r="B1" s="113"/>
      <c r="C1" s="113" t="s">
        <v>194</v>
      </c>
      <c r="D1" s="113"/>
      <c r="E1" s="113"/>
      <c r="F1" s="112" t="s">
        <v>5</v>
      </c>
      <c r="G1" s="113"/>
      <c r="H1" s="113"/>
      <c r="I1" s="113"/>
      <c r="J1" s="164">
        <v>4130</v>
      </c>
      <c r="K1" s="165"/>
    </row>
    <row r="2" spans="1:11" s="6" customFormat="1" ht="12.75">
      <c r="A2" s="114" t="s">
        <v>1</v>
      </c>
      <c r="B2" s="115"/>
      <c r="C2" s="115" t="s">
        <v>195</v>
      </c>
      <c r="D2" s="115"/>
      <c r="E2" s="115"/>
      <c r="F2" s="114" t="s">
        <v>73</v>
      </c>
      <c r="G2" s="115"/>
      <c r="H2" s="115"/>
      <c r="I2" s="115"/>
      <c r="J2" s="115"/>
      <c r="K2" s="14">
        <v>92.7</v>
      </c>
    </row>
    <row r="3" spans="1:11" s="6" customFormat="1" ht="13.5" thickBot="1">
      <c r="A3" s="116" t="s">
        <v>2</v>
      </c>
      <c r="B3" s="117"/>
      <c r="C3" s="117" t="s">
        <v>3</v>
      </c>
      <c r="D3" s="117" t="s">
        <v>4</v>
      </c>
      <c r="E3" s="117"/>
      <c r="F3" s="116"/>
      <c r="G3" s="117"/>
      <c r="H3" s="117"/>
      <c r="I3" s="117"/>
      <c r="J3" s="117"/>
      <c r="K3" s="118"/>
    </row>
    <row r="4" spans="1:53" ht="13.5" thickBot="1">
      <c r="A4" s="6"/>
      <c r="C4" s="6"/>
      <c r="D4" s="6"/>
      <c r="E4" s="6"/>
      <c r="F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X4" s="6"/>
      <c r="AY4" s="6"/>
      <c r="AZ4" s="6"/>
      <c r="BA4" s="6"/>
    </row>
    <row r="5" spans="1:52" ht="13.5" thickBot="1">
      <c r="A5" s="119"/>
      <c r="B5" s="120"/>
      <c r="C5" s="121"/>
      <c r="D5" s="121"/>
      <c r="E5" s="121"/>
      <c r="F5" s="121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2" t="s">
        <v>196</v>
      </c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3"/>
    </row>
    <row r="6" spans="1:52" ht="13.5" thickBot="1">
      <c r="A6" s="119" t="s">
        <v>6</v>
      </c>
      <c r="B6" s="120"/>
      <c r="C6" s="121"/>
      <c r="D6" s="121"/>
      <c r="E6" s="121"/>
      <c r="F6" s="121"/>
      <c r="G6" s="120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2" t="s">
        <v>27</v>
      </c>
      <c r="AE6" s="121" t="s">
        <v>29</v>
      </c>
      <c r="AF6" s="121"/>
      <c r="AG6" s="121"/>
      <c r="AH6" s="121"/>
      <c r="AI6" s="121"/>
      <c r="AJ6" s="119" t="s">
        <v>33</v>
      </c>
      <c r="AK6" s="123"/>
      <c r="AL6" s="119" t="s">
        <v>34</v>
      </c>
      <c r="AM6" s="123"/>
      <c r="AN6" s="121" t="s">
        <v>37</v>
      </c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3"/>
    </row>
    <row r="7" spans="1:52" s="1" customFormat="1" ht="106.5" thickBot="1">
      <c r="A7" s="124" t="s">
        <v>118</v>
      </c>
      <c r="B7" s="125" t="s">
        <v>7</v>
      </c>
      <c r="C7" s="126" t="s">
        <v>8</v>
      </c>
      <c r="D7" s="126" t="s">
        <v>9</v>
      </c>
      <c r="E7" s="125" t="s">
        <v>10</v>
      </c>
      <c r="F7" s="126" t="s">
        <v>11</v>
      </c>
      <c r="G7" s="125" t="s">
        <v>117</v>
      </c>
      <c r="H7" s="126" t="s">
        <v>12</v>
      </c>
      <c r="I7" s="126" t="s">
        <v>13</v>
      </c>
      <c r="J7" s="125" t="s">
        <v>14</v>
      </c>
      <c r="K7" s="126" t="s">
        <v>15</v>
      </c>
      <c r="L7" s="126" t="s">
        <v>16</v>
      </c>
      <c r="M7" s="126" t="s">
        <v>17</v>
      </c>
      <c r="N7" s="126" t="s">
        <v>18</v>
      </c>
      <c r="O7" s="125" t="s">
        <v>19</v>
      </c>
      <c r="P7" s="126" t="s">
        <v>115</v>
      </c>
      <c r="Q7" s="125" t="s">
        <v>202</v>
      </c>
      <c r="R7" s="125" t="s">
        <v>201</v>
      </c>
      <c r="S7" s="126" t="s">
        <v>21</v>
      </c>
      <c r="T7" s="125" t="s">
        <v>22</v>
      </c>
      <c r="U7" s="125" t="s">
        <v>119</v>
      </c>
      <c r="V7" s="125" t="s">
        <v>23</v>
      </c>
      <c r="W7" s="125" t="s">
        <v>120</v>
      </c>
      <c r="X7" s="126" t="s">
        <v>24</v>
      </c>
      <c r="Y7" s="126" t="s">
        <v>25</v>
      </c>
      <c r="Z7" s="126" t="s">
        <v>114</v>
      </c>
      <c r="AA7" s="126" t="s">
        <v>116</v>
      </c>
      <c r="AB7" s="126" t="s">
        <v>26</v>
      </c>
      <c r="AC7" s="127" t="s">
        <v>113</v>
      </c>
      <c r="AD7" s="128" t="s">
        <v>28</v>
      </c>
      <c r="AE7" s="129" t="s">
        <v>30</v>
      </c>
      <c r="AF7" s="126" t="s">
        <v>31</v>
      </c>
      <c r="AG7" s="126" t="s">
        <v>32</v>
      </c>
      <c r="AH7" s="126" t="s">
        <v>33</v>
      </c>
      <c r="AI7" s="127" t="s">
        <v>34</v>
      </c>
      <c r="AJ7" s="129" t="s">
        <v>35</v>
      </c>
      <c r="AK7" s="127" t="s">
        <v>36</v>
      </c>
      <c r="AL7" s="129" t="s">
        <v>35</v>
      </c>
      <c r="AM7" s="127" t="s">
        <v>36</v>
      </c>
      <c r="AN7" s="130" t="s">
        <v>38</v>
      </c>
      <c r="AO7" s="126" t="s">
        <v>39</v>
      </c>
      <c r="AP7" s="126" t="s">
        <v>40</v>
      </c>
      <c r="AQ7" s="126"/>
      <c r="AR7" s="126" t="s">
        <v>42</v>
      </c>
      <c r="AS7" s="126" t="s">
        <v>43</v>
      </c>
      <c r="AT7" s="126" t="s">
        <v>44</v>
      </c>
      <c r="AU7" s="126" t="s">
        <v>45</v>
      </c>
      <c r="AV7" s="126" t="s">
        <v>46</v>
      </c>
      <c r="AW7" s="126" t="s">
        <v>47</v>
      </c>
      <c r="AX7" s="131" t="s">
        <v>48</v>
      </c>
      <c r="AY7" s="131" t="s">
        <v>49</v>
      </c>
      <c r="AZ7" s="127" t="s">
        <v>41</v>
      </c>
    </row>
    <row r="8" spans="1:52" s="6" customFormat="1" ht="12.75">
      <c r="A8" s="132"/>
      <c r="B8" s="13">
        <v>2.667361105501586</v>
      </c>
      <c r="C8" s="133"/>
      <c r="D8" s="133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>
        <f aca="true" t="shared" si="0" ref="AC8:AC70">SUM(A8:AB8)</f>
        <v>2.667361105501586</v>
      </c>
      <c r="AD8" s="41" t="s">
        <v>50</v>
      </c>
      <c r="AE8" s="42"/>
      <c r="AF8" s="43"/>
      <c r="AG8" s="43">
        <v>38</v>
      </c>
      <c r="AH8" s="43"/>
      <c r="AI8" s="44"/>
      <c r="AJ8" s="42"/>
      <c r="AK8" s="44"/>
      <c r="AL8" s="42"/>
      <c r="AM8" s="44"/>
      <c r="AN8" s="42">
        <f>SUM(AO8:AZ8,-AQ8)</f>
        <v>1.0135972200906027</v>
      </c>
      <c r="AO8" s="43"/>
      <c r="AP8" s="43"/>
      <c r="AQ8" s="43"/>
      <c r="AR8" s="43">
        <f>AC8*AG8/100*0.2</f>
        <v>0.20271944401812056</v>
      </c>
      <c r="AS8" s="43"/>
      <c r="AT8" s="43"/>
      <c r="AU8" s="43"/>
      <c r="AV8" s="43"/>
      <c r="AW8" s="43">
        <f>AC8*AG8/100*0.6</f>
        <v>0.6081583320543616</v>
      </c>
      <c r="AX8" s="43"/>
      <c r="AY8" s="43"/>
      <c r="AZ8" s="44">
        <f>AC8*AG8/100*0.2</f>
        <v>0.20271944401812056</v>
      </c>
    </row>
    <row r="9" spans="1:52" s="6" customFormat="1" ht="12.75">
      <c r="A9" s="134"/>
      <c r="B9" s="135"/>
      <c r="C9" s="135"/>
      <c r="D9" s="13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>
        <f t="shared" si="0"/>
        <v>0</v>
      </c>
      <c r="AD9" s="48" t="s">
        <v>51</v>
      </c>
      <c r="AE9" s="45"/>
      <c r="AF9" s="46">
        <v>44</v>
      </c>
      <c r="AG9" s="46"/>
      <c r="AH9" s="46"/>
      <c r="AI9" s="47"/>
      <c r="AJ9" s="45">
        <f aca="true" t="shared" si="1" ref="AJ9:AJ15">-AK9/$K$2%</f>
        <v>-5.588439587275276</v>
      </c>
      <c r="AK9" s="47">
        <f>AN9/AF9%</f>
        <v>5.180483497404181</v>
      </c>
      <c r="AL9" s="45"/>
      <c r="AM9" s="47"/>
      <c r="AN9" s="45">
        <f aca="true" t="shared" si="2" ref="AN9:AN70">SUM(AO9:AZ9,-AQ9)</f>
        <v>2.2794127388578396</v>
      </c>
      <c r="AO9" s="46"/>
      <c r="AP9" s="46"/>
      <c r="AQ9" s="46"/>
      <c r="AR9" s="46">
        <v>2.2794127388578396</v>
      </c>
      <c r="AS9" s="46"/>
      <c r="AT9" s="46"/>
      <c r="AU9" s="46"/>
      <c r="AV9" s="46"/>
      <c r="AW9" s="46"/>
      <c r="AX9" s="46"/>
      <c r="AY9" s="46"/>
      <c r="AZ9" s="47"/>
    </row>
    <row r="10" spans="1:52" s="6" customFormat="1" ht="12.75">
      <c r="A10" s="134"/>
      <c r="B10" s="135"/>
      <c r="C10" s="135"/>
      <c r="D10" s="13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>
        <f t="shared" si="0"/>
        <v>0</v>
      </c>
      <c r="AD10" s="48" t="s">
        <v>52</v>
      </c>
      <c r="AE10" s="45"/>
      <c r="AF10" s="46"/>
      <c r="AG10" s="46">
        <v>90</v>
      </c>
      <c r="AH10" s="46"/>
      <c r="AI10" s="47"/>
      <c r="AJ10" s="45">
        <f t="shared" si="1"/>
        <v>-0.9428020521534696</v>
      </c>
      <c r="AK10" s="47">
        <f>AN10/AG10%</f>
        <v>0.8739775023462664</v>
      </c>
      <c r="AL10" s="45"/>
      <c r="AM10" s="47"/>
      <c r="AN10" s="45">
        <f t="shared" si="2"/>
        <v>0.7865797521116398</v>
      </c>
      <c r="AO10" s="46">
        <v>0.7865797521116398</v>
      </c>
      <c r="AP10" s="49"/>
      <c r="AQ10" s="46"/>
      <c r="AR10" s="46"/>
      <c r="AS10" s="46"/>
      <c r="AT10" s="46"/>
      <c r="AU10" s="46"/>
      <c r="AV10" s="46"/>
      <c r="AW10" s="46"/>
      <c r="AX10" s="46"/>
      <c r="AY10" s="46"/>
      <c r="AZ10" s="47"/>
    </row>
    <row r="11" spans="1:52" s="6" customFormat="1" ht="12.75">
      <c r="A11" s="134"/>
      <c r="B11" s="135"/>
      <c r="C11" s="135"/>
      <c r="D11" s="13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>
        <f t="shared" si="0"/>
        <v>0</v>
      </c>
      <c r="AD11" s="48" t="s">
        <v>53</v>
      </c>
      <c r="AE11" s="45"/>
      <c r="AF11" s="46"/>
      <c r="AG11" s="46">
        <v>100</v>
      </c>
      <c r="AH11" s="46"/>
      <c r="AI11" s="47"/>
      <c r="AJ11" s="45">
        <f t="shared" si="1"/>
        <v>-4.000174421279721</v>
      </c>
      <c r="AK11" s="47">
        <f>AN11/AG11%</f>
        <v>3.7081616885263013</v>
      </c>
      <c r="AL11" s="45"/>
      <c r="AM11" s="47"/>
      <c r="AN11" s="45">
        <f t="shared" si="2"/>
        <v>3.7081616885263013</v>
      </c>
      <c r="AO11" s="46"/>
      <c r="AP11" s="46">
        <v>3.7081616885263013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1:52" s="6" customFormat="1" ht="12.75">
      <c r="A12" s="134"/>
      <c r="B12" s="135"/>
      <c r="C12" s="135"/>
      <c r="D12" s="13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>
        <f t="shared" si="0"/>
        <v>0</v>
      </c>
      <c r="AD12" s="48" t="s">
        <v>86</v>
      </c>
      <c r="AE12" s="45"/>
      <c r="AF12" s="46">
        <v>50</v>
      </c>
      <c r="AG12" s="46"/>
      <c r="AH12" s="46"/>
      <c r="AI12" s="47"/>
      <c r="AJ12" s="45">
        <f t="shared" si="1"/>
        <v>-17.38517094671675</v>
      </c>
      <c r="AK12" s="47">
        <f>AN12/AF12%</f>
        <v>16.11605346760643</v>
      </c>
      <c r="AL12" s="45"/>
      <c r="AM12" s="47"/>
      <c r="AN12" s="45">
        <f t="shared" si="2"/>
        <v>8.058026733803215</v>
      </c>
      <c r="AO12" s="46"/>
      <c r="AP12" s="46"/>
      <c r="AQ12" s="46"/>
      <c r="AR12" s="46">
        <v>2.5902417487020912</v>
      </c>
      <c r="AS12" s="46">
        <v>1.640675736</v>
      </c>
      <c r="AT12" s="46">
        <v>0.41181975</v>
      </c>
      <c r="AU12" s="46">
        <v>1.23061275</v>
      </c>
      <c r="AV12" s="46">
        <v>0.021502476</v>
      </c>
      <c r="AW12" s="46">
        <v>0.15726884400000002</v>
      </c>
      <c r="AX12" s="46">
        <v>0.028623239999999998</v>
      </c>
      <c r="AY12" s="46">
        <v>1.9772821891011234</v>
      </c>
      <c r="AZ12" s="47"/>
    </row>
    <row r="13" spans="1:52" s="6" customFormat="1" ht="12.75">
      <c r="A13" s="134"/>
      <c r="B13" s="135"/>
      <c r="C13" s="135"/>
      <c r="D13" s="13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>
        <f t="shared" si="0"/>
        <v>0</v>
      </c>
      <c r="AD13" s="48" t="s">
        <v>87</v>
      </c>
      <c r="AE13" s="45"/>
      <c r="AF13" s="46">
        <v>150</v>
      </c>
      <c r="AG13" s="46"/>
      <c r="AH13" s="46"/>
      <c r="AI13" s="47"/>
      <c r="AJ13" s="45">
        <f t="shared" si="1"/>
        <v>-11.946545055010855</v>
      </c>
      <c r="AK13" s="47">
        <f>AN13/AF13%</f>
        <v>11.074447265995063</v>
      </c>
      <c r="AL13" s="45"/>
      <c r="AM13" s="47"/>
      <c r="AN13" s="45">
        <f t="shared" si="2"/>
        <v>16.611670898992596</v>
      </c>
      <c r="AO13" s="46"/>
      <c r="AP13" s="46"/>
      <c r="AQ13" s="46"/>
      <c r="AR13" s="46">
        <v>9.174469161531922</v>
      </c>
      <c r="AS13" s="46">
        <v>0</v>
      </c>
      <c r="AT13" s="46">
        <v>1.3837143600000001</v>
      </c>
      <c r="AU13" s="46">
        <v>4.134858840000001</v>
      </c>
      <c r="AV13" s="46">
        <v>0.086009904</v>
      </c>
      <c r="AW13" s="46">
        <v>0.6290753760000001</v>
      </c>
      <c r="AX13" s="46">
        <v>0.017173943999999997</v>
      </c>
      <c r="AY13" s="46">
        <v>1.1863693134606743</v>
      </c>
      <c r="AZ13" s="47"/>
    </row>
    <row r="14" spans="1:52" s="6" customFormat="1" ht="12.75">
      <c r="A14" s="134"/>
      <c r="B14" s="135"/>
      <c r="C14" s="135"/>
      <c r="D14" s="13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>
        <f t="shared" si="0"/>
        <v>0</v>
      </c>
      <c r="AD14" s="48" t="s">
        <v>88</v>
      </c>
      <c r="AE14" s="45"/>
      <c r="AF14" s="46">
        <v>85</v>
      </c>
      <c r="AG14" s="46"/>
      <c r="AH14" s="46"/>
      <c r="AI14" s="47"/>
      <c r="AJ14" s="45">
        <f t="shared" si="1"/>
        <v>-63.698547213747375</v>
      </c>
      <c r="AK14" s="47">
        <f>AN14/AF14%</f>
        <v>59.04855326714382</v>
      </c>
      <c r="AL14" s="45"/>
      <c r="AM14" s="47"/>
      <c r="AN14" s="45">
        <f t="shared" si="2"/>
        <v>50.19127027707224</v>
      </c>
      <c r="AO14" s="46"/>
      <c r="AP14" s="46"/>
      <c r="AQ14" s="46"/>
      <c r="AR14" s="46">
        <v>14.403415246492466</v>
      </c>
      <c r="AS14" s="46">
        <v>7.5410318088</v>
      </c>
      <c r="AT14" s="46">
        <v>1.3161759210000001</v>
      </c>
      <c r="AU14" s="46">
        <v>3.9330383489999994</v>
      </c>
      <c r="AV14" s="46">
        <v>0.5239436651999999</v>
      </c>
      <c r="AW14" s="46">
        <v>3.8321174987999997</v>
      </c>
      <c r="AX14" s="46">
        <v>0.26600531040000003</v>
      </c>
      <c r="AY14" s="46">
        <v>18.375542477379778</v>
      </c>
      <c r="AZ14" s="47"/>
    </row>
    <row r="15" spans="1:52" s="6" customFormat="1" ht="12.75">
      <c r="A15" s="134"/>
      <c r="B15" s="135"/>
      <c r="C15" s="135"/>
      <c r="D15" s="13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f>AN15-AK15</f>
        <v>0.4220031918188458</v>
      </c>
      <c r="AB15" s="46"/>
      <c r="AC15" s="47">
        <f>SUM(A15:AB15)</f>
        <v>0.4220031918188458</v>
      </c>
      <c r="AD15" s="48" t="s">
        <v>55</v>
      </c>
      <c r="AE15" s="45"/>
      <c r="AF15" s="46"/>
      <c r="AG15" s="46">
        <v>250</v>
      </c>
      <c r="AH15" s="46"/>
      <c r="AI15" s="47"/>
      <c r="AJ15" s="45">
        <f t="shared" si="1"/>
        <v>-0.30349024942024155</v>
      </c>
      <c r="AK15" s="47">
        <f>AN15/AG15%</f>
        <v>0.2813354612125639</v>
      </c>
      <c r="AL15" s="45"/>
      <c r="AM15" s="47"/>
      <c r="AN15" s="45">
        <f>SUM(AO15:AZ15,-AQ15)</f>
        <v>0.7033386530314097</v>
      </c>
      <c r="AO15" s="46">
        <v>0.12308426428049675</v>
      </c>
      <c r="AP15" s="46">
        <v>0.580254388750913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7"/>
    </row>
    <row r="16" spans="1:53" s="6" customFormat="1" ht="12.75">
      <c r="A16" s="136"/>
      <c r="B16" s="135"/>
      <c r="C16" s="137"/>
      <c r="D16" s="137"/>
      <c r="E16" s="76"/>
      <c r="F16" s="76"/>
      <c r="G16" s="46"/>
      <c r="H16" s="76"/>
      <c r="I16" s="76"/>
      <c r="J16" s="76"/>
      <c r="K16" s="76"/>
      <c r="L16" s="76"/>
      <c r="M16" s="7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>
        <f t="shared" si="0"/>
        <v>0</v>
      </c>
      <c r="AD16" s="48" t="s">
        <v>54</v>
      </c>
      <c r="AE16" s="75"/>
      <c r="AF16" s="76"/>
      <c r="AG16" s="76">
        <v>100</v>
      </c>
      <c r="AH16" s="76"/>
      <c r="AI16" s="77"/>
      <c r="AJ16" s="75"/>
      <c r="AK16" s="77"/>
      <c r="AL16" s="75"/>
      <c r="AM16" s="77"/>
      <c r="AN16" s="75">
        <f t="shared" si="2"/>
        <v>0</v>
      </c>
      <c r="AO16" s="76">
        <f>AC16*80%</f>
        <v>0</v>
      </c>
      <c r="AP16" s="76">
        <f>AC16-AO16</f>
        <v>0</v>
      </c>
      <c r="AQ16" s="76"/>
      <c r="AR16" s="76"/>
      <c r="AS16" s="76"/>
      <c r="AT16" s="76"/>
      <c r="AU16" s="76"/>
      <c r="AV16" s="76"/>
      <c r="AW16" s="76"/>
      <c r="AX16" s="76"/>
      <c r="AY16" s="76"/>
      <c r="AZ16" s="77"/>
      <c r="BA16"/>
    </row>
    <row r="17" spans="1:53" s="6" customFormat="1" ht="12.75">
      <c r="A17" s="138">
        <f>AE17%*AJ17</f>
        <v>-307.971894469136</v>
      </c>
      <c r="B17" s="135"/>
      <c r="C17" s="137"/>
      <c r="D17" s="137"/>
      <c r="E17" s="76"/>
      <c r="F17" s="76"/>
      <c r="G17" s="4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>
        <f t="shared" si="0"/>
        <v>-307.971894469136</v>
      </c>
      <c r="AD17" s="48" t="s">
        <v>118</v>
      </c>
      <c r="AE17" s="75">
        <v>100</v>
      </c>
      <c r="AF17" s="76"/>
      <c r="AG17" s="76"/>
      <c r="AH17" s="76"/>
      <c r="AI17" s="77"/>
      <c r="AJ17" s="75">
        <f>-SUM(AJ18:AJ70,AJ8:AJ16)</f>
        <v>-307.971894469136</v>
      </c>
      <c r="AK17" s="77"/>
      <c r="AL17" s="75"/>
      <c r="AM17" s="77"/>
      <c r="AN17" s="75">
        <f t="shared" si="2"/>
        <v>0</v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7"/>
      <c r="BA17"/>
    </row>
    <row r="18" spans="1:53" s="6" customFormat="1" ht="12.75">
      <c r="A18" s="136"/>
      <c r="B18" s="135"/>
      <c r="C18" s="137"/>
      <c r="D18" s="137"/>
      <c r="E18" s="7">
        <v>117</v>
      </c>
      <c r="F18" s="76"/>
      <c r="G18" s="4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>
        <f t="shared" si="0"/>
        <v>117</v>
      </c>
      <c r="AD18" s="48" t="s">
        <v>197</v>
      </c>
      <c r="AE18" s="75"/>
      <c r="AF18" s="76"/>
      <c r="AG18" s="76">
        <v>75</v>
      </c>
      <c r="AH18" s="76"/>
      <c r="AI18" s="77"/>
      <c r="AJ18" s="75"/>
      <c r="AK18" s="77"/>
      <c r="AL18" s="75"/>
      <c r="AM18" s="77"/>
      <c r="AN18" s="75">
        <f t="shared" si="2"/>
        <v>87.75</v>
      </c>
      <c r="AO18" s="76">
        <f>AC18*AG18/100*17.5%</f>
        <v>15.35625</v>
      </c>
      <c r="AP18" s="76">
        <f>AC18*AG18/100-AO18</f>
        <v>72.39375</v>
      </c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/>
    </row>
    <row r="19" spans="1:53" s="6" customFormat="1" ht="12.75">
      <c r="A19" s="136"/>
      <c r="B19" s="135"/>
      <c r="C19" s="137"/>
      <c r="D19" s="137"/>
      <c r="E19" s="7"/>
      <c r="F19" s="76"/>
      <c r="G19" s="4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>
        <f t="shared" si="0"/>
        <v>0</v>
      </c>
      <c r="AD19" s="48" t="s">
        <v>112</v>
      </c>
      <c r="AE19" s="75"/>
      <c r="AF19" s="76">
        <v>90</v>
      </c>
      <c r="AG19" s="76">
        <v>90</v>
      </c>
      <c r="AH19" s="76"/>
      <c r="AI19" s="77"/>
      <c r="AJ19" s="75"/>
      <c r="AK19" s="77"/>
      <c r="AL19" s="75"/>
      <c r="AM19" s="77"/>
      <c r="AN19" s="75">
        <f t="shared" si="2"/>
        <v>0</v>
      </c>
      <c r="AO19" s="76">
        <f>0*AG19%*17.5%</f>
        <v>0</v>
      </c>
      <c r="AP19" s="76">
        <f>0*AG19%*82.5%</f>
        <v>0</v>
      </c>
      <c r="AQ19" s="76"/>
      <c r="AR19" s="76"/>
      <c r="AS19" s="76"/>
      <c r="AT19" s="76"/>
      <c r="AU19" s="76"/>
      <c r="AV19" s="76"/>
      <c r="AW19" s="7">
        <f>0*AF19%</f>
        <v>0</v>
      </c>
      <c r="AX19" s="76"/>
      <c r="AY19" s="76"/>
      <c r="AZ19" s="77"/>
      <c r="BA19"/>
    </row>
    <row r="20" spans="1:53" s="6" customFormat="1" ht="12.75">
      <c r="A20" s="136"/>
      <c r="B20" s="135"/>
      <c r="C20" s="137"/>
      <c r="D20" s="137"/>
      <c r="E20" s="76"/>
      <c r="F20" s="76"/>
      <c r="G20" s="4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>
        <f t="shared" si="0"/>
        <v>0</v>
      </c>
      <c r="AD20" s="48" t="s">
        <v>109</v>
      </c>
      <c r="AE20" s="75"/>
      <c r="AF20" s="76"/>
      <c r="AG20" s="76">
        <v>80</v>
      </c>
      <c r="AH20" s="76"/>
      <c r="AI20" s="77"/>
      <c r="AJ20" s="75"/>
      <c r="AK20" s="77"/>
      <c r="AL20" s="75"/>
      <c r="AM20" s="77"/>
      <c r="AN20" s="75">
        <f t="shared" si="2"/>
        <v>0</v>
      </c>
      <c r="AO20" s="76">
        <f>AC20*AG20/100*17.5%</f>
        <v>0</v>
      </c>
      <c r="AP20" s="76">
        <f>AC20*AG20/100-AO20</f>
        <v>0</v>
      </c>
      <c r="AQ20" s="76"/>
      <c r="AR20" s="76"/>
      <c r="AS20" s="76"/>
      <c r="AT20" s="76"/>
      <c r="AU20" s="76"/>
      <c r="AV20" s="76"/>
      <c r="AW20" s="76"/>
      <c r="AX20" s="76"/>
      <c r="AY20" s="76"/>
      <c r="AZ20" s="77"/>
      <c r="BA20"/>
    </row>
    <row r="21" spans="1:53" s="6" customFormat="1" ht="12.75">
      <c r="A21" s="136"/>
      <c r="B21" s="135"/>
      <c r="C21" s="137"/>
      <c r="D21" s="137"/>
      <c r="E21" s="76"/>
      <c r="F21" s="76"/>
      <c r="G21" s="4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>
        <f t="shared" si="0"/>
        <v>0</v>
      </c>
      <c r="AD21" s="48" t="s">
        <v>198</v>
      </c>
      <c r="AE21" s="75"/>
      <c r="AF21" s="76"/>
      <c r="AG21" s="76">
        <v>90</v>
      </c>
      <c r="AH21" s="76"/>
      <c r="AI21" s="77"/>
      <c r="AJ21" s="75"/>
      <c r="AK21" s="77"/>
      <c r="AL21" s="75"/>
      <c r="AM21" s="77"/>
      <c r="AN21" s="75">
        <f t="shared" si="2"/>
        <v>0</v>
      </c>
      <c r="AO21" s="76">
        <f>AC21*AG21/100*17.5%</f>
        <v>0</v>
      </c>
      <c r="AP21" s="76">
        <f>AC21*AG21/100-AO21</f>
        <v>0</v>
      </c>
      <c r="AQ21" s="76"/>
      <c r="AR21" s="76"/>
      <c r="AS21" s="76"/>
      <c r="AT21" s="76"/>
      <c r="AU21" s="76"/>
      <c r="AV21" s="76"/>
      <c r="AW21" s="76"/>
      <c r="AX21" s="76"/>
      <c r="AY21" s="76"/>
      <c r="AZ21" s="77"/>
      <c r="BA21"/>
    </row>
    <row r="22" spans="1:53" s="6" customFormat="1" ht="12.75">
      <c r="A22" s="136"/>
      <c r="B22" s="135"/>
      <c r="C22" s="137"/>
      <c r="D22" s="137"/>
      <c r="E22" s="76"/>
      <c r="F22" s="76"/>
      <c r="G22" s="4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>
        <f t="shared" si="0"/>
        <v>0</v>
      </c>
      <c r="AD22" s="48" t="s">
        <v>111</v>
      </c>
      <c r="AE22" s="75"/>
      <c r="AF22" s="76">
        <v>90</v>
      </c>
      <c r="AG22" s="76">
        <v>90</v>
      </c>
      <c r="AH22" s="76"/>
      <c r="AI22" s="77"/>
      <c r="AJ22" s="75"/>
      <c r="AK22" s="77"/>
      <c r="AL22" s="75"/>
      <c r="AM22" s="77"/>
      <c r="AN22" s="75">
        <f t="shared" si="2"/>
        <v>0</v>
      </c>
      <c r="AO22" s="76">
        <f>(AC22*AG22/100*17.5%)*11.5%</f>
        <v>0</v>
      </c>
      <c r="AP22" s="76">
        <f>(AC22*AG22/100)*11.5%-AO22</f>
        <v>0</v>
      </c>
      <c r="AQ22" s="76"/>
      <c r="AR22" s="76"/>
      <c r="AS22" s="76"/>
      <c r="AT22" s="76"/>
      <c r="AU22" s="76"/>
      <c r="AV22" s="76"/>
      <c r="AW22" s="7">
        <f>AC22*AF22/100*88.5%</f>
        <v>0</v>
      </c>
      <c r="AX22" s="76"/>
      <c r="AY22" s="76"/>
      <c r="AZ22" s="77"/>
      <c r="BA22"/>
    </row>
    <row r="23" spans="1:52" s="6" customFormat="1" ht="12.75">
      <c r="A23" s="134"/>
      <c r="B23" s="135"/>
      <c r="C23" s="135"/>
      <c r="D23" s="13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f>24.9*39.4%</f>
        <v>9.810599999999999</v>
      </c>
      <c r="W23" s="46">
        <f>24.9*60.6%</f>
        <v>15.0894</v>
      </c>
      <c r="X23" s="46"/>
      <c r="Y23" s="46"/>
      <c r="Z23" s="46"/>
      <c r="AA23" s="46"/>
      <c r="AB23" s="46"/>
      <c r="AC23" s="47">
        <f t="shared" si="0"/>
        <v>24.9</v>
      </c>
      <c r="AD23" s="48" t="s">
        <v>56</v>
      </c>
      <c r="AE23" s="45"/>
      <c r="AF23" s="46"/>
      <c r="AG23" s="46">
        <v>70</v>
      </c>
      <c r="AH23" s="46"/>
      <c r="AI23" s="47"/>
      <c r="AJ23" s="45"/>
      <c r="AK23" s="47"/>
      <c r="AL23" s="45"/>
      <c r="AM23" s="47"/>
      <c r="AN23" s="45">
        <f t="shared" si="2"/>
        <v>17.43</v>
      </c>
      <c r="AO23" s="46">
        <f>AC23*AG23/100*17.5%</f>
        <v>3.0502499999999997</v>
      </c>
      <c r="AP23" s="46">
        <f>AC23*AG23/100-AO23</f>
        <v>14.37975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7"/>
    </row>
    <row r="24" spans="1:52" s="6" customFormat="1" ht="12.75">
      <c r="A24" s="134"/>
      <c r="B24" s="135"/>
      <c r="C24" s="135"/>
      <c r="D24" s="13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>
        <f>47.1*90%</f>
        <v>42.39</v>
      </c>
      <c r="U24" s="46">
        <f>47.1*10%</f>
        <v>4.71</v>
      </c>
      <c r="V24" s="46"/>
      <c r="W24" s="46"/>
      <c r="X24" s="46"/>
      <c r="Y24" s="46"/>
      <c r="Z24" s="46"/>
      <c r="AA24" s="46"/>
      <c r="AB24" s="46"/>
      <c r="AC24" s="47">
        <f t="shared" si="0"/>
        <v>47.1</v>
      </c>
      <c r="AD24" s="48" t="s">
        <v>57</v>
      </c>
      <c r="AE24" s="45"/>
      <c r="AF24" s="46"/>
      <c r="AG24" s="46">
        <v>60</v>
      </c>
      <c r="AH24" s="46"/>
      <c r="AI24" s="47"/>
      <c r="AJ24" s="45"/>
      <c r="AK24" s="47"/>
      <c r="AL24" s="45"/>
      <c r="AM24" s="47"/>
      <c r="AN24" s="45">
        <f t="shared" si="2"/>
        <v>28.26</v>
      </c>
      <c r="AO24" s="46">
        <f>AC24*AG24/100*17.5%</f>
        <v>4.9455</v>
      </c>
      <c r="AP24" s="46">
        <f>AC24*AG24/100-AO24</f>
        <v>23.314500000000002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7"/>
    </row>
    <row r="25" spans="1:52" s="6" customFormat="1" ht="12.75">
      <c r="A25" s="134"/>
      <c r="B25" s="135"/>
      <c r="C25" s="135"/>
      <c r="D25" s="13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>
        <v>6.4</v>
      </c>
      <c r="T25" s="46"/>
      <c r="U25" s="46"/>
      <c r="V25" s="46"/>
      <c r="W25" s="46"/>
      <c r="X25" s="46"/>
      <c r="Y25" s="46"/>
      <c r="Z25" s="46"/>
      <c r="AA25" s="46"/>
      <c r="AB25" s="46"/>
      <c r="AC25" s="47">
        <f t="shared" si="0"/>
        <v>6.4</v>
      </c>
      <c r="AD25" s="48" t="s">
        <v>58</v>
      </c>
      <c r="AE25" s="45"/>
      <c r="AF25" s="46"/>
      <c r="AG25" s="46">
        <v>60</v>
      </c>
      <c r="AH25" s="46"/>
      <c r="AI25" s="47"/>
      <c r="AJ25" s="45"/>
      <c r="AK25" s="47"/>
      <c r="AL25" s="45"/>
      <c r="AM25" s="47"/>
      <c r="AN25" s="45">
        <f t="shared" si="2"/>
        <v>3.84</v>
      </c>
      <c r="AO25" s="46">
        <f>AC25*AG25/100*17.5%</f>
        <v>0.6719999999999999</v>
      </c>
      <c r="AP25" s="46">
        <f>AC25*AG25/100-AO25</f>
        <v>3.168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7"/>
    </row>
    <row r="26" spans="1:52" s="6" customFormat="1" ht="12.75">
      <c r="A26" s="134"/>
      <c r="B26" s="135"/>
      <c r="C26" s="135"/>
      <c r="D26" s="13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>
        <f t="shared" si="0"/>
        <v>0</v>
      </c>
      <c r="AD26" s="48" t="s">
        <v>59</v>
      </c>
      <c r="AE26" s="45"/>
      <c r="AF26" s="46"/>
      <c r="AG26" s="46">
        <v>100</v>
      </c>
      <c r="AH26" s="46"/>
      <c r="AI26" s="47"/>
      <c r="AJ26" s="45"/>
      <c r="AK26" s="47"/>
      <c r="AL26" s="45"/>
      <c r="AM26" s="47"/>
      <c r="AN26" s="45">
        <f t="shared" si="2"/>
        <v>0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7"/>
    </row>
    <row r="27" spans="1:52" s="6" customFormat="1" ht="12.75">
      <c r="A27" s="134"/>
      <c r="B27" s="135"/>
      <c r="C27" s="135"/>
      <c r="D27" s="135"/>
      <c r="E27" s="46"/>
      <c r="F27" s="46"/>
      <c r="G27" s="46"/>
      <c r="H27" s="46"/>
      <c r="I27" s="46"/>
      <c r="J27" s="46"/>
      <c r="K27" s="46"/>
      <c r="L27" s="46"/>
      <c r="M27" s="46">
        <v>0.006582401770890979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>
        <f t="shared" si="0"/>
        <v>0.006582401770890979</v>
      </c>
      <c r="AD27" s="48" t="s">
        <v>60</v>
      </c>
      <c r="AE27" s="46">
        <v>100</v>
      </c>
      <c r="AF27" s="46"/>
      <c r="AG27" s="46"/>
      <c r="AH27" s="46"/>
      <c r="AI27" s="47"/>
      <c r="AJ27" s="45">
        <f>AC27*AE27/100</f>
        <v>0.00658240177089098</v>
      </c>
      <c r="AK27" s="47"/>
      <c r="AL27" s="45"/>
      <c r="AM27" s="47"/>
      <c r="AN27" s="45">
        <f t="shared" si="2"/>
        <v>0</v>
      </c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</row>
    <row r="28" spans="1:52" s="6" customFormat="1" ht="12.75">
      <c r="A28" s="135"/>
      <c r="B28" s="135"/>
      <c r="C28" s="135"/>
      <c r="D28" s="135"/>
      <c r="E28" s="46"/>
      <c r="F28" s="46"/>
      <c r="G28" s="46"/>
      <c r="H28" s="46"/>
      <c r="I28" s="46"/>
      <c r="J28" s="46">
        <v>411.83048159296874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>
        <f t="shared" si="0"/>
        <v>411.83048159296874</v>
      </c>
      <c r="AD28" s="48" t="s">
        <v>61</v>
      </c>
      <c r="AE28" s="46">
        <v>100</v>
      </c>
      <c r="AF28" s="46"/>
      <c r="AG28" s="46"/>
      <c r="AH28" s="46"/>
      <c r="AI28" s="47"/>
      <c r="AJ28" s="45">
        <f>AE28*AC28/100</f>
        <v>411.83048159296874</v>
      </c>
      <c r="AK28" s="47"/>
      <c r="AL28" s="45"/>
      <c r="AM28" s="47"/>
      <c r="AN28" s="45">
        <f t="shared" si="2"/>
        <v>0</v>
      </c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</row>
    <row r="29" spans="1:52" s="6" customFormat="1" ht="12.75">
      <c r="A29" s="135"/>
      <c r="B29" s="135"/>
      <c r="C29" s="135"/>
      <c r="D29" s="13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>
        <f t="shared" si="0"/>
        <v>0</v>
      </c>
      <c r="AD29" s="48" t="s">
        <v>62</v>
      </c>
      <c r="AE29" s="46">
        <v>100</v>
      </c>
      <c r="AF29" s="46"/>
      <c r="AG29" s="46"/>
      <c r="AH29" s="46"/>
      <c r="AI29" s="47"/>
      <c r="AJ29" s="45">
        <f>AC29</f>
        <v>0</v>
      </c>
      <c r="AK29" s="47"/>
      <c r="AL29" s="45"/>
      <c r="AM29" s="47"/>
      <c r="AN29" s="45">
        <f t="shared" si="2"/>
        <v>0</v>
      </c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7"/>
    </row>
    <row r="30" spans="1:52" s="6" customFormat="1" ht="12.75">
      <c r="A30" s="135"/>
      <c r="B30" s="135"/>
      <c r="C30" s="135"/>
      <c r="D30" s="13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>
        <f t="shared" si="0"/>
        <v>0</v>
      </c>
      <c r="AD30" s="48" t="s">
        <v>63</v>
      </c>
      <c r="AE30" s="46">
        <v>100</v>
      </c>
      <c r="AF30" s="46"/>
      <c r="AG30" s="46"/>
      <c r="AH30" s="46"/>
      <c r="AI30" s="47"/>
      <c r="AJ30" s="45"/>
      <c r="AK30" s="47"/>
      <c r="AL30" s="45"/>
      <c r="AM30" s="47"/>
      <c r="AN30" s="45">
        <f t="shared" si="2"/>
        <v>0</v>
      </c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7"/>
    </row>
    <row r="31" spans="1:52" s="6" customFormat="1" ht="12.75">
      <c r="A31" s="135"/>
      <c r="B31" s="135"/>
      <c r="C31" s="139"/>
      <c r="D31" s="13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>
        <f t="shared" si="0"/>
        <v>0</v>
      </c>
      <c r="AD31" s="48" t="s">
        <v>74</v>
      </c>
      <c r="AE31" s="45"/>
      <c r="AF31" s="46"/>
      <c r="AG31" s="46"/>
      <c r="AH31" s="46"/>
      <c r="AI31" s="47"/>
      <c r="AJ31" s="45">
        <f>AC31*AE31/100</f>
        <v>0</v>
      </c>
      <c r="AK31" s="47"/>
      <c r="AL31" s="45">
        <f>AC31*AG31/100</f>
        <v>0</v>
      </c>
      <c r="AM31" s="47"/>
      <c r="AN31" s="45">
        <f t="shared" si="2"/>
        <v>0</v>
      </c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7"/>
    </row>
    <row r="32" spans="1:52" s="6" customFormat="1" ht="12.75">
      <c r="A32" s="135"/>
      <c r="B32" s="135"/>
      <c r="C32" s="139"/>
      <c r="D32" s="13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>
        <f t="shared" si="0"/>
        <v>0</v>
      </c>
      <c r="AD32" s="48" t="s">
        <v>75</v>
      </c>
      <c r="AE32" s="45"/>
      <c r="AF32" s="46"/>
      <c r="AG32" s="46"/>
      <c r="AH32" s="46"/>
      <c r="AI32" s="47"/>
      <c r="AJ32" s="45">
        <f>AC32*AE32/100</f>
        <v>0</v>
      </c>
      <c r="AK32" s="47"/>
      <c r="AL32" s="45">
        <f>AC32*AG32</f>
        <v>0</v>
      </c>
      <c r="AM32" s="47"/>
      <c r="AN32" s="45">
        <f t="shared" si="2"/>
        <v>0</v>
      </c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7"/>
    </row>
    <row r="33" spans="1:52" s="6" customFormat="1" ht="12.75">
      <c r="A33" s="135"/>
      <c r="B33" s="135"/>
      <c r="C33" s="139"/>
      <c r="D33" s="13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>
        <f t="shared" si="0"/>
        <v>0</v>
      </c>
      <c r="AD33" s="48" t="s">
        <v>76</v>
      </c>
      <c r="AE33" s="45"/>
      <c r="AF33" s="46"/>
      <c r="AG33" s="46"/>
      <c r="AH33" s="46"/>
      <c r="AI33" s="47"/>
      <c r="AJ33" s="45">
        <f>AC33*AE33/100</f>
        <v>0</v>
      </c>
      <c r="AK33" s="47"/>
      <c r="AL33" s="45">
        <f>AC33*AG33</f>
        <v>0</v>
      </c>
      <c r="AM33" s="47"/>
      <c r="AN33" s="45">
        <f t="shared" si="2"/>
        <v>0</v>
      </c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7"/>
    </row>
    <row r="34" spans="1:52" s="6" customFormat="1" ht="12.75">
      <c r="A34" s="135"/>
      <c r="B34" s="139"/>
      <c r="C34" s="139"/>
      <c r="D34" s="13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>
        <f t="shared" si="0"/>
        <v>0</v>
      </c>
      <c r="AD34" s="48" t="s">
        <v>77</v>
      </c>
      <c r="AE34" s="45"/>
      <c r="AF34" s="46"/>
      <c r="AG34" s="46"/>
      <c r="AH34" s="46"/>
      <c r="AI34" s="47"/>
      <c r="AJ34" s="45"/>
      <c r="AK34" s="47"/>
      <c r="AL34" s="45">
        <f>AC34*AG34/100</f>
        <v>0</v>
      </c>
      <c r="AM34" s="47"/>
      <c r="AN34" s="45">
        <f t="shared" si="2"/>
        <v>0</v>
      </c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7"/>
    </row>
    <row r="35" spans="1:52" s="6" customFormat="1" ht="12.75">
      <c r="A35" s="135"/>
      <c r="B35" s="135"/>
      <c r="C35" s="139"/>
      <c r="D35" s="13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>
        <f t="shared" si="0"/>
        <v>0</v>
      </c>
      <c r="AD35" s="48" t="s">
        <v>78</v>
      </c>
      <c r="AE35" s="45"/>
      <c r="AF35" s="46"/>
      <c r="AG35" s="46"/>
      <c r="AH35" s="46"/>
      <c r="AI35" s="47"/>
      <c r="AJ35" s="45"/>
      <c r="AK35" s="47"/>
      <c r="AL35" s="45">
        <f>-SUM(AL31:AL34)</f>
        <v>0</v>
      </c>
      <c r="AM35" s="47">
        <f>-AL35*AI35/100</f>
        <v>0</v>
      </c>
      <c r="AN35" s="45">
        <f t="shared" si="2"/>
        <v>0</v>
      </c>
      <c r="AO35" s="46">
        <f>AM35*17.5%-AW35</f>
        <v>0</v>
      </c>
      <c r="AP35" s="46">
        <f>AM35-AO35-AW35</f>
        <v>0</v>
      </c>
      <c r="AQ35" s="46"/>
      <c r="AR35" s="46"/>
      <c r="AS35" s="46"/>
      <c r="AT35" s="46"/>
      <c r="AU35" s="46"/>
      <c r="AV35" s="46"/>
      <c r="AW35" s="7">
        <f>0*AM35/SUM($AM$35:$AM$52)</f>
        <v>0</v>
      </c>
      <c r="AX35" s="46"/>
      <c r="AY35" s="46"/>
      <c r="AZ35" s="47"/>
    </row>
    <row r="36" spans="1:52" s="6" customFormat="1" ht="12.75">
      <c r="A36" s="135"/>
      <c r="B36" s="135"/>
      <c r="C36" s="135"/>
      <c r="D36" s="13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>
        <f t="shared" si="0"/>
        <v>0</v>
      </c>
      <c r="AD36" s="48" t="s">
        <v>79</v>
      </c>
      <c r="AE36" s="45"/>
      <c r="AF36" s="46"/>
      <c r="AG36" s="46"/>
      <c r="AH36" s="46"/>
      <c r="AI36" s="47"/>
      <c r="AJ36" s="45">
        <f>AC36*AE36/100</f>
        <v>0</v>
      </c>
      <c r="AK36" s="47"/>
      <c r="AL36" s="45">
        <f>AC36*AG36/100</f>
        <v>0</v>
      </c>
      <c r="AM36" s="47"/>
      <c r="AN36" s="45">
        <f t="shared" si="2"/>
        <v>0</v>
      </c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7"/>
    </row>
    <row r="37" spans="1:52" s="6" customFormat="1" ht="12.75">
      <c r="A37" s="135"/>
      <c r="B37" s="135"/>
      <c r="C37" s="135"/>
      <c r="D37" s="13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7">
        <f t="shared" si="0"/>
        <v>0</v>
      </c>
      <c r="AD37" s="48" t="s">
        <v>80</v>
      </c>
      <c r="AE37" s="45"/>
      <c r="AF37" s="46"/>
      <c r="AG37" s="46"/>
      <c r="AH37" s="46"/>
      <c r="AI37" s="47"/>
      <c r="AJ37" s="45">
        <f>AC37*AE37/100</f>
        <v>0</v>
      </c>
      <c r="AK37" s="47"/>
      <c r="AL37" s="45">
        <f>AC37*AG37/100</f>
        <v>0</v>
      </c>
      <c r="AM37" s="47"/>
      <c r="AN37" s="45">
        <f t="shared" si="2"/>
        <v>0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7"/>
    </row>
    <row r="38" spans="1:52" s="6" customFormat="1" ht="12.75">
      <c r="A38" s="135"/>
      <c r="B38" s="135"/>
      <c r="C38" s="135"/>
      <c r="D38" s="13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7">
        <f t="shared" si="0"/>
        <v>0</v>
      </c>
      <c r="AD38" s="48" t="s">
        <v>81</v>
      </c>
      <c r="AE38" s="45"/>
      <c r="AF38" s="46"/>
      <c r="AG38" s="46"/>
      <c r="AH38" s="46"/>
      <c r="AI38" s="47"/>
      <c r="AJ38" s="45">
        <f>AC38*AE38/100</f>
        <v>0</v>
      </c>
      <c r="AK38" s="47"/>
      <c r="AL38" s="45">
        <f>AC38*AG38/100</f>
        <v>0</v>
      </c>
      <c r="AM38" s="47"/>
      <c r="AN38" s="45">
        <f t="shared" si="2"/>
        <v>0</v>
      </c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7"/>
    </row>
    <row r="39" spans="1:52" s="6" customFormat="1" ht="12.75">
      <c r="A39" s="135"/>
      <c r="B39" s="135"/>
      <c r="C39" s="135"/>
      <c r="D39" s="13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>
        <f t="shared" si="0"/>
        <v>0</v>
      </c>
      <c r="AD39" s="48" t="s">
        <v>82</v>
      </c>
      <c r="AE39" s="45"/>
      <c r="AF39" s="46"/>
      <c r="AG39" s="46"/>
      <c r="AH39" s="46"/>
      <c r="AI39" s="47">
        <v>75</v>
      </c>
      <c r="AJ39" s="45"/>
      <c r="AK39" s="47"/>
      <c r="AL39" s="45">
        <f>-SUM(AL36:AL38)</f>
        <v>0</v>
      </c>
      <c r="AM39" s="47">
        <f>-AL39*AI39/100</f>
        <v>0</v>
      </c>
      <c r="AN39" s="45">
        <f t="shared" si="2"/>
        <v>0</v>
      </c>
      <c r="AO39" s="46">
        <f>AM39*17.5%-AW39</f>
        <v>0</v>
      </c>
      <c r="AP39" s="46">
        <f>AM39-AO39-AW39</f>
        <v>0</v>
      </c>
      <c r="AQ39" s="46"/>
      <c r="AR39" s="46"/>
      <c r="AS39" s="46"/>
      <c r="AT39" s="46"/>
      <c r="AU39" s="46"/>
      <c r="AV39" s="46"/>
      <c r="AW39" s="7">
        <f>0*AM39/SUM($AM$35:$AM$52)</f>
        <v>0</v>
      </c>
      <c r="AX39" s="46"/>
      <c r="AY39" s="46"/>
      <c r="AZ39" s="47"/>
    </row>
    <row r="40" spans="1:52" s="6" customFormat="1" ht="12.75">
      <c r="A40" s="135"/>
      <c r="B40" s="135"/>
      <c r="C40" s="139"/>
      <c r="D40" s="13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>
        <f t="shared" si="0"/>
        <v>0</v>
      </c>
      <c r="AD40" s="48" t="s">
        <v>101</v>
      </c>
      <c r="AE40" s="45"/>
      <c r="AF40" s="46"/>
      <c r="AG40" s="46"/>
      <c r="AH40" s="46"/>
      <c r="AI40" s="47"/>
      <c r="AJ40" s="45">
        <f>AC40*AE40/100</f>
        <v>0</v>
      </c>
      <c r="AK40" s="47"/>
      <c r="AL40" s="45">
        <f>AC40*AG40/100</f>
        <v>0</v>
      </c>
      <c r="AM40" s="47"/>
      <c r="AN40" s="45">
        <f t="shared" si="2"/>
        <v>0</v>
      </c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7"/>
    </row>
    <row r="41" spans="1:52" s="6" customFormat="1" ht="12.75">
      <c r="A41" s="135"/>
      <c r="B41" s="135"/>
      <c r="C41" s="135"/>
      <c r="D41" s="13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>
        <f t="shared" si="0"/>
        <v>0</v>
      </c>
      <c r="AD41" s="48" t="s">
        <v>102</v>
      </c>
      <c r="AE41" s="45"/>
      <c r="AF41" s="46"/>
      <c r="AG41" s="46"/>
      <c r="AH41" s="46"/>
      <c r="AI41" s="47"/>
      <c r="AJ41" s="45">
        <f>AC41*AE41/100</f>
        <v>0</v>
      </c>
      <c r="AK41" s="47"/>
      <c r="AL41" s="45">
        <f>AC41*AG41/100</f>
        <v>0</v>
      </c>
      <c r="AM41" s="47"/>
      <c r="AN41" s="45">
        <f t="shared" si="2"/>
        <v>0</v>
      </c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7"/>
    </row>
    <row r="42" spans="1:52" s="6" customFormat="1" ht="12.75">
      <c r="A42" s="135"/>
      <c r="B42" s="135"/>
      <c r="C42" s="135"/>
      <c r="D42" s="13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>
        <f t="shared" si="0"/>
        <v>0</v>
      </c>
      <c r="AD42" s="48" t="s">
        <v>103</v>
      </c>
      <c r="AE42" s="45"/>
      <c r="AF42" s="46"/>
      <c r="AG42" s="46"/>
      <c r="AH42" s="46"/>
      <c r="AI42" s="47"/>
      <c r="AJ42" s="45">
        <f>AC42*AE42/100</f>
        <v>0</v>
      </c>
      <c r="AK42" s="47"/>
      <c r="AL42" s="45">
        <f>AC42*AG42/100</f>
        <v>0</v>
      </c>
      <c r="AM42" s="47"/>
      <c r="AN42" s="45">
        <f t="shared" si="2"/>
        <v>0</v>
      </c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7"/>
    </row>
    <row r="43" spans="1:52" s="6" customFormat="1" ht="12.75">
      <c r="A43" s="135"/>
      <c r="B43" s="135"/>
      <c r="C43" s="135"/>
      <c r="D43" s="139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>
        <f t="shared" si="0"/>
        <v>0</v>
      </c>
      <c r="AD43" s="48" t="s">
        <v>104</v>
      </c>
      <c r="AE43" s="45"/>
      <c r="AF43" s="46"/>
      <c r="AG43" s="46"/>
      <c r="AH43" s="46"/>
      <c r="AI43" s="47"/>
      <c r="AJ43" s="45">
        <f>AC43*AE43/100</f>
        <v>0</v>
      </c>
      <c r="AK43" s="47"/>
      <c r="AL43" s="45">
        <f>AC43*AG43/100</f>
        <v>0</v>
      </c>
      <c r="AM43" s="47"/>
      <c r="AN43" s="45">
        <f t="shared" si="2"/>
        <v>0</v>
      </c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7"/>
    </row>
    <row r="44" spans="1:52" s="6" customFormat="1" ht="12.75">
      <c r="A44" s="135"/>
      <c r="B44" s="135"/>
      <c r="C44" s="135"/>
      <c r="D44" s="13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>
        <f t="shared" si="0"/>
        <v>0</v>
      </c>
      <c r="AD44" s="48" t="s">
        <v>105</v>
      </c>
      <c r="AE44" s="45"/>
      <c r="AF44" s="46"/>
      <c r="AG44" s="46"/>
      <c r="AH44" s="46"/>
      <c r="AI44" s="47"/>
      <c r="AJ44" s="45">
        <f>AC44*AE44/100</f>
        <v>0</v>
      </c>
      <c r="AK44" s="47"/>
      <c r="AL44" s="45">
        <f>AC44*AG44/100</f>
        <v>0</v>
      </c>
      <c r="AM44" s="47"/>
      <c r="AN44" s="45">
        <f t="shared" si="2"/>
        <v>0</v>
      </c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</row>
    <row r="45" spans="1:52" s="6" customFormat="1" ht="12.75">
      <c r="A45" s="135"/>
      <c r="B45" s="135"/>
      <c r="C45" s="135"/>
      <c r="D45" s="13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>
        <f t="shared" si="0"/>
        <v>0</v>
      </c>
      <c r="AD45" s="48" t="s">
        <v>106</v>
      </c>
      <c r="AE45" s="45"/>
      <c r="AF45" s="46"/>
      <c r="AG45" s="46"/>
      <c r="AH45" s="46"/>
      <c r="AI45" s="47">
        <v>75</v>
      </c>
      <c r="AJ45" s="45"/>
      <c r="AK45" s="47"/>
      <c r="AL45" s="45">
        <f>-SUM(AL40:AL44)</f>
        <v>0</v>
      </c>
      <c r="AM45" s="47">
        <f>-AL45*AI45/100</f>
        <v>0</v>
      </c>
      <c r="AN45" s="45">
        <f t="shared" si="2"/>
        <v>0</v>
      </c>
      <c r="AO45" s="46">
        <f>AM45*17.5%-AW45</f>
        <v>0</v>
      </c>
      <c r="AP45" s="46">
        <f>AM45-AO45-AW45</f>
        <v>0</v>
      </c>
      <c r="AQ45" s="46"/>
      <c r="AR45" s="46"/>
      <c r="AS45" s="46"/>
      <c r="AT45" s="46"/>
      <c r="AU45" s="46"/>
      <c r="AV45" s="46"/>
      <c r="AW45" s="7">
        <f>0*AM45/SUM($AM$35:$AM$52)</f>
        <v>0</v>
      </c>
      <c r="AX45" s="46"/>
      <c r="AY45" s="46"/>
      <c r="AZ45" s="47"/>
    </row>
    <row r="46" spans="1:52" s="6" customFormat="1" ht="12.75">
      <c r="A46" s="135"/>
      <c r="B46" s="135"/>
      <c r="C46" s="135"/>
      <c r="D46" s="13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7">
        <f t="shared" si="0"/>
        <v>0</v>
      </c>
      <c r="AD46" s="48" t="s">
        <v>123</v>
      </c>
      <c r="AE46" s="45"/>
      <c r="AF46" s="49"/>
      <c r="AG46" s="46"/>
      <c r="AH46" s="46"/>
      <c r="AI46" s="47"/>
      <c r="AJ46" s="45">
        <f>AC46*AE46/100</f>
        <v>0</v>
      </c>
      <c r="AK46" s="47"/>
      <c r="AL46" s="45">
        <f>AC46*AG46/100</f>
        <v>0</v>
      </c>
      <c r="AM46" s="47"/>
      <c r="AN46" s="45">
        <f t="shared" si="2"/>
        <v>0</v>
      </c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7"/>
    </row>
    <row r="47" spans="1:52" s="6" customFormat="1" ht="12.75">
      <c r="A47" s="135"/>
      <c r="B47" s="135"/>
      <c r="C47" s="135"/>
      <c r="D47" s="13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7">
        <f t="shared" si="0"/>
        <v>0</v>
      </c>
      <c r="AD47" s="48" t="s">
        <v>83</v>
      </c>
      <c r="AE47" s="45"/>
      <c r="AF47" s="46"/>
      <c r="AG47" s="46"/>
      <c r="AH47" s="46"/>
      <c r="AI47" s="47"/>
      <c r="AJ47" s="45">
        <f>AC47*AE47/100</f>
        <v>0</v>
      </c>
      <c r="AK47" s="47"/>
      <c r="AL47" s="45">
        <f>AC47*AG47/100</f>
        <v>0</v>
      </c>
      <c r="AM47" s="47"/>
      <c r="AN47" s="45">
        <f t="shared" si="2"/>
        <v>0</v>
      </c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</row>
    <row r="48" spans="1:52" s="6" customFormat="1" ht="12.75">
      <c r="A48" s="135"/>
      <c r="B48" s="135"/>
      <c r="C48" s="135"/>
      <c r="D48" s="13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7">
        <f t="shared" si="0"/>
        <v>0</v>
      </c>
      <c r="AD48" s="48" t="s">
        <v>85</v>
      </c>
      <c r="AE48" s="45"/>
      <c r="AF48" s="46"/>
      <c r="AG48" s="46"/>
      <c r="AH48" s="46"/>
      <c r="AI48" s="47"/>
      <c r="AJ48" s="45">
        <f>AC48*AE48/100</f>
        <v>0</v>
      </c>
      <c r="AK48" s="47"/>
      <c r="AL48" s="45">
        <f>AC48*AG48/100</f>
        <v>0</v>
      </c>
      <c r="AM48" s="47"/>
      <c r="AN48" s="45">
        <f t="shared" si="2"/>
        <v>0</v>
      </c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7"/>
    </row>
    <row r="49" spans="1:52" s="6" customFormat="1" ht="12.75">
      <c r="A49" s="135"/>
      <c r="B49" s="135"/>
      <c r="C49" s="135"/>
      <c r="D49" s="13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7">
        <f t="shared" si="0"/>
        <v>0</v>
      </c>
      <c r="AD49" s="48" t="s">
        <v>84</v>
      </c>
      <c r="AE49" s="45"/>
      <c r="AF49" s="46"/>
      <c r="AG49" s="46"/>
      <c r="AH49" s="46"/>
      <c r="AI49" s="47">
        <v>75</v>
      </c>
      <c r="AJ49" s="45"/>
      <c r="AK49" s="47"/>
      <c r="AL49" s="45">
        <f>-SUM(AL47:AL48)</f>
        <v>0</v>
      </c>
      <c r="AM49" s="47">
        <f>-AL49*AI49/100</f>
        <v>0</v>
      </c>
      <c r="AN49" s="45">
        <f t="shared" si="2"/>
        <v>0</v>
      </c>
      <c r="AO49" s="46">
        <f>AM49*17.5%-AW49</f>
        <v>0</v>
      </c>
      <c r="AP49" s="46">
        <f>AM49-AO49-AW49</f>
        <v>0</v>
      </c>
      <c r="AQ49" s="46"/>
      <c r="AR49" s="46"/>
      <c r="AS49" s="46"/>
      <c r="AT49" s="46"/>
      <c r="AU49" s="46"/>
      <c r="AV49" s="46"/>
      <c r="AW49" s="7">
        <f>0*AM49/SUM($AM$35:$AM$52)</f>
        <v>0</v>
      </c>
      <c r="AX49" s="46"/>
      <c r="AY49" s="46"/>
      <c r="AZ49" s="47"/>
    </row>
    <row r="50" spans="1:52" s="6" customFormat="1" ht="12.75">
      <c r="A50" s="135"/>
      <c r="B50" s="135"/>
      <c r="C50" s="139"/>
      <c r="D50" s="139"/>
      <c r="E50" s="46">
        <v>0.130846464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>
        <v>72.529</v>
      </c>
      <c r="T50" s="46"/>
      <c r="U50" s="46"/>
      <c r="V50" s="46"/>
      <c r="W50" s="46"/>
      <c r="X50" s="46"/>
      <c r="Y50" s="46"/>
      <c r="Z50" s="46"/>
      <c r="AA50" s="46"/>
      <c r="AB50" s="46"/>
      <c r="AC50" s="47">
        <f t="shared" si="0"/>
        <v>72.659846464</v>
      </c>
      <c r="AD50" s="48" t="s">
        <v>98</v>
      </c>
      <c r="AE50" s="45"/>
      <c r="AF50" s="46"/>
      <c r="AG50" s="46">
        <v>87.04</v>
      </c>
      <c r="AH50" s="46"/>
      <c r="AI50" s="47"/>
      <c r="AJ50" s="45"/>
      <c r="AK50" s="47"/>
      <c r="AL50" s="45">
        <f>AC50*AG50/100</f>
        <v>63.2431303622656</v>
      </c>
      <c r="AM50" s="47"/>
      <c r="AN50" s="45">
        <f t="shared" si="2"/>
        <v>0</v>
      </c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7"/>
    </row>
    <row r="51" spans="1:52" s="6" customFormat="1" ht="12.75">
      <c r="A51" s="135"/>
      <c r="B51" s="135"/>
      <c r="C51" s="135"/>
      <c r="D51" s="135"/>
      <c r="E51" s="46"/>
      <c r="F51" s="46"/>
      <c r="G51" s="46"/>
      <c r="H51" s="46"/>
      <c r="I51" s="46"/>
      <c r="J51" s="46"/>
      <c r="K51" s="46"/>
      <c r="L51" s="46"/>
      <c r="M51" s="46">
        <v>3.6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/>
      <c r="AD51" s="48" t="s">
        <v>99</v>
      </c>
      <c r="AE51" s="45"/>
      <c r="AF51" s="46"/>
      <c r="AG51" s="46"/>
      <c r="AH51" s="46"/>
      <c r="AI51" s="47"/>
      <c r="AJ51" s="45"/>
      <c r="AK51" s="47"/>
      <c r="AL51" s="45">
        <f>AC51*AG51/100</f>
        <v>0</v>
      </c>
      <c r="AM51" s="47"/>
      <c r="AN51" s="45">
        <f t="shared" si="2"/>
        <v>0</v>
      </c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7"/>
    </row>
    <row r="52" spans="1:52" s="6" customFormat="1" ht="12.75">
      <c r="A52" s="135"/>
      <c r="B52" s="135"/>
      <c r="C52" s="135"/>
      <c r="D52" s="13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7">
        <f t="shared" si="0"/>
        <v>0</v>
      </c>
      <c r="AD52" s="48" t="s">
        <v>100</v>
      </c>
      <c r="AE52" s="45"/>
      <c r="AF52" s="46"/>
      <c r="AG52" s="46"/>
      <c r="AH52" s="46"/>
      <c r="AI52" s="47">
        <v>75</v>
      </c>
      <c r="AJ52" s="45"/>
      <c r="AK52" s="47"/>
      <c r="AL52" s="45">
        <f>-SUM(AL50:AL51)</f>
        <v>-63.2431303622656</v>
      </c>
      <c r="AM52" s="47">
        <f>-AL52*AI52/100</f>
        <v>47.432347771699206</v>
      </c>
      <c r="AN52" s="45">
        <f t="shared" si="2"/>
        <v>47.432347771699206</v>
      </c>
      <c r="AO52" s="46">
        <f>AM52*17.5%-AW52</f>
        <v>8.30066086004736</v>
      </c>
      <c r="AP52" s="46">
        <f>AM52-AO52-AW52</f>
        <v>39.13168691165185</v>
      </c>
      <c r="AQ52" s="46"/>
      <c r="AR52" s="46"/>
      <c r="AS52" s="46"/>
      <c r="AT52" s="46"/>
      <c r="AU52" s="46"/>
      <c r="AV52" s="46"/>
      <c r="AW52" s="7">
        <f>0*AM52/SUM($AM$35:$AM$52)</f>
        <v>0</v>
      </c>
      <c r="AX52" s="46"/>
      <c r="AY52" s="46"/>
      <c r="AZ52" s="47"/>
    </row>
    <row r="53" spans="1:52" s="6" customFormat="1" ht="12.75">
      <c r="A53" s="135"/>
      <c r="B53" s="135"/>
      <c r="C53" s="135"/>
      <c r="D53" s="13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>
        <f t="shared" si="0"/>
        <v>0</v>
      </c>
      <c r="AD53" s="48" t="s">
        <v>89</v>
      </c>
      <c r="AE53" s="45"/>
      <c r="AF53" s="46"/>
      <c r="AG53" s="46"/>
      <c r="AH53" s="46"/>
      <c r="AI53" s="47"/>
      <c r="AJ53" s="45">
        <f aca="true" t="shared" si="3" ref="AJ53:AJ58">AE53/100*AC53</f>
        <v>0</v>
      </c>
      <c r="AK53" s="47"/>
      <c r="AL53" s="45">
        <f aca="true" t="shared" si="4" ref="AL53:AL58">AC53*AG53/100</f>
        <v>0</v>
      </c>
      <c r="AM53" s="47"/>
      <c r="AN53" s="45">
        <f t="shared" si="2"/>
        <v>0</v>
      </c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7"/>
    </row>
    <row r="54" spans="1:52" s="6" customFormat="1" ht="12.75">
      <c r="A54" s="135"/>
      <c r="B54" s="135"/>
      <c r="C54" s="135"/>
      <c r="D54" s="13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>
        <f t="shared" si="0"/>
        <v>0</v>
      </c>
      <c r="AD54" s="48" t="s">
        <v>90</v>
      </c>
      <c r="AE54" s="45"/>
      <c r="AF54" s="46"/>
      <c r="AG54" s="46"/>
      <c r="AH54" s="46"/>
      <c r="AI54" s="47"/>
      <c r="AJ54" s="45">
        <f t="shared" si="3"/>
        <v>0</v>
      </c>
      <c r="AK54" s="47"/>
      <c r="AL54" s="45">
        <f t="shared" si="4"/>
        <v>0</v>
      </c>
      <c r="AM54" s="47"/>
      <c r="AN54" s="45">
        <f t="shared" si="2"/>
        <v>0</v>
      </c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7"/>
    </row>
    <row r="55" spans="1:52" s="6" customFormat="1" ht="12.75">
      <c r="A55" s="135"/>
      <c r="B55" s="135"/>
      <c r="C55" s="135"/>
      <c r="D55" s="13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>
        <f t="shared" si="0"/>
        <v>0</v>
      </c>
      <c r="AD55" s="48" t="s">
        <v>91</v>
      </c>
      <c r="AE55" s="45"/>
      <c r="AF55" s="46"/>
      <c r="AG55" s="46"/>
      <c r="AH55" s="46"/>
      <c r="AI55" s="47"/>
      <c r="AJ55" s="45">
        <f t="shared" si="3"/>
        <v>0</v>
      </c>
      <c r="AK55" s="47"/>
      <c r="AL55" s="45">
        <f t="shared" si="4"/>
        <v>0</v>
      </c>
      <c r="AM55" s="47"/>
      <c r="AN55" s="45">
        <f t="shared" si="2"/>
        <v>0</v>
      </c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7"/>
    </row>
    <row r="56" spans="1:52" s="6" customFormat="1" ht="12.75">
      <c r="A56" s="135"/>
      <c r="B56" s="135"/>
      <c r="C56" s="135"/>
      <c r="D56" s="139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7">
        <f t="shared" si="0"/>
        <v>0</v>
      </c>
      <c r="AD56" s="48" t="s">
        <v>92</v>
      </c>
      <c r="AE56" s="45"/>
      <c r="AF56" s="46"/>
      <c r="AG56" s="46"/>
      <c r="AH56" s="46"/>
      <c r="AI56" s="47"/>
      <c r="AJ56" s="45">
        <f t="shared" si="3"/>
        <v>0</v>
      </c>
      <c r="AK56" s="47"/>
      <c r="AL56" s="45">
        <f t="shared" si="4"/>
        <v>0</v>
      </c>
      <c r="AM56" s="47"/>
      <c r="AN56" s="45">
        <f t="shared" si="2"/>
        <v>0</v>
      </c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7"/>
    </row>
    <row r="57" spans="1:52" s="6" customFormat="1" ht="12.75">
      <c r="A57" s="135"/>
      <c r="B57" s="135"/>
      <c r="C57" s="135"/>
      <c r="D57" s="13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>
        <f t="shared" si="0"/>
        <v>0</v>
      </c>
      <c r="AD57" s="48" t="s">
        <v>93</v>
      </c>
      <c r="AE57" s="45"/>
      <c r="AF57" s="46"/>
      <c r="AG57" s="46"/>
      <c r="AH57" s="46"/>
      <c r="AI57" s="47"/>
      <c r="AJ57" s="45">
        <f t="shared" si="3"/>
        <v>0</v>
      </c>
      <c r="AK57" s="47"/>
      <c r="AL57" s="45">
        <f t="shared" si="4"/>
        <v>0</v>
      </c>
      <c r="AM57" s="47"/>
      <c r="AN57" s="45">
        <f t="shared" si="2"/>
        <v>0</v>
      </c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7"/>
    </row>
    <row r="58" spans="1:52" s="6" customFormat="1" ht="12.75">
      <c r="A58" s="135"/>
      <c r="B58" s="135"/>
      <c r="C58" s="139"/>
      <c r="D58" s="13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7">
        <f t="shared" si="0"/>
        <v>0</v>
      </c>
      <c r="AD58" s="48" t="s">
        <v>94</v>
      </c>
      <c r="AE58" s="45"/>
      <c r="AF58" s="46"/>
      <c r="AG58" s="46"/>
      <c r="AH58" s="46"/>
      <c r="AI58" s="47"/>
      <c r="AJ58" s="45">
        <f t="shared" si="3"/>
        <v>0</v>
      </c>
      <c r="AK58" s="47"/>
      <c r="AL58" s="45">
        <f t="shared" si="4"/>
        <v>0</v>
      </c>
      <c r="AM58" s="47"/>
      <c r="AN58" s="45">
        <f t="shared" si="2"/>
        <v>0</v>
      </c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7"/>
    </row>
    <row r="59" spans="1:52" s="6" customFormat="1" ht="12.75">
      <c r="A59" s="135"/>
      <c r="B59" s="135"/>
      <c r="C59" s="135"/>
      <c r="D59" s="13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7">
        <f t="shared" si="0"/>
        <v>0</v>
      </c>
      <c r="AD59" s="50" t="s">
        <v>96</v>
      </c>
      <c r="AE59" s="45"/>
      <c r="AF59" s="46"/>
      <c r="AG59" s="46"/>
      <c r="AH59" s="46"/>
      <c r="AI59" s="49"/>
      <c r="AJ59" s="45">
        <f>-AK59</f>
        <v>0</v>
      </c>
      <c r="AK59" s="47">
        <v>0</v>
      </c>
      <c r="AL59" s="45"/>
      <c r="AM59" s="47"/>
      <c r="AN59" s="45">
        <f t="shared" si="2"/>
        <v>0</v>
      </c>
      <c r="AO59" s="46"/>
      <c r="AP59" s="46"/>
      <c r="AQ59" s="46"/>
      <c r="AR59" s="46"/>
      <c r="AS59" s="46"/>
      <c r="AT59" s="46"/>
      <c r="AU59" s="46"/>
      <c r="AV59" s="46"/>
      <c r="AW59" s="46">
        <f>AK59</f>
        <v>0</v>
      </c>
      <c r="AX59" s="46"/>
      <c r="AY59" s="46"/>
      <c r="AZ59" s="47"/>
    </row>
    <row r="60" spans="1:52" s="6" customFormat="1" ht="12.75">
      <c r="A60" s="135"/>
      <c r="B60" s="135"/>
      <c r="C60" s="135"/>
      <c r="D60" s="135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7">
        <f t="shared" si="0"/>
        <v>0</v>
      </c>
      <c r="AD60" s="50" t="s">
        <v>97</v>
      </c>
      <c r="AE60" s="45"/>
      <c r="AF60" s="46"/>
      <c r="AG60" s="46"/>
      <c r="AH60" s="46"/>
      <c r="AI60" s="47"/>
      <c r="AJ60" s="45"/>
      <c r="AK60" s="47"/>
      <c r="AL60" s="45">
        <f>-AM60</f>
        <v>0</v>
      </c>
      <c r="AM60" s="51">
        <v>0</v>
      </c>
      <c r="AN60" s="45">
        <f t="shared" si="2"/>
        <v>0</v>
      </c>
      <c r="AO60" s="46"/>
      <c r="AP60" s="46"/>
      <c r="AQ60" s="46"/>
      <c r="AR60" s="46"/>
      <c r="AS60" s="46"/>
      <c r="AT60" s="46"/>
      <c r="AU60" s="46"/>
      <c r="AV60" s="46"/>
      <c r="AW60" s="46">
        <f>AM60</f>
        <v>0</v>
      </c>
      <c r="AX60" s="46"/>
      <c r="AY60" s="46"/>
      <c r="AZ60" s="47"/>
    </row>
    <row r="61" spans="1:52" s="6" customFormat="1" ht="12.75">
      <c r="A61" s="135"/>
      <c r="B61" s="135"/>
      <c r="C61" s="135"/>
      <c r="D61" s="135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7">
        <f t="shared" si="0"/>
        <v>0</v>
      </c>
      <c r="AD61" s="50" t="s">
        <v>95</v>
      </c>
      <c r="AE61" s="45"/>
      <c r="AF61" s="46"/>
      <c r="AG61" s="46"/>
      <c r="AH61" s="46"/>
      <c r="AI61" s="47">
        <v>75</v>
      </c>
      <c r="AJ61" s="45"/>
      <c r="AK61" s="47"/>
      <c r="AL61" s="45">
        <f>-SUM(AL53:AL60)</f>
        <v>0</v>
      </c>
      <c r="AM61" s="47">
        <f>-AL61*AI61/100</f>
        <v>0</v>
      </c>
      <c r="AN61" s="45">
        <f t="shared" si="2"/>
        <v>0</v>
      </c>
      <c r="AO61" s="46">
        <f>AM61*17.5%</f>
        <v>0</v>
      </c>
      <c r="AP61" s="46">
        <f>AM61-AO61</f>
        <v>0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7"/>
    </row>
    <row r="62" spans="1:52" s="6" customFormat="1" ht="12.75">
      <c r="A62" s="134"/>
      <c r="B62" s="135"/>
      <c r="C62" s="135"/>
      <c r="D62" s="135"/>
      <c r="E62" s="46"/>
      <c r="F62" s="46"/>
      <c r="G62" s="46"/>
      <c r="H62" s="46">
        <v>63.58511265762605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>
        <f t="shared" si="0"/>
        <v>63.58511265762605</v>
      </c>
      <c r="AD62" s="48" t="s">
        <v>124</v>
      </c>
      <c r="AE62" s="45"/>
      <c r="AF62" s="46">
        <v>20</v>
      </c>
      <c r="AG62" s="46"/>
      <c r="AH62" s="46"/>
      <c r="AI62" s="47"/>
      <c r="AJ62" s="45"/>
      <c r="AK62" s="47"/>
      <c r="AL62" s="45"/>
      <c r="AM62" s="47"/>
      <c r="AN62" s="45">
        <f t="shared" si="2"/>
        <v>12.71702253152521</v>
      </c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7">
        <f>AC62*AF62/100</f>
        <v>12.71702253152521</v>
      </c>
    </row>
    <row r="63" spans="1:52" s="6" customFormat="1" ht="12.75">
      <c r="A63" s="134"/>
      <c r="B63" s="135"/>
      <c r="C63" s="135"/>
      <c r="D63" s="135"/>
      <c r="E63" s="46"/>
      <c r="F63" s="46">
        <v>11.742868790519271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>
        <v>-16.428676787069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>
        <f>SUM(A63:AB63)-R63</f>
        <v>11.742868790519271</v>
      </c>
      <c r="AD63" s="48" t="s">
        <v>64</v>
      </c>
      <c r="AE63" s="45"/>
      <c r="AF63" s="46">
        <v>25</v>
      </c>
      <c r="AG63" s="46"/>
      <c r="AH63" s="46"/>
      <c r="AI63" s="47"/>
      <c r="AJ63" s="45"/>
      <c r="AK63" s="47"/>
      <c r="AL63" s="45"/>
      <c r="AM63" s="47"/>
      <c r="AN63" s="45">
        <f t="shared" si="2"/>
        <v>2.9357171976298178</v>
      </c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7">
        <f aca="true" t="shared" si="5" ref="AZ63:AZ70">AC63*AF63/100</f>
        <v>2.9357171976298178</v>
      </c>
    </row>
    <row r="64" spans="1:52" s="6" customFormat="1" ht="12.75">
      <c r="A64" s="134"/>
      <c r="B64" s="135"/>
      <c r="C64" s="135"/>
      <c r="D64" s="135"/>
      <c r="E64" s="46"/>
      <c r="F64" s="46">
        <v>1.625171172206312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>
        <f t="shared" si="0"/>
        <v>1.625171172206312</v>
      </c>
      <c r="AD64" s="48" t="s">
        <v>65</v>
      </c>
      <c r="AE64" s="45"/>
      <c r="AF64" s="46">
        <v>33</v>
      </c>
      <c r="AG64" s="46"/>
      <c r="AH64" s="46"/>
      <c r="AI64" s="47"/>
      <c r="AJ64" s="45"/>
      <c r="AK64" s="47"/>
      <c r="AL64" s="45"/>
      <c r="AM64" s="47"/>
      <c r="AN64" s="45">
        <f t="shared" si="2"/>
        <v>0.536306486828083</v>
      </c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7">
        <f t="shared" si="5"/>
        <v>0.536306486828083</v>
      </c>
    </row>
    <row r="65" spans="1:52" s="6" customFormat="1" ht="12.75">
      <c r="A65" s="134"/>
      <c r="B65" s="135"/>
      <c r="C65" s="135"/>
      <c r="D65" s="135"/>
      <c r="E65" s="46"/>
      <c r="F65" s="7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>
        <f t="shared" si="0"/>
        <v>0</v>
      </c>
      <c r="AD65" s="48" t="s">
        <v>110</v>
      </c>
      <c r="AE65" s="45"/>
      <c r="AF65" s="46">
        <v>33</v>
      </c>
      <c r="AG65" s="46"/>
      <c r="AH65" s="46"/>
      <c r="AI65" s="47"/>
      <c r="AJ65" s="45"/>
      <c r="AK65" s="47"/>
      <c r="AL65" s="45"/>
      <c r="AM65" s="47"/>
      <c r="AN65" s="45">
        <f t="shared" si="2"/>
        <v>0</v>
      </c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7">
        <f t="shared" si="5"/>
        <v>0</v>
      </c>
    </row>
    <row r="66" spans="1:52" s="6" customFormat="1" ht="12.75">
      <c r="A66" s="134"/>
      <c r="B66" s="135"/>
      <c r="C66" s="135"/>
      <c r="D66" s="135"/>
      <c r="E66" s="46"/>
      <c r="F66" s="46">
        <v>54.97768560264183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7">
        <f t="shared" si="0"/>
        <v>54.97768560264183</v>
      </c>
      <c r="AD66" s="48" t="s">
        <v>125</v>
      </c>
      <c r="AE66" s="45"/>
      <c r="AF66" s="46">
        <v>33</v>
      </c>
      <c r="AG66" s="46"/>
      <c r="AH66" s="46"/>
      <c r="AI66" s="47"/>
      <c r="AJ66" s="45"/>
      <c r="AK66" s="47"/>
      <c r="AL66" s="45"/>
      <c r="AM66" s="47"/>
      <c r="AN66" s="45">
        <f t="shared" si="2"/>
        <v>18.142636248871803</v>
      </c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7">
        <f t="shared" si="5"/>
        <v>18.142636248871803</v>
      </c>
    </row>
    <row r="67" spans="1:52" s="6" customFormat="1" ht="12.75">
      <c r="A67" s="134"/>
      <c r="B67" s="135"/>
      <c r="C67" s="135"/>
      <c r="D67" s="135"/>
      <c r="E67" s="46"/>
      <c r="F67" s="46">
        <v>32.17167742085836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7">
        <f t="shared" si="0"/>
        <v>32.17167742085836</v>
      </c>
      <c r="AD67" s="48" t="s">
        <v>66</v>
      </c>
      <c r="AE67" s="45"/>
      <c r="AF67" s="46">
        <v>33</v>
      </c>
      <c r="AG67" s="46"/>
      <c r="AH67" s="46"/>
      <c r="AI67" s="47"/>
      <c r="AJ67" s="45"/>
      <c r="AK67" s="47"/>
      <c r="AL67" s="45"/>
      <c r="AM67" s="47"/>
      <c r="AN67" s="45">
        <f t="shared" si="2"/>
        <v>10.616653548883258</v>
      </c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>
        <f>AC67*AF67%</f>
        <v>10.616653548883258</v>
      </c>
      <c r="AZ67" s="47"/>
    </row>
    <row r="68" spans="1:52" s="6" customFormat="1" ht="12.75">
      <c r="A68" s="140"/>
      <c r="B68" s="141"/>
      <c r="C68" s="141"/>
      <c r="D68" s="141"/>
      <c r="E68" s="53"/>
      <c r="F68" s="53">
        <v>2.3281495079004744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46"/>
      <c r="X68" s="53"/>
      <c r="Y68" s="53"/>
      <c r="Z68" s="53"/>
      <c r="AA68" s="53"/>
      <c r="AB68" s="53"/>
      <c r="AC68" s="47">
        <f t="shared" si="0"/>
        <v>2.3281495079004744</v>
      </c>
      <c r="AD68" s="54" t="s">
        <v>107</v>
      </c>
      <c r="AE68" s="52"/>
      <c r="AF68" s="46">
        <v>33</v>
      </c>
      <c r="AG68" s="53"/>
      <c r="AH68" s="53"/>
      <c r="AI68" s="55"/>
      <c r="AJ68" s="45">
        <f>-AK68/$K$2%</f>
        <v>0</v>
      </c>
      <c r="AK68" s="55">
        <v>0</v>
      </c>
      <c r="AL68" s="52"/>
      <c r="AM68" s="55"/>
      <c r="AN68" s="52">
        <f t="shared" si="2"/>
        <v>0.7682893376071566</v>
      </c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47">
        <f>AC68*AF68/100+AK68*AF68%</f>
        <v>0.7682893376071566</v>
      </c>
    </row>
    <row r="69" spans="1:52" s="6" customFormat="1" ht="12.75">
      <c r="A69" s="140"/>
      <c r="B69" s="141"/>
      <c r="C69" s="141"/>
      <c r="D69" s="141"/>
      <c r="E69" s="53"/>
      <c r="F69" s="53"/>
      <c r="G69" s="53">
        <v>29.482756278405105</v>
      </c>
      <c r="H69" s="53">
        <v>0.1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46"/>
      <c r="X69" s="53"/>
      <c r="Y69" s="53"/>
      <c r="Z69" s="53"/>
      <c r="AA69" s="53"/>
      <c r="AB69" s="53"/>
      <c r="AC69" s="47">
        <f t="shared" si="0"/>
        <v>29.582756278405107</v>
      </c>
      <c r="AD69" s="54" t="s">
        <v>108</v>
      </c>
      <c r="AE69" s="52"/>
      <c r="AF69" s="46">
        <v>33</v>
      </c>
      <c r="AG69" s="53"/>
      <c r="AH69" s="53"/>
      <c r="AI69" s="55"/>
      <c r="AJ69" s="52"/>
      <c r="AK69" s="55"/>
      <c r="AL69" s="52"/>
      <c r="AM69" s="55"/>
      <c r="AN69" s="52">
        <f t="shared" si="2"/>
        <v>9.762309571873685</v>
      </c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47">
        <f t="shared" si="5"/>
        <v>9.762309571873685</v>
      </c>
    </row>
    <row r="70" spans="1:52" s="6" customFormat="1" ht="13.5" thickBot="1">
      <c r="A70" s="140"/>
      <c r="B70" s="141"/>
      <c r="C70" s="141"/>
      <c r="D70" s="141">
        <v>1</v>
      </c>
      <c r="E70" s="53"/>
      <c r="F70" s="142">
        <v>2.8106478556539995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46"/>
      <c r="X70" s="53"/>
      <c r="Y70" s="53"/>
      <c r="Z70" s="53"/>
      <c r="AA70" s="53"/>
      <c r="AB70" s="53"/>
      <c r="AC70" s="55">
        <f t="shared" si="0"/>
        <v>3.8106478556539995</v>
      </c>
      <c r="AD70" s="57" t="s">
        <v>67</v>
      </c>
      <c r="AE70" s="58"/>
      <c r="AF70" s="46">
        <v>33</v>
      </c>
      <c r="AG70" s="59"/>
      <c r="AH70" s="59"/>
      <c r="AI70" s="60"/>
      <c r="AJ70" s="58"/>
      <c r="AK70" s="60"/>
      <c r="AL70" s="58"/>
      <c r="AM70" s="60"/>
      <c r="AN70" s="58">
        <f t="shared" si="2"/>
        <v>1.2575137923658197</v>
      </c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47">
        <f t="shared" si="5"/>
        <v>1.2575137923658197</v>
      </c>
    </row>
    <row r="71" spans="1:53" ht="13.5" thickBot="1">
      <c r="A71" s="159">
        <f aca="true" t="shared" si="6" ref="A71:AA71">SUM(A8:A70)</f>
        <v>-307.971894469136</v>
      </c>
      <c r="B71" s="31">
        <f t="shared" si="6"/>
        <v>2.667361105501586</v>
      </c>
      <c r="C71" s="143">
        <f t="shared" si="6"/>
        <v>0</v>
      </c>
      <c r="D71" s="143">
        <f t="shared" si="6"/>
        <v>1</v>
      </c>
      <c r="E71" s="62">
        <f t="shared" si="6"/>
        <v>117.130846464</v>
      </c>
      <c r="F71" s="62">
        <f t="shared" si="6"/>
        <v>105.65620034978025</v>
      </c>
      <c r="G71" s="62">
        <f t="shared" si="6"/>
        <v>29.482756278405105</v>
      </c>
      <c r="H71" s="62">
        <f t="shared" si="6"/>
        <v>63.68511265762605</v>
      </c>
      <c r="I71" s="62">
        <f t="shared" si="6"/>
        <v>0</v>
      </c>
      <c r="J71" s="62">
        <f t="shared" si="6"/>
        <v>411.83048159296874</v>
      </c>
      <c r="K71" s="62">
        <f t="shared" si="6"/>
        <v>0</v>
      </c>
      <c r="L71" s="62">
        <f t="shared" si="6"/>
        <v>0</v>
      </c>
      <c r="M71" s="62">
        <f t="shared" si="6"/>
        <v>3.606582401770891</v>
      </c>
      <c r="N71" s="62">
        <f t="shared" si="6"/>
        <v>0</v>
      </c>
      <c r="O71" s="62">
        <f t="shared" si="6"/>
        <v>0</v>
      </c>
      <c r="P71" s="62">
        <f t="shared" si="6"/>
        <v>0</v>
      </c>
      <c r="Q71" s="62">
        <f t="shared" si="6"/>
        <v>0</v>
      </c>
      <c r="R71" s="62">
        <f t="shared" si="6"/>
        <v>-16.428676787069</v>
      </c>
      <c r="S71" s="62">
        <f t="shared" si="6"/>
        <v>78.929</v>
      </c>
      <c r="T71" s="62">
        <f t="shared" si="6"/>
        <v>42.39</v>
      </c>
      <c r="U71" s="62">
        <f t="shared" si="6"/>
        <v>4.71</v>
      </c>
      <c r="V71" s="62">
        <f t="shared" si="6"/>
        <v>9.810599999999999</v>
      </c>
      <c r="W71" s="62">
        <f t="shared" si="6"/>
        <v>15.0894</v>
      </c>
      <c r="X71" s="62">
        <f t="shared" si="6"/>
        <v>0</v>
      </c>
      <c r="Y71" s="62">
        <f t="shared" si="6"/>
        <v>0</v>
      </c>
      <c r="Z71" s="62">
        <f t="shared" si="6"/>
        <v>0</v>
      </c>
      <c r="AA71" s="62">
        <f t="shared" si="6"/>
        <v>0.4220031918188458</v>
      </c>
      <c r="AB71" s="62">
        <f>SUM(AB8:AB70)</f>
        <v>0</v>
      </c>
      <c r="AC71" s="144">
        <f>SUM(AC8:AC70)</f>
        <v>574.8384495727354</v>
      </c>
      <c r="AD71" s="145" t="s">
        <v>38</v>
      </c>
      <c r="AE71" s="146"/>
      <c r="AF71" s="146"/>
      <c r="AG71" s="146"/>
      <c r="AH71" s="146"/>
      <c r="AI71" s="146"/>
      <c r="AJ71" s="147">
        <f aca="true" t="shared" si="7" ref="AJ71:AZ71">SUM(AJ8:AJ70)</f>
        <v>0</v>
      </c>
      <c r="AK71" s="62">
        <f t="shared" si="7"/>
        <v>96.28301215023461</v>
      </c>
      <c r="AL71" s="62">
        <f t="shared" si="7"/>
        <v>0</v>
      </c>
      <c r="AM71" s="62">
        <f t="shared" si="7"/>
        <v>47.432347771699206</v>
      </c>
      <c r="AN71" s="62">
        <f t="shared" si="7"/>
        <v>324.80085444976993</v>
      </c>
      <c r="AO71" s="62">
        <f t="shared" si="7"/>
        <v>33.234324876439494</v>
      </c>
      <c r="AP71" s="62">
        <f t="shared" si="7"/>
        <v>156.67610298892907</v>
      </c>
      <c r="AQ71" s="62"/>
      <c r="AR71" s="62">
        <f t="shared" si="7"/>
        <v>28.650258339602438</v>
      </c>
      <c r="AS71" s="62">
        <f t="shared" si="7"/>
        <v>9.1817075448</v>
      </c>
      <c r="AT71" s="62">
        <f t="shared" si="7"/>
        <v>3.1117100310000003</v>
      </c>
      <c r="AU71" s="62">
        <f t="shared" si="7"/>
        <v>9.298509938999999</v>
      </c>
      <c r="AV71" s="62">
        <f t="shared" si="7"/>
        <v>0.6314560451999999</v>
      </c>
      <c r="AW71" s="62">
        <f t="shared" si="7"/>
        <v>5.226620050854361</v>
      </c>
      <c r="AX71" s="62">
        <f t="shared" si="7"/>
        <v>0.3118024944</v>
      </c>
      <c r="AY71" s="62">
        <f t="shared" si="7"/>
        <v>32.155847528824836</v>
      </c>
      <c r="AZ71" s="144">
        <f t="shared" si="7"/>
        <v>46.3225146107197</v>
      </c>
      <c r="BA71" s="6"/>
    </row>
    <row r="72" spans="1:52" ht="12.75">
      <c r="A72" s="160">
        <f aca="true" t="shared" si="8" ref="A72:Z72">A71*A77/1000</f>
        <v>-38.065326156385204</v>
      </c>
      <c r="B72" s="161">
        <f t="shared" si="8"/>
        <v>0.17337847185760308</v>
      </c>
      <c r="C72" s="148">
        <f t="shared" si="8"/>
        <v>0</v>
      </c>
      <c r="D72" s="148">
        <f t="shared" si="8"/>
        <v>0.078</v>
      </c>
      <c r="E72" s="68">
        <f t="shared" si="8"/>
        <v>8.655969553689602</v>
      </c>
      <c r="F72" s="68">
        <f t="shared" si="8"/>
        <v>7.807993205848761</v>
      </c>
      <c r="G72" s="39">
        <f t="shared" si="8"/>
        <v>2.122758452045167</v>
      </c>
      <c r="H72" s="68">
        <f t="shared" si="8"/>
        <v>4.649013224006701</v>
      </c>
      <c r="I72" s="68">
        <f t="shared" si="8"/>
        <v>0</v>
      </c>
      <c r="J72" s="68">
        <f t="shared" si="8"/>
        <v>0</v>
      </c>
      <c r="K72" s="68">
        <f t="shared" si="8"/>
        <v>0</v>
      </c>
      <c r="L72" s="68">
        <f t="shared" si="8"/>
        <v>0</v>
      </c>
      <c r="M72" s="68">
        <f t="shared" si="8"/>
        <v>0</v>
      </c>
      <c r="N72" s="68">
        <f t="shared" si="8"/>
        <v>0</v>
      </c>
      <c r="O72" s="68">
        <f t="shared" si="8"/>
        <v>0</v>
      </c>
      <c r="P72" s="68">
        <f t="shared" si="8"/>
        <v>0</v>
      </c>
      <c r="Q72" s="68">
        <f t="shared" si="8"/>
        <v>0</v>
      </c>
      <c r="R72" s="68">
        <f t="shared" si="8"/>
        <v>0</v>
      </c>
      <c r="S72" s="68">
        <f t="shared" si="8"/>
        <v>0</v>
      </c>
      <c r="T72" s="68">
        <f t="shared" si="8"/>
        <v>0</v>
      </c>
      <c r="U72" s="68">
        <f t="shared" si="8"/>
        <v>0</v>
      </c>
      <c r="V72" s="68">
        <f t="shared" si="8"/>
        <v>0</v>
      </c>
      <c r="W72" s="68">
        <f t="shared" si="8"/>
        <v>0</v>
      </c>
      <c r="X72" s="68">
        <f t="shared" si="8"/>
        <v>0</v>
      </c>
      <c r="Y72" s="68">
        <f t="shared" si="8"/>
        <v>0</v>
      </c>
      <c r="Z72" s="68">
        <f t="shared" si="8"/>
        <v>0</v>
      </c>
      <c r="AA72" s="68">
        <v>0</v>
      </c>
      <c r="AB72" s="68">
        <f>AB71*AB77/1000</f>
        <v>0</v>
      </c>
      <c r="AC72" s="69">
        <f>SUM(A72:AB72)</f>
        <v>-14.578213248937367</v>
      </c>
      <c r="AD72" s="70" t="s">
        <v>68</v>
      </c>
      <c r="AE72" s="71">
        <f>AC72*1000/J1</f>
        <v>-3.5298337164497258</v>
      </c>
      <c r="AF72" s="71" t="s">
        <v>71</v>
      </c>
      <c r="AG72" s="71"/>
      <c r="AH72" s="71"/>
      <c r="AI72" s="72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4"/>
      <c r="AV72" s="74"/>
      <c r="AW72" s="74"/>
      <c r="AX72" s="74"/>
      <c r="AY72" s="74"/>
      <c r="AZ72" s="74"/>
    </row>
    <row r="73" spans="1:52" ht="12.75">
      <c r="A73" s="136"/>
      <c r="B73" s="135"/>
      <c r="C73" s="137"/>
      <c r="D73" s="137"/>
      <c r="E73" s="76"/>
      <c r="F73" s="76"/>
      <c r="G73" s="46"/>
      <c r="H73" s="76"/>
      <c r="I73" s="76"/>
      <c r="J73" s="76"/>
      <c r="K73" s="76"/>
      <c r="L73" s="76"/>
      <c r="M73" s="76"/>
      <c r="N73" s="76"/>
      <c r="O73" s="76">
        <v>45.81769913635692</v>
      </c>
      <c r="P73" s="76">
        <v>5.543509869695483</v>
      </c>
      <c r="Q73" s="76">
        <v>132.3414753522414</v>
      </c>
      <c r="R73" s="76"/>
      <c r="S73" s="76">
        <v>73.37376313376939</v>
      </c>
      <c r="T73" s="76">
        <v>66.32378472135842</v>
      </c>
      <c r="U73" s="76"/>
      <c r="V73" s="76"/>
      <c r="W73" s="76"/>
      <c r="X73" s="76"/>
      <c r="Y73" s="76">
        <v>0</v>
      </c>
      <c r="Z73" s="76"/>
      <c r="AA73" s="76"/>
      <c r="AB73" s="76"/>
      <c r="AC73" s="77">
        <f>SUM(A73:AB73)</f>
        <v>323.4002322134216</v>
      </c>
      <c r="AD73" s="78" t="s">
        <v>69</v>
      </c>
      <c r="AE73" s="79">
        <f>SUM(J71:Q71,S71:AB71)/SUM(A71:Q71,S71:AB71)*100</f>
        <v>97.98589073828296</v>
      </c>
      <c r="AF73" s="79" t="s">
        <v>121</v>
      </c>
      <c r="AG73" s="79"/>
      <c r="AH73" s="79"/>
      <c r="AI73" s="80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4"/>
      <c r="AV73" s="74"/>
      <c r="AW73" s="74"/>
      <c r="AX73" s="74"/>
      <c r="AY73" s="74"/>
      <c r="AZ73" s="74"/>
    </row>
    <row r="74" spans="1:52" ht="13.5" thickBot="1">
      <c r="A74" s="149"/>
      <c r="B74" s="150"/>
      <c r="C74" s="151"/>
      <c r="D74" s="151"/>
      <c r="E74" s="82"/>
      <c r="F74" s="82"/>
      <c r="G74" s="59"/>
      <c r="H74" s="82"/>
      <c r="I74" s="82"/>
      <c r="J74" s="82">
        <f>IF(J73&gt;0,J71/J73*100,"")</f>
      </c>
      <c r="K74" s="82">
        <f aca="true" t="shared" si="9" ref="K74:AB74">IF(K73&gt;0,K71/K73*100,"")</f>
      </c>
      <c r="L74" s="82">
        <f t="shared" si="9"/>
      </c>
      <c r="M74" s="82">
        <f t="shared" si="9"/>
      </c>
      <c r="N74" s="82">
        <f t="shared" si="9"/>
      </c>
      <c r="O74" s="82">
        <f>IF(O73&gt;0,O71/O73*100,"")</f>
        <v>0</v>
      </c>
      <c r="P74" s="82">
        <f>IF(P73&gt;0,P71/P73*100,"")</f>
        <v>0</v>
      </c>
      <c r="Q74" s="82">
        <f>IF(Q73&gt;0,Q71/Q73*100,"")</f>
        <v>0</v>
      </c>
      <c r="R74" s="82">
        <f>IF(R73&gt;0,R71/R73*100,"")</f>
      </c>
      <c r="S74" s="82">
        <f>IF(S73&gt;0,S71/S73*100,"")</f>
        <v>107.57114890795873</v>
      </c>
      <c r="T74" s="82">
        <f t="shared" si="9"/>
        <v>63.91372292472482</v>
      </c>
      <c r="U74" s="82"/>
      <c r="V74" s="82">
        <f t="shared" si="9"/>
      </c>
      <c r="W74" s="82"/>
      <c r="X74" s="82">
        <f t="shared" si="9"/>
      </c>
      <c r="Y74" s="82">
        <f t="shared" si="9"/>
      </c>
      <c r="Z74" s="82">
        <f>IF(Z73&gt;0,Z71/Z73*100,"")</f>
      </c>
      <c r="AA74" s="82">
        <f>IF(AA73&gt;0,AA71/AA73*100,"")</f>
      </c>
      <c r="AB74" s="82">
        <f t="shared" si="9"/>
      </c>
      <c r="AC74" s="83">
        <f>SUMIF(J73:AB73,"&gt;0",J71:AB71)/SUM(J73:AB73)%</f>
        <v>37.51357850600983</v>
      </c>
      <c r="AD74" s="84" t="s">
        <v>70</v>
      </c>
      <c r="AE74" s="85">
        <f>SUM(J71:Q71,S71:T71,V71,X71:AB71,-R71)/SUM(A71:Q71,S71:T71,V71,X71:AB71,-R71)*100</f>
        <v>97.97408516385988</v>
      </c>
      <c r="AF74" s="85" t="s">
        <v>122</v>
      </c>
      <c r="AG74" s="85"/>
      <c r="AH74" s="85"/>
      <c r="AI74" s="86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4"/>
      <c r="AV74" s="74"/>
      <c r="AW74" s="74"/>
      <c r="AX74" s="74"/>
      <c r="AY74" s="74"/>
      <c r="AZ74" s="74"/>
    </row>
    <row r="75" spans="5:52" ht="13.5" thickBot="1">
      <c r="E75" s="74"/>
      <c r="F75" s="74"/>
      <c r="G75" s="49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152"/>
      <c r="AG75" s="74"/>
      <c r="AH75" s="74"/>
      <c r="AI75" s="74"/>
      <c r="AJ75" s="73"/>
      <c r="AK75" s="152"/>
      <c r="AL75" s="73"/>
      <c r="AM75" s="73"/>
      <c r="AN75" s="73"/>
      <c r="AO75" s="73"/>
      <c r="AP75" s="73"/>
      <c r="AQ75" s="73"/>
      <c r="AR75" s="73"/>
      <c r="AS75" s="73"/>
      <c r="AT75" s="73"/>
      <c r="AU75" s="74"/>
      <c r="AV75" s="74"/>
      <c r="AW75" s="74"/>
      <c r="AX75" s="74"/>
      <c r="AY75" s="74"/>
      <c r="AZ75" s="74"/>
    </row>
    <row r="76" spans="1:52" ht="81.75" customHeight="1" thickBot="1">
      <c r="A76" s="129" t="str">
        <f>A7</f>
        <v>Elimport</v>
      </c>
      <c r="B76" s="125" t="str">
        <f aca="true" t="shared" si="10" ref="B76:AB76">B7</f>
        <v>LPG og petroleum</v>
      </c>
      <c r="C76" s="126" t="str">
        <f t="shared" si="10"/>
        <v>Kul</v>
      </c>
      <c r="D76" s="126" t="str">
        <f t="shared" si="10"/>
        <v>Fuelolie</v>
      </c>
      <c r="E76" s="153" t="str">
        <f t="shared" si="10"/>
        <v>Brændselsolie</v>
      </c>
      <c r="F76" s="153" t="str">
        <f t="shared" si="10"/>
        <v>Dieselolie</v>
      </c>
      <c r="G76" s="154" t="str">
        <f>G7</f>
        <v>JP1</v>
      </c>
      <c r="H76" s="153" t="str">
        <f t="shared" si="10"/>
        <v>Benzin</v>
      </c>
      <c r="I76" s="153" t="str">
        <f t="shared" si="10"/>
        <v>Naturgas</v>
      </c>
      <c r="J76" s="153" t="str">
        <f t="shared" si="10"/>
        <v>Vindenergi</v>
      </c>
      <c r="K76" s="153" t="str">
        <f t="shared" si="10"/>
        <v>Bølgeenergi</v>
      </c>
      <c r="L76" s="153" t="str">
        <f t="shared" si="10"/>
        <v>Vandkraft</v>
      </c>
      <c r="M76" s="153" t="str">
        <f t="shared" si="10"/>
        <v>Solenergi</v>
      </c>
      <c r="N76" s="153" t="str">
        <f t="shared" si="10"/>
        <v>Geotermi</v>
      </c>
      <c r="O76" s="153" t="str">
        <f t="shared" si="10"/>
        <v>Husdyrsgødning</v>
      </c>
      <c r="P76" s="153" t="str">
        <f>P7</f>
        <v>Afgasset fibre</v>
      </c>
      <c r="Q76" s="153" t="str">
        <f t="shared" si="10"/>
        <v>Bioolieog energiafgrøder</v>
      </c>
      <c r="R76" s="153" t="str">
        <f>R7</f>
        <v>Eksport rapsolie</v>
      </c>
      <c r="S76" s="153" t="str">
        <f t="shared" si="10"/>
        <v>Halm</v>
      </c>
      <c r="T76" s="153" t="str">
        <f t="shared" si="10"/>
        <v>Brænde og træflis</v>
      </c>
      <c r="U76" s="153" t="str">
        <f>U7</f>
        <v>Import, Brænde og træflis</v>
      </c>
      <c r="V76" s="153" t="str">
        <f t="shared" si="10"/>
        <v>Træpiller og træaffald</v>
      </c>
      <c r="W76" s="153" t="str">
        <f>W7</f>
        <v>Import, træpiller og træaffald</v>
      </c>
      <c r="X76" s="153" t="str">
        <f t="shared" si="10"/>
        <v>Organisk affald, industri</v>
      </c>
      <c r="Y76" s="153" t="str">
        <f t="shared" si="10"/>
        <v>Organisk affald, husholdninger</v>
      </c>
      <c r="Z76" s="153" t="str">
        <f t="shared" si="10"/>
        <v>Deponi, slam, renseanlæg</v>
      </c>
      <c r="AA76" s="155" t="str">
        <f>AA7</f>
        <v>Varmekilder til varmepumper</v>
      </c>
      <c r="AB76" s="155" t="str">
        <f t="shared" si="10"/>
        <v>Restaffald</v>
      </c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</row>
    <row r="77" spans="1:52" ht="13.5" thickBot="1">
      <c r="A77" s="2">
        <v>123.6</v>
      </c>
      <c r="B77" s="31">
        <v>65</v>
      </c>
      <c r="C77" s="32">
        <v>95</v>
      </c>
      <c r="D77" s="32">
        <v>78</v>
      </c>
      <c r="E77" s="32">
        <v>73.9</v>
      </c>
      <c r="F77" s="32">
        <v>73.9</v>
      </c>
      <c r="G77" s="31">
        <v>72</v>
      </c>
      <c r="H77" s="32">
        <v>73</v>
      </c>
      <c r="I77" s="32">
        <v>56.8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156">
        <v>0</v>
      </c>
      <c r="AA77" s="156">
        <v>0</v>
      </c>
      <c r="AB77" s="156">
        <v>0</v>
      </c>
      <c r="AC77" s="157" t="s">
        <v>72</v>
      </c>
      <c r="AD77" s="158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</row>
    <row r="78" spans="26:49" ht="12.75">
      <c r="Z78"/>
      <c r="AW78"/>
    </row>
    <row r="79" ht="12.75">
      <c r="AD79" s="5"/>
    </row>
    <row r="80" ht="12.75">
      <c r="AD80" s="5"/>
    </row>
    <row r="81" spans="1:30" ht="12.75" customHeight="1">
      <c r="A81" s="4"/>
      <c r="AD81" s="3"/>
    </row>
    <row r="83" ht="12.75">
      <c r="AD83" s="3"/>
    </row>
    <row r="84" ht="12.75">
      <c r="AD84" s="3"/>
    </row>
  </sheetData>
  <sheetProtection/>
  <mergeCells count="1">
    <mergeCell ref="J1:K1"/>
  </mergeCells>
  <printOptions headings="1"/>
  <pageMargins left="0.2" right="0.2" top="0.984251968503937" bottom="0.57" header="0" footer="0"/>
  <pageSetup fitToHeight="1" fitToWidth="1" horizontalDpi="600" verticalDpi="600" orientation="landscape" paperSize="8" scale="54" r:id="rId1"/>
  <headerFooter alignWithMargins="0">
    <oddFooter>&amp;R&amp;F 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4"/>
  <sheetViews>
    <sheetView showZeros="0" zoomScale="75" zoomScaleNormal="75" zoomScalePageLayoutView="0" workbookViewId="0" topLeftCell="S1">
      <pane ySplit="7" topLeftCell="BM8" activePane="bottomLeft" state="frozen"/>
      <selection pane="topLeft" activeCell="D1" sqref="D1"/>
      <selection pane="bottomLeft" activeCell="O73" sqref="O73:T73"/>
    </sheetView>
  </sheetViews>
  <sheetFormatPr defaultColWidth="9.140625" defaultRowHeight="12.75"/>
  <cols>
    <col min="1" max="1" width="10.140625" style="0" bestFit="1" customWidth="1"/>
    <col min="2" max="2" width="5.7109375" style="6" customWidth="1"/>
    <col min="3" max="3" width="8.57421875" style="0" customWidth="1"/>
    <col min="4" max="4" width="7.140625" style="0" customWidth="1"/>
    <col min="5" max="5" width="6.28125" style="0" customWidth="1"/>
    <col min="6" max="6" width="8.421875" style="0" customWidth="1"/>
    <col min="7" max="7" width="7.140625" style="6" customWidth="1"/>
    <col min="8" max="8" width="8.140625" style="0" customWidth="1"/>
    <col min="9" max="9" width="7.00390625" style="0" bestFit="1" customWidth="1"/>
    <col min="10" max="10" width="6.8515625" style="0" customWidth="1"/>
    <col min="11" max="18" width="5.7109375" style="0" customWidth="1"/>
    <col min="19" max="19" width="6.421875" style="0" bestFit="1" customWidth="1"/>
    <col min="20" max="20" width="7.421875" style="0" customWidth="1"/>
    <col min="21" max="21" width="6.140625" style="0" customWidth="1"/>
    <col min="22" max="25" width="5.7109375" style="0" customWidth="1"/>
    <col min="26" max="26" width="5.7109375" style="6" customWidth="1"/>
    <col min="27" max="27" width="5.7109375" style="0" customWidth="1"/>
    <col min="28" max="28" width="7.140625" style="0" customWidth="1"/>
    <col min="29" max="29" width="8.7109375" style="0" customWidth="1"/>
    <col min="30" max="30" width="52.140625" style="0" bestFit="1" customWidth="1"/>
    <col min="31" max="35" width="5.7109375" style="0" customWidth="1"/>
    <col min="37" max="37" width="6.421875" style="0" customWidth="1"/>
    <col min="38" max="38" width="8.140625" style="0" bestFit="1" customWidth="1"/>
    <col min="39" max="39" width="6.8515625" style="0" customWidth="1"/>
    <col min="40" max="40" width="7.57421875" style="0" customWidth="1"/>
    <col min="41" max="41" width="6.57421875" style="0" customWidth="1"/>
    <col min="42" max="42" width="7.28125" style="0" bestFit="1" customWidth="1"/>
    <col min="43" max="43" width="5.7109375" style="0" hidden="1" customWidth="1"/>
    <col min="44" max="48" width="5.7109375" style="0" customWidth="1"/>
    <col min="49" max="49" width="6.421875" style="6" bestFit="1" customWidth="1"/>
    <col min="50" max="51" width="5.7109375" style="0" customWidth="1"/>
    <col min="52" max="52" width="7.28125" style="0" bestFit="1" customWidth="1"/>
  </cols>
  <sheetData>
    <row r="1" spans="1:52" s="6" customFormat="1" ht="12.75">
      <c r="A1" s="9" t="s">
        <v>0</v>
      </c>
      <c r="B1" s="10"/>
      <c r="C1" s="10" t="str">
        <f>Baseline!C1</f>
        <v>Samsø Kommune</v>
      </c>
      <c r="D1" s="10"/>
      <c r="E1" s="10"/>
      <c r="F1" s="9" t="s">
        <v>5</v>
      </c>
      <c r="G1" s="10"/>
      <c r="H1" s="10"/>
      <c r="I1" s="10"/>
      <c r="J1" s="164">
        <f>Baseline!J1</f>
        <v>4130</v>
      </c>
      <c r="K1" s="165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6" customFormat="1" ht="12.75">
      <c r="A2" s="12" t="s">
        <v>1</v>
      </c>
      <c r="B2" s="13"/>
      <c r="C2" s="13">
        <v>2025</v>
      </c>
      <c r="D2" s="13"/>
      <c r="E2" s="13"/>
      <c r="F2" s="12" t="s">
        <v>73</v>
      </c>
      <c r="G2" s="13"/>
      <c r="H2" s="13"/>
      <c r="I2" s="13"/>
      <c r="J2" s="13"/>
      <c r="K2" s="14">
        <v>92.7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6" customFormat="1" ht="13.5" thickBot="1">
      <c r="A3" s="15" t="s">
        <v>2</v>
      </c>
      <c r="B3" s="16"/>
      <c r="C3" s="16" t="s">
        <v>3</v>
      </c>
      <c r="D3" s="16" t="s">
        <v>4</v>
      </c>
      <c r="E3" s="16"/>
      <c r="F3" s="15"/>
      <c r="G3" s="16"/>
      <c r="H3" s="16"/>
      <c r="I3" s="16"/>
      <c r="J3" s="16"/>
      <c r="K3" s="1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3.5" thickBot="1">
      <c r="A4" s="8"/>
      <c r="B4" s="11"/>
      <c r="C4" s="8"/>
      <c r="D4" s="8"/>
      <c r="E4" s="8"/>
      <c r="F4" s="8"/>
      <c r="G4" s="1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11"/>
      <c r="AX4" s="8"/>
      <c r="AY4" s="8"/>
      <c r="AZ4" s="8"/>
    </row>
    <row r="5" spans="1:52" ht="13.5" thickBot="1">
      <c r="A5" s="18"/>
      <c r="B5" s="19"/>
      <c r="C5" s="20"/>
      <c r="D5" s="20"/>
      <c r="E5" s="20"/>
      <c r="F5" s="20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9"/>
      <c r="AA5" s="20"/>
      <c r="AB5" s="20"/>
      <c r="AC5" s="20"/>
      <c r="AD5" s="21" t="s">
        <v>199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19"/>
      <c r="AX5" s="20"/>
      <c r="AY5" s="20"/>
      <c r="AZ5" s="22"/>
    </row>
    <row r="6" spans="1:52" ht="13.5" thickBot="1">
      <c r="A6" s="18" t="s">
        <v>6</v>
      </c>
      <c r="B6" s="19"/>
      <c r="C6" s="20"/>
      <c r="D6" s="20"/>
      <c r="E6" s="20"/>
      <c r="F6" s="20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1" t="s">
        <v>27</v>
      </c>
      <c r="AE6" s="20" t="s">
        <v>29</v>
      </c>
      <c r="AF6" s="20"/>
      <c r="AG6" s="20"/>
      <c r="AH6" s="20"/>
      <c r="AI6" s="20"/>
      <c r="AJ6" s="18" t="s">
        <v>33</v>
      </c>
      <c r="AK6" s="22"/>
      <c r="AL6" s="18" t="s">
        <v>34</v>
      </c>
      <c r="AM6" s="22"/>
      <c r="AN6" s="20" t="s">
        <v>37</v>
      </c>
      <c r="AO6" s="20"/>
      <c r="AP6" s="20"/>
      <c r="AQ6" s="20"/>
      <c r="AR6" s="20"/>
      <c r="AS6" s="20"/>
      <c r="AT6" s="20"/>
      <c r="AU6" s="20"/>
      <c r="AV6" s="20"/>
      <c r="AW6" s="19"/>
      <c r="AX6" s="20"/>
      <c r="AY6" s="20"/>
      <c r="AZ6" s="22"/>
    </row>
    <row r="7" spans="1:52" s="1" customFormat="1" ht="106.5" thickBot="1">
      <c r="A7" s="23" t="s">
        <v>118</v>
      </c>
      <c r="B7" s="24" t="s">
        <v>7</v>
      </c>
      <c r="C7" s="25" t="s">
        <v>8</v>
      </c>
      <c r="D7" s="25" t="s">
        <v>9</v>
      </c>
      <c r="E7" s="24" t="s">
        <v>10</v>
      </c>
      <c r="F7" s="25" t="s">
        <v>11</v>
      </c>
      <c r="G7" s="24" t="s">
        <v>117</v>
      </c>
      <c r="H7" s="25" t="s">
        <v>12</v>
      </c>
      <c r="I7" s="25" t="s">
        <v>13</v>
      </c>
      <c r="J7" s="24" t="s">
        <v>14</v>
      </c>
      <c r="K7" s="25" t="s">
        <v>15</v>
      </c>
      <c r="L7" s="25" t="s">
        <v>16</v>
      </c>
      <c r="M7" s="25" t="s">
        <v>17</v>
      </c>
      <c r="N7" s="25" t="s">
        <v>18</v>
      </c>
      <c r="O7" s="24" t="s">
        <v>19</v>
      </c>
      <c r="P7" s="25" t="s">
        <v>115</v>
      </c>
      <c r="Q7" s="125" t="s">
        <v>202</v>
      </c>
      <c r="R7" s="125" t="s">
        <v>201</v>
      </c>
      <c r="S7" s="25" t="s">
        <v>21</v>
      </c>
      <c r="T7" s="24" t="s">
        <v>22</v>
      </c>
      <c r="U7" s="24" t="s">
        <v>119</v>
      </c>
      <c r="V7" s="24" t="s">
        <v>23</v>
      </c>
      <c r="W7" s="24" t="s">
        <v>120</v>
      </c>
      <c r="X7" s="25" t="s">
        <v>24</v>
      </c>
      <c r="Y7" s="25" t="s">
        <v>25</v>
      </c>
      <c r="Z7" s="24" t="s">
        <v>114</v>
      </c>
      <c r="AA7" s="25" t="s">
        <v>116</v>
      </c>
      <c r="AB7" s="25" t="s">
        <v>26</v>
      </c>
      <c r="AC7" s="26" t="s">
        <v>113</v>
      </c>
      <c r="AD7" s="27" t="s">
        <v>28</v>
      </c>
      <c r="AE7" s="28" t="s">
        <v>30</v>
      </c>
      <c r="AF7" s="25" t="s">
        <v>31</v>
      </c>
      <c r="AG7" s="25" t="s">
        <v>32</v>
      </c>
      <c r="AH7" s="25" t="s">
        <v>33</v>
      </c>
      <c r="AI7" s="26" t="s">
        <v>34</v>
      </c>
      <c r="AJ7" s="28" t="s">
        <v>35</v>
      </c>
      <c r="AK7" s="26" t="s">
        <v>36</v>
      </c>
      <c r="AL7" s="28" t="s">
        <v>35</v>
      </c>
      <c r="AM7" s="26" t="s">
        <v>36</v>
      </c>
      <c r="AN7" s="29" t="s">
        <v>38</v>
      </c>
      <c r="AO7" s="25" t="s">
        <v>39</v>
      </c>
      <c r="AP7" s="25" t="s">
        <v>40</v>
      </c>
      <c r="AQ7" s="25"/>
      <c r="AR7" s="25" t="s">
        <v>42</v>
      </c>
      <c r="AS7" s="25" t="s">
        <v>43</v>
      </c>
      <c r="AT7" s="25" t="s">
        <v>44</v>
      </c>
      <c r="AU7" s="25" t="s">
        <v>45</v>
      </c>
      <c r="AV7" s="25" t="s">
        <v>46</v>
      </c>
      <c r="AW7" s="24" t="s">
        <v>47</v>
      </c>
      <c r="AX7" s="30" t="s">
        <v>48</v>
      </c>
      <c r="AY7" s="30" t="s">
        <v>49</v>
      </c>
      <c r="AZ7" s="26" t="s">
        <v>41</v>
      </c>
    </row>
    <row r="8" spans="1:52" s="6" customFormat="1" ht="12.75">
      <c r="A8" s="38"/>
      <c r="B8" s="39">
        <f>Baseline!B8</f>
        <v>2.667361105501586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>
        <f aca="true" t="shared" si="0" ref="AC8:AC70">SUM(A8:AB8)</f>
        <v>2.667361105501586</v>
      </c>
      <c r="AD8" s="41" t="s">
        <v>50</v>
      </c>
      <c r="AE8" s="42"/>
      <c r="AF8" s="43"/>
      <c r="AG8" s="43">
        <v>38</v>
      </c>
      <c r="AH8" s="43"/>
      <c r="AI8" s="44"/>
      <c r="AJ8" s="42"/>
      <c r="AK8" s="44"/>
      <c r="AL8" s="42"/>
      <c r="AM8" s="44"/>
      <c r="AN8" s="42">
        <f>SUM(AO8:AZ8,-AQ8)</f>
        <v>1.0135972200906027</v>
      </c>
      <c r="AO8" s="43"/>
      <c r="AP8" s="43"/>
      <c r="AQ8" s="43"/>
      <c r="AR8" s="43">
        <f>AC8*AG8/100*0.2</f>
        <v>0.20271944401812056</v>
      </c>
      <c r="AS8" s="43"/>
      <c r="AT8" s="43"/>
      <c r="AU8" s="43"/>
      <c r="AV8" s="43"/>
      <c r="AW8" s="43">
        <f>AC8*AG8/100*0.6</f>
        <v>0.6081583320543616</v>
      </c>
      <c r="AX8" s="43"/>
      <c r="AY8" s="43"/>
      <c r="AZ8" s="44">
        <f>AC8*AG8/100*0.2</f>
        <v>0.20271944401812056</v>
      </c>
    </row>
    <row r="9" spans="1:52" s="6" customFormat="1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>
        <f t="shared" si="0"/>
        <v>0</v>
      </c>
      <c r="AD9" s="48" t="s">
        <v>51</v>
      </c>
      <c r="AE9" s="45"/>
      <c r="AF9" s="46">
        <v>44</v>
      </c>
      <c r="AG9" s="46"/>
      <c r="AH9" s="46"/>
      <c r="AI9" s="47"/>
      <c r="AJ9" s="45">
        <f aca="true" t="shared" si="1" ref="AJ9:AJ15">-AK9/$K$2%</f>
        <v>-5.96768345553831</v>
      </c>
      <c r="AK9" s="47">
        <f>AN9/AF9%</f>
        <v>5.532042563284014</v>
      </c>
      <c r="AL9" s="45"/>
      <c r="AM9" s="47"/>
      <c r="AN9" s="45">
        <f aca="true" t="shared" si="2" ref="AN9:AN70">SUM(AO9:AZ9,-AQ9)</f>
        <v>2.434098727844966</v>
      </c>
      <c r="AO9" s="46"/>
      <c r="AP9" s="46"/>
      <c r="AQ9" s="46"/>
      <c r="AR9" s="110">
        <f>Baseline!AR9*Fremskrivningsfaktor!AA31</f>
        <v>2.434098727844966</v>
      </c>
      <c r="AS9" s="46"/>
      <c r="AT9" s="46"/>
      <c r="AU9" s="46"/>
      <c r="AV9" s="46"/>
      <c r="AW9" s="46"/>
      <c r="AX9" s="46"/>
      <c r="AY9" s="46"/>
      <c r="AZ9" s="47"/>
    </row>
    <row r="10" spans="1:52" s="6" customFormat="1" ht="12.7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>
        <f t="shared" si="0"/>
        <v>0</v>
      </c>
      <c r="AD10" s="48" t="s">
        <v>52</v>
      </c>
      <c r="AE10" s="45"/>
      <c r="AF10" s="46"/>
      <c r="AG10" s="46">
        <v>90</v>
      </c>
      <c r="AH10" s="46"/>
      <c r="AI10" s="47"/>
      <c r="AJ10" s="45">
        <f t="shared" si="1"/>
        <v>-0.9428020521534696</v>
      </c>
      <c r="AK10" s="47">
        <f>AN10/AG10%</f>
        <v>0.8739775023462664</v>
      </c>
      <c r="AL10" s="45"/>
      <c r="AM10" s="47"/>
      <c r="AN10" s="45">
        <f t="shared" si="2"/>
        <v>0.7865797521116398</v>
      </c>
      <c r="AO10" s="46">
        <v>0.7865797521116398</v>
      </c>
      <c r="AP10" s="49"/>
      <c r="AQ10" s="46"/>
      <c r="AR10" s="46"/>
      <c r="AS10" s="46"/>
      <c r="AT10" s="46"/>
      <c r="AU10" s="46"/>
      <c r="AV10" s="46"/>
      <c r="AW10" s="46"/>
      <c r="AX10" s="46"/>
      <c r="AY10" s="46"/>
      <c r="AZ10" s="47"/>
    </row>
    <row r="11" spans="1:52" s="6" customFormat="1" ht="12.7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>
        <f t="shared" si="0"/>
        <v>0</v>
      </c>
      <c r="AD11" s="48" t="s">
        <v>53</v>
      </c>
      <c r="AE11" s="45"/>
      <c r="AF11" s="46"/>
      <c r="AG11" s="46">
        <v>100</v>
      </c>
      <c r="AH11" s="46"/>
      <c r="AI11" s="47"/>
      <c r="AJ11" s="45">
        <f t="shared" si="1"/>
        <v>-4.000174421279721</v>
      </c>
      <c r="AK11" s="47">
        <f>AN11/AG11%</f>
        <v>3.7081616885263013</v>
      </c>
      <c r="AL11" s="45"/>
      <c r="AM11" s="47"/>
      <c r="AN11" s="45">
        <f t="shared" si="2"/>
        <v>3.7081616885263013</v>
      </c>
      <c r="AO11" s="46"/>
      <c r="AP11" s="46">
        <v>3.7081616885263013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1:52" s="6" customFormat="1" ht="12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>
        <f t="shared" si="0"/>
        <v>0</v>
      </c>
      <c r="AD12" s="48" t="s">
        <v>86</v>
      </c>
      <c r="AE12" s="45"/>
      <c r="AF12" s="46">
        <v>50</v>
      </c>
      <c r="AG12" s="46"/>
      <c r="AH12" s="46"/>
      <c r="AI12" s="47"/>
      <c r="AJ12" s="45">
        <f t="shared" si="1"/>
        <v>-20.620578206867204</v>
      </c>
      <c r="AK12" s="47">
        <f>AN12/AF12%</f>
        <v>19.1152759977659</v>
      </c>
      <c r="AL12" s="45"/>
      <c r="AM12" s="47"/>
      <c r="AN12" s="45">
        <f t="shared" si="2"/>
        <v>9.55763799888295</v>
      </c>
      <c r="AO12" s="46"/>
      <c r="AP12" s="46"/>
      <c r="AQ12" s="46"/>
      <c r="AR12" s="110">
        <f>Baseline!AR12*Fremskrivningsfaktor!$AA$31</f>
        <v>2.7660212816420082</v>
      </c>
      <c r="AS12" s="110">
        <f>Baseline!AS12*Fremskrivningsfaktor!$AA$29</f>
        <v>1.8050788261104294</v>
      </c>
      <c r="AT12" s="110">
        <f>Baseline!AT12*Fremskrivningsfaktor!$AA$30</f>
        <v>0.5119283652243259</v>
      </c>
      <c r="AU12" s="110">
        <f>Baseline!AU12*Fremskrivningsfaktor!$AA$30</f>
        <v>1.5297604676116483</v>
      </c>
      <c r="AV12" s="110">
        <f>Baseline!AV12*Fremskrivningsfaktor!$AA$28</f>
        <v>0.02492403787445255</v>
      </c>
      <c r="AW12" s="110">
        <f>Baseline!AW12*Fremskrivningsfaktor!$AA$27</f>
        <v>0.17166554557718333</v>
      </c>
      <c r="AX12" s="110">
        <f>Baseline!AX12*Fremskrivningsfaktor!$AA$26</f>
        <v>0.03921625087078651</v>
      </c>
      <c r="AY12" s="110">
        <f>Baseline!AY12*Fremskrivningsfaktor!$AA$26</f>
        <v>2.709043223972115</v>
      </c>
      <c r="AZ12" s="47"/>
    </row>
    <row r="13" spans="1:52" s="6" customFormat="1" ht="12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>
        <f t="shared" si="0"/>
        <v>0</v>
      </c>
      <c r="AD13" s="48" t="s">
        <v>87</v>
      </c>
      <c r="AE13" s="45"/>
      <c r="AF13" s="46">
        <v>150</v>
      </c>
      <c r="AG13" s="46"/>
      <c r="AH13" s="46"/>
      <c r="AI13" s="47"/>
      <c r="AJ13" s="45">
        <f t="shared" si="1"/>
        <v>-13.73064180052588</v>
      </c>
      <c r="AK13" s="47">
        <f>AN13/AF13%</f>
        <v>12.728304949087493</v>
      </c>
      <c r="AL13" s="45"/>
      <c r="AM13" s="47"/>
      <c r="AN13" s="45">
        <f t="shared" si="2"/>
        <v>19.092457423631238</v>
      </c>
      <c r="AO13" s="46"/>
      <c r="AP13" s="46"/>
      <c r="AQ13" s="46"/>
      <c r="AR13" s="110">
        <f>Baseline!AR13*Fremskrivningsfaktor!$AA$31</f>
        <v>9.797068926590079</v>
      </c>
      <c r="AS13" s="110">
        <f>Baseline!AS13*Fremskrivningsfaktor!$AA$29</f>
        <v>0</v>
      </c>
      <c r="AT13" s="110">
        <f>Baseline!AT13*Fremskrivningsfaktor!$AA$30</f>
        <v>1.7200793071537355</v>
      </c>
      <c r="AU13" s="110">
        <f>Baseline!AU13*Fremskrivningsfaktor!$AA$30</f>
        <v>5.13999517117514</v>
      </c>
      <c r="AV13" s="110">
        <f>Baseline!AV13*Fremskrivningsfaktor!$AA$28</f>
        <v>0.0996961514978102</v>
      </c>
      <c r="AW13" s="110">
        <f>Baseline!AW13*Fremskrivningsfaktor!$AA$27</f>
        <v>0.6866621823087333</v>
      </c>
      <c r="AX13" s="110">
        <f>Baseline!AX13*Fremskrivningsfaktor!$AA$26</f>
        <v>0.023529750522471908</v>
      </c>
      <c r="AY13" s="110">
        <f>Baseline!AY13*Fremskrivningsfaktor!$AA$26</f>
        <v>1.6254259343832695</v>
      </c>
      <c r="AZ13" s="47"/>
    </row>
    <row r="14" spans="1:52" s="6" customFormat="1" ht="12.7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>
        <f t="shared" si="0"/>
        <v>0</v>
      </c>
      <c r="AD14" s="48" t="s">
        <v>88</v>
      </c>
      <c r="AE14" s="45"/>
      <c r="AF14" s="46">
        <v>85</v>
      </c>
      <c r="AG14" s="46"/>
      <c r="AH14" s="46"/>
      <c r="AI14" s="47"/>
      <c r="AJ14" s="45">
        <f t="shared" si="1"/>
        <v>-76.82403924718353</v>
      </c>
      <c r="AK14" s="47">
        <f>AN14/AF14%</f>
        <v>71.21588438213914</v>
      </c>
      <c r="AL14" s="45"/>
      <c r="AM14" s="47"/>
      <c r="AN14" s="45">
        <f t="shared" si="2"/>
        <v>60.533501724818265</v>
      </c>
      <c r="AO14" s="46"/>
      <c r="AP14" s="46"/>
      <c r="AQ14" s="46"/>
      <c r="AR14" s="110">
        <f>Baseline!AR14*Fremskrivningsfaktor!$AA$31</f>
        <v>15.380862855788688</v>
      </c>
      <c r="AS14" s="110">
        <f>Baseline!AS14*Fremskrivningsfaktor!$AA$29</f>
        <v>8.296677122974232</v>
      </c>
      <c r="AT14" s="110">
        <f>Baseline!AT14*Fremskrivningsfaktor!$AA$30</f>
        <v>1.6361230552569461</v>
      </c>
      <c r="AU14" s="110">
        <f>Baseline!AU14*Fremskrivningsfaktor!$AA$30</f>
        <v>4.889114454486828</v>
      </c>
      <c r="AV14" s="110">
        <f>Baseline!AV14*Fremskrivningsfaktor!$AA$28</f>
        <v>0.6073157228741604</v>
      </c>
      <c r="AW14" s="110">
        <f>Baseline!AW14*Fremskrivningsfaktor!$AA$27</f>
        <v>4.1829171272306995</v>
      </c>
      <c r="AX14" s="110">
        <f>Baseline!AX14*Fremskrivningsfaktor!$AA$26</f>
        <v>0.36444969142584277</v>
      </c>
      <c r="AY14" s="110">
        <f>Baseline!AY14*Fremskrivningsfaktor!$AA$26</f>
        <v>25.176041694780864</v>
      </c>
      <c r="AZ14" s="47"/>
    </row>
    <row r="15" spans="1:52" s="6" customFormat="1" ht="12.7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f>Baseline!AA15</f>
        <v>0.4220031918188458</v>
      </c>
      <c r="AB15" s="46"/>
      <c r="AC15" s="47">
        <f>SUM(A15:AB15)</f>
        <v>0.4220031918188458</v>
      </c>
      <c r="AD15" s="48" t="s">
        <v>55</v>
      </c>
      <c r="AE15" s="45"/>
      <c r="AF15" s="46"/>
      <c r="AG15" s="46">
        <v>250</v>
      </c>
      <c r="AH15" s="46"/>
      <c r="AI15" s="47"/>
      <c r="AJ15" s="45">
        <f t="shared" si="1"/>
        <v>-0.30349024942024155</v>
      </c>
      <c r="AK15" s="47">
        <f>AN15/AG15%</f>
        <v>0.2813354612125639</v>
      </c>
      <c r="AL15" s="45"/>
      <c r="AM15" s="47"/>
      <c r="AN15" s="45">
        <f>SUM(AO15:AZ15,-AQ15)</f>
        <v>0.7033386530314097</v>
      </c>
      <c r="AO15" s="46">
        <v>0.12308426428049675</v>
      </c>
      <c r="AP15" s="46">
        <v>0.580254388750913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7"/>
    </row>
    <row r="16" spans="1:52" s="6" customFormat="1" ht="12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110">
        <f>Baseline!M16*Fremskrivningsfaktor!V31</f>
        <v>0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>
        <f t="shared" si="0"/>
        <v>0</v>
      </c>
      <c r="AD16" s="48" t="s">
        <v>54</v>
      </c>
      <c r="AE16" s="75"/>
      <c r="AF16" s="76"/>
      <c r="AG16" s="76">
        <v>100</v>
      </c>
      <c r="AH16" s="76"/>
      <c r="AI16" s="77"/>
      <c r="AJ16" s="75"/>
      <c r="AK16" s="77"/>
      <c r="AL16" s="75"/>
      <c r="AM16" s="77"/>
      <c r="AN16" s="75">
        <f t="shared" si="2"/>
        <v>0</v>
      </c>
      <c r="AO16" s="76">
        <f>AC16*80%</f>
        <v>0</v>
      </c>
      <c r="AP16" s="76">
        <f>AC16-AO16</f>
        <v>0</v>
      </c>
      <c r="AQ16" s="46"/>
      <c r="AR16" s="76"/>
      <c r="AS16" s="76"/>
      <c r="AT16" s="76"/>
      <c r="AU16" s="76"/>
      <c r="AV16" s="76"/>
      <c r="AW16" s="76"/>
      <c r="AX16" s="76"/>
      <c r="AY16" s="76"/>
      <c r="AZ16" s="77"/>
    </row>
    <row r="17" spans="1:52" s="6" customFormat="1" ht="12.75">
      <c r="A17" s="45">
        <f>AE17%*AJ17</f>
        <v>-67.46229920571365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>
        <f t="shared" si="0"/>
        <v>-67.46229920571365</v>
      </c>
      <c r="AD17" s="48" t="s">
        <v>118</v>
      </c>
      <c r="AE17" s="75">
        <v>100</v>
      </c>
      <c r="AF17" s="76"/>
      <c r="AG17" s="76"/>
      <c r="AH17" s="76"/>
      <c r="AI17" s="77"/>
      <c r="AJ17" s="75">
        <f>-SUM(AJ18:AJ70,AJ8:AJ16)</f>
        <v>-67.46229920571365</v>
      </c>
      <c r="AK17" s="77"/>
      <c r="AL17" s="75"/>
      <c r="AM17" s="77"/>
      <c r="AN17" s="75">
        <f t="shared" si="2"/>
        <v>0</v>
      </c>
      <c r="AO17" s="76"/>
      <c r="AP17" s="76"/>
      <c r="AQ17" s="46"/>
      <c r="AR17" s="76"/>
      <c r="AS17" s="76"/>
      <c r="AT17" s="76"/>
      <c r="AU17" s="76"/>
      <c r="AV17" s="76"/>
      <c r="AW17" s="76"/>
      <c r="AX17" s="76"/>
      <c r="AY17" s="76"/>
      <c r="AZ17" s="77"/>
    </row>
    <row r="18" spans="1:52" s="6" customFormat="1" ht="12.75">
      <c r="A18" s="45"/>
      <c r="B18" s="46"/>
      <c r="C18" s="46"/>
      <c r="D18" s="46"/>
      <c r="E18" s="7">
        <f>Baseline!E18</f>
        <v>117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>
        <f t="shared" si="0"/>
        <v>117</v>
      </c>
      <c r="AD18" s="48" t="s">
        <v>126</v>
      </c>
      <c r="AE18" s="75"/>
      <c r="AF18" s="76"/>
      <c r="AG18" s="76">
        <v>75</v>
      </c>
      <c r="AH18" s="76"/>
      <c r="AI18" s="77"/>
      <c r="AJ18" s="75"/>
      <c r="AK18" s="77"/>
      <c r="AL18" s="75"/>
      <c r="AM18" s="77"/>
      <c r="AN18" s="75">
        <f t="shared" si="2"/>
        <v>87.75</v>
      </c>
      <c r="AO18" s="76">
        <f>AC18*AG18/100*17.5%</f>
        <v>15.35625</v>
      </c>
      <c r="AP18" s="76">
        <f>AC18*AG18/100-AO18</f>
        <v>72.39375</v>
      </c>
      <c r="AQ18" s="46"/>
      <c r="AR18" s="76"/>
      <c r="AS18" s="76"/>
      <c r="AT18" s="76"/>
      <c r="AU18" s="76"/>
      <c r="AV18" s="76"/>
      <c r="AW18" s="76"/>
      <c r="AX18" s="76"/>
      <c r="AY18" s="76"/>
      <c r="AZ18" s="77"/>
    </row>
    <row r="19" spans="1:52" s="6" customFormat="1" ht="12.75">
      <c r="A19" s="45"/>
      <c r="B19" s="46"/>
      <c r="C19" s="46"/>
      <c r="D19" s="46"/>
      <c r="E19" s="7">
        <f>Baseline!E19</f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>
        <f t="shared" si="0"/>
        <v>0</v>
      </c>
      <c r="AD19" s="48" t="s">
        <v>112</v>
      </c>
      <c r="AE19" s="75"/>
      <c r="AF19" s="76">
        <v>90</v>
      </c>
      <c r="AG19" s="76">
        <v>90</v>
      </c>
      <c r="AH19" s="76"/>
      <c r="AI19" s="77"/>
      <c r="AJ19" s="75"/>
      <c r="AK19" s="77"/>
      <c r="AL19" s="75"/>
      <c r="AM19" s="77"/>
      <c r="AN19" s="75">
        <f t="shared" si="2"/>
        <v>0</v>
      </c>
      <c r="AO19" s="76">
        <f>0*AG19%*17.5%</f>
        <v>0</v>
      </c>
      <c r="AP19" s="76">
        <f>0*AG19%*82.5%</f>
        <v>0</v>
      </c>
      <c r="AQ19" s="46"/>
      <c r="AR19" s="76"/>
      <c r="AS19" s="76"/>
      <c r="AT19" s="76"/>
      <c r="AU19" s="76"/>
      <c r="AV19" s="76"/>
      <c r="AW19" s="7">
        <f>0*AF19%</f>
        <v>0</v>
      </c>
      <c r="AX19" s="76"/>
      <c r="AY19" s="76"/>
      <c r="AZ19" s="77"/>
    </row>
    <row r="20" spans="1:52" s="6" customFormat="1" ht="12.75">
      <c r="A20" s="45"/>
      <c r="B20" s="46"/>
      <c r="C20" s="46"/>
      <c r="D20" s="46"/>
      <c r="E20" s="46"/>
      <c r="F20" s="46"/>
      <c r="G20" s="46"/>
      <c r="H20" s="46"/>
      <c r="I20" s="110">
        <f>Baseline!I20*Fremskrivningsfaktor!P31</f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7">
        <f t="shared" si="0"/>
        <v>0</v>
      </c>
      <c r="AD20" s="48" t="s">
        <v>109</v>
      </c>
      <c r="AE20" s="75"/>
      <c r="AF20" s="76"/>
      <c r="AG20" s="76">
        <v>80</v>
      </c>
      <c r="AH20" s="76"/>
      <c r="AI20" s="77"/>
      <c r="AJ20" s="75"/>
      <c r="AK20" s="77"/>
      <c r="AL20" s="75"/>
      <c r="AM20" s="77"/>
      <c r="AN20" s="75">
        <f t="shared" si="2"/>
        <v>0</v>
      </c>
      <c r="AO20" s="76">
        <f>AC20*AG20/100*17.5%</f>
        <v>0</v>
      </c>
      <c r="AP20" s="76">
        <f>AC20*AG20/100-AO20</f>
        <v>0</v>
      </c>
      <c r="AQ20" s="46"/>
      <c r="AR20" s="76"/>
      <c r="AS20" s="76"/>
      <c r="AT20" s="76"/>
      <c r="AU20" s="76"/>
      <c r="AV20" s="76"/>
      <c r="AW20" s="76"/>
      <c r="AX20" s="76"/>
      <c r="AY20" s="76"/>
      <c r="AZ20" s="77"/>
    </row>
    <row r="21" spans="1:52" s="6" customFormat="1" ht="12.75">
      <c r="A21" s="45"/>
      <c r="B21" s="46"/>
      <c r="C21" s="46"/>
      <c r="D21" s="46"/>
      <c r="E21" s="46"/>
      <c r="F21" s="46"/>
      <c r="G21" s="46"/>
      <c r="H21" s="46"/>
      <c r="I21" s="46">
        <f>Baseline!I21</f>
        <v>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>
        <f t="shared" si="0"/>
        <v>0</v>
      </c>
      <c r="AD21" s="48" t="s">
        <v>127</v>
      </c>
      <c r="AE21" s="75"/>
      <c r="AF21" s="76"/>
      <c r="AG21" s="76">
        <v>90</v>
      </c>
      <c r="AH21" s="76"/>
      <c r="AI21" s="77"/>
      <c r="AJ21" s="75"/>
      <c r="AK21" s="77"/>
      <c r="AL21" s="75"/>
      <c r="AM21" s="77"/>
      <c r="AN21" s="75">
        <f t="shared" si="2"/>
        <v>0</v>
      </c>
      <c r="AO21" s="76">
        <f>AC21*AG21/100*17.5%</f>
        <v>0</v>
      </c>
      <c r="AP21" s="76">
        <f>AC21*AG21/100-AO21</f>
        <v>0</v>
      </c>
      <c r="AQ21" s="46"/>
      <c r="AR21" s="76"/>
      <c r="AS21" s="76"/>
      <c r="AT21" s="76"/>
      <c r="AU21" s="76"/>
      <c r="AV21" s="76"/>
      <c r="AW21" s="76"/>
      <c r="AX21" s="76"/>
      <c r="AY21" s="76"/>
      <c r="AZ21" s="77"/>
    </row>
    <row r="22" spans="1:52" s="6" customFormat="1" ht="12.75">
      <c r="A22" s="45"/>
      <c r="B22" s="46"/>
      <c r="C22" s="46"/>
      <c r="D22" s="46"/>
      <c r="E22" s="46"/>
      <c r="F22" s="46"/>
      <c r="G22" s="46"/>
      <c r="H22" s="46"/>
      <c r="I22" s="46">
        <f>Baseline!I22</f>
        <v>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>
        <f t="shared" si="0"/>
        <v>0</v>
      </c>
      <c r="AD22" s="48" t="s">
        <v>111</v>
      </c>
      <c r="AE22" s="75"/>
      <c r="AF22" s="76">
        <v>90</v>
      </c>
      <c r="AG22" s="76">
        <v>90</v>
      </c>
      <c r="AH22" s="76"/>
      <c r="AI22" s="77"/>
      <c r="AJ22" s="75"/>
      <c r="AK22" s="77"/>
      <c r="AL22" s="75"/>
      <c r="AM22" s="77"/>
      <c r="AN22" s="75">
        <f t="shared" si="2"/>
        <v>0</v>
      </c>
      <c r="AO22" s="76">
        <f>(AC22*AG22/100*17.5%)*11.5%</f>
        <v>0</v>
      </c>
      <c r="AP22" s="76">
        <f>(AC22*AG22/100)*11.5%-AO22</f>
        <v>0</v>
      </c>
      <c r="AQ22" s="46"/>
      <c r="AR22" s="76"/>
      <c r="AS22" s="76"/>
      <c r="AT22" s="76"/>
      <c r="AU22" s="76"/>
      <c r="AV22" s="76"/>
      <c r="AW22" s="7">
        <f>AC22*AF22/100*88.5%</f>
        <v>0</v>
      </c>
      <c r="AX22" s="76"/>
      <c r="AY22" s="76"/>
      <c r="AZ22" s="77"/>
    </row>
    <row r="23" spans="1:52" s="6" customFormat="1" ht="12.7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110">
        <f>Baseline!V23*Fremskrivningsfaktor!R31</f>
        <v>12.297188002972712</v>
      </c>
      <c r="W23" s="110">
        <f>Baseline!W23*Fremskrivningsfaktor!R31</f>
        <v>18.91394906040981</v>
      </c>
      <c r="X23" s="46"/>
      <c r="Y23" s="46"/>
      <c r="Z23" s="46"/>
      <c r="AA23" s="46"/>
      <c r="AB23" s="46"/>
      <c r="AC23" s="47">
        <f t="shared" si="0"/>
        <v>31.211137063382523</v>
      </c>
      <c r="AD23" s="48" t="s">
        <v>56</v>
      </c>
      <c r="AE23" s="45"/>
      <c r="AF23" s="46"/>
      <c r="AG23" s="46">
        <v>70</v>
      </c>
      <c r="AH23" s="46"/>
      <c r="AI23" s="47"/>
      <c r="AJ23" s="45"/>
      <c r="AK23" s="47"/>
      <c r="AL23" s="45"/>
      <c r="AM23" s="47"/>
      <c r="AN23" s="45">
        <f t="shared" si="2"/>
        <v>21.847795944367768</v>
      </c>
      <c r="AO23" s="46">
        <f>AC23*AG23/100*17.5%</f>
        <v>3.823364290264359</v>
      </c>
      <c r="AP23" s="46">
        <f>AC23*AG23/100-AO23</f>
        <v>18.02443165410341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7"/>
    </row>
    <row r="24" spans="1:52" s="6" customFormat="1" ht="12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110">
        <f>Baseline!T24*Fremskrivningsfaktor!R31</f>
        <v>53.134140566939166</v>
      </c>
      <c r="U24" s="110">
        <f>Baseline!U24*Fremskrivningsfaktor!R31</f>
        <v>5.903793396326574</v>
      </c>
      <c r="V24" s="46"/>
      <c r="W24" s="46"/>
      <c r="X24" s="46"/>
      <c r="Y24" s="46"/>
      <c r="Z24" s="46"/>
      <c r="AA24" s="46"/>
      <c r="AB24" s="46"/>
      <c r="AC24" s="47">
        <f t="shared" si="0"/>
        <v>59.03793396326574</v>
      </c>
      <c r="AD24" s="48" t="s">
        <v>57</v>
      </c>
      <c r="AE24" s="45"/>
      <c r="AF24" s="46"/>
      <c r="AG24" s="46">
        <v>60</v>
      </c>
      <c r="AH24" s="46"/>
      <c r="AI24" s="47"/>
      <c r="AJ24" s="45"/>
      <c r="AK24" s="47"/>
      <c r="AL24" s="45"/>
      <c r="AM24" s="47"/>
      <c r="AN24" s="45">
        <f t="shared" si="2"/>
        <v>35.42276037795945</v>
      </c>
      <c r="AO24" s="46">
        <f>AC24*AG24/100*17.5%</f>
        <v>6.198983066142903</v>
      </c>
      <c r="AP24" s="46">
        <f>AC24*AG24/100-AO24</f>
        <v>29.223777311816548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7"/>
    </row>
    <row r="25" spans="1:52" s="6" customFormat="1" ht="12.7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10">
        <f>Baseline!S25*Fremskrivningsfaktor!Q31</f>
        <v>8.022564102564102</v>
      </c>
      <c r="T25" s="46"/>
      <c r="U25" s="46"/>
      <c r="V25" s="46"/>
      <c r="W25" s="46"/>
      <c r="X25" s="46"/>
      <c r="Y25" s="46"/>
      <c r="Z25" s="46"/>
      <c r="AA25" s="46"/>
      <c r="AB25" s="46"/>
      <c r="AC25" s="47">
        <f t="shared" si="0"/>
        <v>8.022564102564102</v>
      </c>
      <c r="AD25" s="48" t="s">
        <v>58</v>
      </c>
      <c r="AE25" s="45"/>
      <c r="AF25" s="46"/>
      <c r="AG25" s="46">
        <v>60</v>
      </c>
      <c r="AH25" s="46"/>
      <c r="AI25" s="47"/>
      <c r="AJ25" s="45"/>
      <c r="AK25" s="47"/>
      <c r="AL25" s="45"/>
      <c r="AM25" s="47"/>
      <c r="AN25" s="45">
        <f t="shared" si="2"/>
        <v>4.813538461538461</v>
      </c>
      <c r="AO25" s="46">
        <f>AC25*AG25/100*17.5%</f>
        <v>0.8423692307692306</v>
      </c>
      <c r="AP25" s="46">
        <f>AC25*AG25/100-AO25</f>
        <v>3.9711692307692306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7"/>
    </row>
    <row r="26" spans="1:52" s="6" customFormat="1" ht="12.7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>
        <f t="shared" si="0"/>
        <v>0</v>
      </c>
      <c r="AD26" s="48" t="s">
        <v>59</v>
      </c>
      <c r="AE26" s="45"/>
      <c r="AF26" s="46"/>
      <c r="AG26" s="46">
        <v>100</v>
      </c>
      <c r="AH26" s="46"/>
      <c r="AI26" s="47"/>
      <c r="AJ26" s="45"/>
      <c r="AK26" s="47"/>
      <c r="AL26" s="45"/>
      <c r="AM26" s="47"/>
      <c r="AN26" s="45">
        <f t="shared" si="2"/>
        <v>0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7"/>
    </row>
    <row r="27" spans="1:52" s="6" customFormat="1" ht="12.7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>
        <f>Baseline!M27</f>
        <v>0.006582401770890979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>
        <f t="shared" si="0"/>
        <v>0.006582401770890979</v>
      </c>
      <c r="AD27" s="48" t="s">
        <v>60</v>
      </c>
      <c r="AE27" s="46">
        <v>100</v>
      </c>
      <c r="AF27" s="46"/>
      <c r="AG27" s="46"/>
      <c r="AH27" s="46"/>
      <c r="AI27" s="47"/>
      <c r="AJ27" s="45">
        <f>AC27*AE27/100</f>
        <v>0.00658240177089098</v>
      </c>
      <c r="AK27" s="47"/>
      <c r="AL27" s="45"/>
      <c r="AM27" s="47"/>
      <c r="AN27" s="45">
        <f t="shared" si="2"/>
        <v>0</v>
      </c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</row>
    <row r="28" spans="1:52" s="6" customFormat="1" ht="12.75">
      <c r="A28" s="45"/>
      <c r="B28" s="46"/>
      <c r="C28" s="46"/>
      <c r="D28" s="46"/>
      <c r="E28" s="46"/>
      <c r="F28" s="46"/>
      <c r="G28" s="46"/>
      <c r="H28" s="46"/>
      <c r="I28" s="46"/>
      <c r="J28" s="110">
        <f>Baseline!J28*Fremskrivningsfaktor!X17</f>
        <v>189.8451262369111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>
        <f t="shared" si="0"/>
        <v>189.8451262369111</v>
      </c>
      <c r="AD28" s="48" t="s">
        <v>61</v>
      </c>
      <c r="AE28" s="46">
        <v>100</v>
      </c>
      <c r="AF28" s="46"/>
      <c r="AG28" s="46"/>
      <c r="AH28" s="46"/>
      <c r="AI28" s="47"/>
      <c r="AJ28" s="45">
        <f>AE28*AC28/100</f>
        <v>189.84512623691114</v>
      </c>
      <c r="AK28" s="47"/>
      <c r="AL28" s="45"/>
      <c r="AM28" s="47"/>
      <c r="AN28" s="45">
        <f t="shared" si="2"/>
        <v>0</v>
      </c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</row>
    <row r="29" spans="1:52" s="6" customFormat="1" ht="12.7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>
        <f>Baseline!L29</f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>
        <f t="shared" si="0"/>
        <v>0</v>
      </c>
      <c r="AD29" s="48" t="s">
        <v>62</v>
      </c>
      <c r="AE29" s="46">
        <v>100</v>
      </c>
      <c r="AF29" s="46"/>
      <c r="AG29" s="46"/>
      <c r="AH29" s="46"/>
      <c r="AI29" s="47"/>
      <c r="AJ29" s="45">
        <f>AC29</f>
        <v>0</v>
      </c>
      <c r="AK29" s="47"/>
      <c r="AL29" s="45"/>
      <c r="AM29" s="47"/>
      <c r="AN29" s="45">
        <f t="shared" si="2"/>
        <v>0</v>
      </c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7"/>
    </row>
    <row r="30" spans="1:52" s="6" customFormat="1" ht="12.7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>
        <f t="shared" si="0"/>
        <v>0</v>
      </c>
      <c r="AD30" s="48" t="s">
        <v>63</v>
      </c>
      <c r="AE30" s="46">
        <v>100</v>
      </c>
      <c r="AF30" s="46"/>
      <c r="AG30" s="46"/>
      <c r="AH30" s="46"/>
      <c r="AI30" s="47"/>
      <c r="AJ30" s="45"/>
      <c r="AK30" s="47"/>
      <c r="AL30" s="45"/>
      <c r="AM30" s="47"/>
      <c r="AN30" s="45">
        <f t="shared" si="2"/>
        <v>0</v>
      </c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7"/>
    </row>
    <row r="31" spans="1:52" s="6" customFormat="1" ht="12.75">
      <c r="A31" s="46"/>
      <c r="B31" s="46"/>
      <c r="C31" s="110">
        <f>Baseline!C31*Fremskrivningsfaktor!D13</f>
        <v>0</v>
      </c>
      <c r="D31" s="110">
        <f>Baseline!D31*Fremskrivningsfaktor!H13</f>
        <v>0</v>
      </c>
      <c r="E31" s="46"/>
      <c r="F31" s="46"/>
      <c r="G31" s="46"/>
      <c r="H31" s="46"/>
      <c r="I31" s="110">
        <f>Baseline!I31*Fremskrivningsfaktor!P13</f>
        <v>0</v>
      </c>
      <c r="J31" s="46"/>
      <c r="K31" s="46"/>
      <c r="L31" s="46"/>
      <c r="M31" s="46"/>
      <c r="N31" s="46"/>
      <c r="O31" s="46"/>
      <c r="P31" s="46"/>
      <c r="Q31" s="46"/>
      <c r="R31" s="46"/>
      <c r="S31" s="110">
        <f>Baseline!S31*Fremskrivningsfaktor!Q13</f>
        <v>0</v>
      </c>
      <c r="T31" s="110">
        <f>Baseline!T31*Fremskrivningsfaktor!R13</f>
        <v>0</v>
      </c>
      <c r="U31" s="110">
        <f>Baseline!U31*Fremskrivningsfaktor!R13</f>
        <v>0</v>
      </c>
      <c r="V31" s="110">
        <f>Baseline!V31*Fremskrivningsfaktor!R13</f>
        <v>0</v>
      </c>
      <c r="W31" s="110">
        <f>Baseline!W31*Fremskrivningsfaktor!R13</f>
        <v>0</v>
      </c>
      <c r="X31" s="46"/>
      <c r="Y31" s="46"/>
      <c r="Z31" s="46">
        <f>Baseline!Z31</f>
        <v>0</v>
      </c>
      <c r="AA31" s="46"/>
      <c r="AB31" s="46"/>
      <c r="AC31" s="47">
        <f t="shared" si="0"/>
        <v>0</v>
      </c>
      <c r="AD31" s="48" t="s">
        <v>74</v>
      </c>
      <c r="AE31" s="45"/>
      <c r="AF31" s="46"/>
      <c r="AG31" s="46"/>
      <c r="AH31" s="46"/>
      <c r="AI31" s="47"/>
      <c r="AJ31" s="45">
        <f>AC31*AE31/100</f>
        <v>0</v>
      </c>
      <c r="AK31" s="47"/>
      <c r="AL31" s="45">
        <f>AC31*AG31/100</f>
        <v>0</v>
      </c>
      <c r="AM31" s="47"/>
      <c r="AN31" s="45">
        <f t="shared" si="2"/>
        <v>0</v>
      </c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7"/>
    </row>
    <row r="32" spans="1:52" s="6" customFormat="1" ht="12.75">
      <c r="A32" s="46"/>
      <c r="B32" s="46"/>
      <c r="C32" s="46"/>
      <c r="D32" s="46"/>
      <c r="E32" s="46">
        <f>Baseline!E32</f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>
        <f t="shared" si="0"/>
        <v>0</v>
      </c>
      <c r="AD32" s="48" t="s">
        <v>75</v>
      </c>
      <c r="AE32" s="45"/>
      <c r="AF32" s="46"/>
      <c r="AG32" s="46"/>
      <c r="AH32" s="46"/>
      <c r="AI32" s="47"/>
      <c r="AJ32" s="45">
        <f>AC32*AE32/100</f>
        <v>0</v>
      </c>
      <c r="AK32" s="47"/>
      <c r="AL32" s="45">
        <f>AC32*AG32</f>
        <v>0</v>
      </c>
      <c r="AM32" s="47"/>
      <c r="AN32" s="45">
        <f t="shared" si="2"/>
        <v>0</v>
      </c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7"/>
    </row>
    <row r="33" spans="1:52" s="6" customFormat="1" ht="12.75">
      <c r="A33" s="46"/>
      <c r="B33" s="46"/>
      <c r="C33" s="46"/>
      <c r="D33" s="46"/>
      <c r="E33" s="46">
        <f>Baseline!E33</f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>
        <f t="shared" si="0"/>
        <v>0</v>
      </c>
      <c r="AD33" s="48" t="s">
        <v>76</v>
      </c>
      <c r="AE33" s="45"/>
      <c r="AF33" s="46"/>
      <c r="AG33" s="46"/>
      <c r="AH33" s="46"/>
      <c r="AI33" s="47"/>
      <c r="AJ33" s="45">
        <f>AC33*AE33/100</f>
        <v>0</v>
      </c>
      <c r="AK33" s="47"/>
      <c r="AL33" s="45">
        <f>AC33*AG33</f>
        <v>0</v>
      </c>
      <c r="AM33" s="47"/>
      <c r="AN33" s="45">
        <f t="shared" si="2"/>
        <v>0</v>
      </c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7"/>
    </row>
    <row r="34" spans="1:52" s="6" customFormat="1" ht="12.75">
      <c r="A34" s="46"/>
      <c r="B34" s="46">
        <f>Baseline!B34</f>
        <v>0</v>
      </c>
      <c r="C34" s="46"/>
      <c r="D34" s="46"/>
      <c r="E34" s="46">
        <f>Baseline!E34</f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>
        <f t="shared" si="0"/>
        <v>0</v>
      </c>
      <c r="AD34" s="48" t="s">
        <v>77</v>
      </c>
      <c r="AE34" s="45"/>
      <c r="AF34" s="46"/>
      <c r="AG34" s="46"/>
      <c r="AH34" s="46"/>
      <c r="AI34" s="47"/>
      <c r="AJ34" s="45"/>
      <c r="AK34" s="47"/>
      <c r="AL34" s="45">
        <f>AC34*AG34/100</f>
        <v>0</v>
      </c>
      <c r="AM34" s="47"/>
      <c r="AN34" s="45">
        <f t="shared" si="2"/>
        <v>0</v>
      </c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7"/>
    </row>
    <row r="35" spans="1:52" s="6" customFormat="1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>
        <f t="shared" si="0"/>
        <v>0</v>
      </c>
      <c r="AD35" s="48" t="s">
        <v>78</v>
      </c>
      <c r="AE35" s="45"/>
      <c r="AF35" s="46"/>
      <c r="AG35" s="46"/>
      <c r="AH35" s="46"/>
      <c r="AI35" s="47"/>
      <c r="AJ35" s="45"/>
      <c r="AK35" s="47"/>
      <c r="AL35" s="45">
        <f>-SUM(AL31:AL34)</f>
        <v>0</v>
      </c>
      <c r="AM35" s="47">
        <f>-AL35*AI35/100</f>
        <v>0</v>
      </c>
      <c r="AN35" s="45">
        <f t="shared" si="2"/>
        <v>0</v>
      </c>
      <c r="AO35" s="46">
        <f>AM35*17.5%-AW35</f>
        <v>0</v>
      </c>
      <c r="AP35" s="46">
        <f>AM35-AO35-AW35</f>
        <v>0</v>
      </c>
      <c r="AQ35" s="46"/>
      <c r="AR35" s="46"/>
      <c r="AS35" s="46"/>
      <c r="AT35" s="46"/>
      <c r="AU35" s="46"/>
      <c r="AV35" s="46"/>
      <c r="AW35" s="7">
        <f>0*AM35/SUM($AM$35:$AM$52)</f>
        <v>0</v>
      </c>
      <c r="AX35" s="46"/>
      <c r="AY35" s="46"/>
      <c r="AZ35" s="47"/>
    </row>
    <row r="36" spans="1:52" s="6" customFormat="1" ht="12.75">
      <c r="A36" s="46"/>
      <c r="B36" s="46"/>
      <c r="C36" s="46"/>
      <c r="D36" s="46"/>
      <c r="E36" s="46"/>
      <c r="F36" s="46"/>
      <c r="G36" s="46"/>
      <c r="H36" s="46"/>
      <c r="I36" s="46">
        <f>Baseline!I36</f>
        <v>0</v>
      </c>
      <c r="J36" s="46"/>
      <c r="K36" s="46"/>
      <c r="L36" s="46"/>
      <c r="M36" s="46"/>
      <c r="N36" s="46"/>
      <c r="O36" s="46"/>
      <c r="P36" s="46"/>
      <c r="Q36" s="46"/>
      <c r="R36" s="46"/>
      <c r="S36" s="46">
        <f>Baseline!S36</f>
        <v>0</v>
      </c>
      <c r="T36" s="46">
        <f>Baseline!T36</f>
        <v>0</v>
      </c>
      <c r="U36" s="46">
        <f>Baseline!U36</f>
        <v>0</v>
      </c>
      <c r="V36" s="46">
        <f>Baseline!V36</f>
        <v>0</v>
      </c>
      <c r="W36" s="46">
        <f>Baseline!W36</f>
        <v>0</v>
      </c>
      <c r="X36" s="46"/>
      <c r="Y36" s="46"/>
      <c r="Z36" s="46"/>
      <c r="AA36" s="46"/>
      <c r="AB36" s="110">
        <f>Baseline!AB36*Fremskrivningsfaktor!T14</f>
        <v>0</v>
      </c>
      <c r="AC36" s="47">
        <f t="shared" si="0"/>
        <v>0</v>
      </c>
      <c r="AD36" s="48" t="s">
        <v>79</v>
      </c>
      <c r="AE36" s="45"/>
      <c r="AF36" s="46"/>
      <c r="AG36" s="46"/>
      <c r="AH36" s="46"/>
      <c r="AI36" s="47"/>
      <c r="AJ36" s="45">
        <f>AC36*AE36/100</f>
        <v>0</v>
      </c>
      <c r="AK36" s="47"/>
      <c r="AL36" s="45">
        <f>AC36*AG36/100</f>
        <v>0</v>
      </c>
      <c r="AM36" s="47"/>
      <c r="AN36" s="45">
        <f t="shared" si="2"/>
        <v>0</v>
      </c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7"/>
    </row>
    <row r="37" spans="1:52" s="6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>
        <f>Baseline!AB37</f>
        <v>0</v>
      </c>
      <c r="AC37" s="47">
        <f t="shared" si="0"/>
        <v>0</v>
      </c>
      <c r="AD37" s="48" t="s">
        <v>80</v>
      </c>
      <c r="AE37" s="45"/>
      <c r="AF37" s="46"/>
      <c r="AG37" s="46"/>
      <c r="AH37" s="46"/>
      <c r="AI37" s="47"/>
      <c r="AJ37" s="45">
        <f>AC37*AE37/100</f>
        <v>0</v>
      </c>
      <c r="AK37" s="47"/>
      <c r="AL37" s="45">
        <f>AC37*AG37/100</f>
        <v>0</v>
      </c>
      <c r="AM37" s="47"/>
      <c r="AN37" s="45">
        <f t="shared" si="2"/>
        <v>0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7"/>
    </row>
    <row r="38" spans="1:52" s="6" customFormat="1" ht="12.75">
      <c r="A38" s="46"/>
      <c r="B38" s="46"/>
      <c r="C38" s="46"/>
      <c r="D38" s="46"/>
      <c r="E38" s="46"/>
      <c r="F38" s="46"/>
      <c r="G38" s="46"/>
      <c r="H38" s="46"/>
      <c r="I38" s="46">
        <f>Baseline!I38</f>
        <v>0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>
        <f>Baseline!AB38</f>
        <v>0</v>
      </c>
      <c r="AC38" s="47">
        <f t="shared" si="0"/>
        <v>0</v>
      </c>
      <c r="AD38" s="48" t="s">
        <v>81</v>
      </c>
      <c r="AE38" s="45"/>
      <c r="AF38" s="46"/>
      <c r="AG38" s="46"/>
      <c r="AH38" s="46"/>
      <c r="AI38" s="47"/>
      <c r="AJ38" s="45">
        <f>AC38*AE38/100</f>
        <v>0</v>
      </c>
      <c r="AK38" s="47"/>
      <c r="AL38" s="45">
        <f>AC38*AG38/100</f>
        <v>0</v>
      </c>
      <c r="AM38" s="47"/>
      <c r="AN38" s="45">
        <f t="shared" si="2"/>
        <v>0</v>
      </c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7"/>
    </row>
    <row r="39" spans="1:52" s="6" customFormat="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>
        <f t="shared" si="0"/>
        <v>0</v>
      </c>
      <c r="AD39" s="48" t="s">
        <v>82</v>
      </c>
      <c r="AE39" s="45"/>
      <c r="AF39" s="46"/>
      <c r="AG39" s="46"/>
      <c r="AH39" s="46"/>
      <c r="AI39" s="47">
        <v>75</v>
      </c>
      <c r="AJ39" s="45"/>
      <c r="AK39" s="47"/>
      <c r="AL39" s="45">
        <f>-SUM(AL36:AL38)</f>
        <v>0</v>
      </c>
      <c r="AM39" s="47">
        <f>-AL39*AI39/100</f>
        <v>0</v>
      </c>
      <c r="AN39" s="45">
        <f t="shared" si="2"/>
        <v>0</v>
      </c>
      <c r="AO39" s="46">
        <f>AM39*17.5%-AW39</f>
        <v>0</v>
      </c>
      <c r="AP39" s="46">
        <f>AM39-AO39-AW39</f>
        <v>0</v>
      </c>
      <c r="AQ39" s="46"/>
      <c r="AR39" s="46"/>
      <c r="AS39" s="46"/>
      <c r="AT39" s="46"/>
      <c r="AU39" s="46"/>
      <c r="AV39" s="46"/>
      <c r="AW39" s="7">
        <f>0*AM39/SUM($AM$35:$AM$52)</f>
        <v>0</v>
      </c>
      <c r="AX39" s="46"/>
      <c r="AY39" s="46"/>
      <c r="AZ39" s="47"/>
    </row>
    <row r="40" spans="1:52" s="6" customFormat="1" ht="12.75">
      <c r="A40" s="46"/>
      <c r="B40" s="46"/>
      <c r="C40" s="46">
        <f>Baseline!C40</f>
        <v>0</v>
      </c>
      <c r="D40" s="46"/>
      <c r="E40" s="46">
        <f>Baseline!E40</f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110">
        <f>Baseline!S40*Fremskrivningsfaktor!Q14</f>
        <v>0</v>
      </c>
      <c r="T40" s="46"/>
      <c r="U40" s="46"/>
      <c r="V40" s="110">
        <f>Baseline!T43*Fremskrivningsfaktor!R14</f>
        <v>0</v>
      </c>
      <c r="W40" s="110">
        <f>Baseline!W40*Fremskrivningsfaktor!R14</f>
        <v>0</v>
      </c>
      <c r="X40" s="46"/>
      <c r="Y40" s="46"/>
      <c r="Z40" s="46"/>
      <c r="AA40" s="46"/>
      <c r="AB40" s="46"/>
      <c r="AC40" s="47">
        <f t="shared" si="0"/>
        <v>0</v>
      </c>
      <c r="AD40" s="48" t="s">
        <v>101</v>
      </c>
      <c r="AE40" s="45"/>
      <c r="AF40" s="46"/>
      <c r="AG40" s="46"/>
      <c r="AH40" s="46"/>
      <c r="AI40" s="47"/>
      <c r="AJ40" s="45">
        <f>AC40*AE40/100</f>
        <v>0</v>
      </c>
      <c r="AK40" s="47"/>
      <c r="AL40" s="45">
        <f>AC40*AG40/100</f>
        <v>0</v>
      </c>
      <c r="AM40" s="47"/>
      <c r="AN40" s="45">
        <f t="shared" si="2"/>
        <v>0</v>
      </c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7"/>
    </row>
    <row r="41" spans="1:52" s="6" customFormat="1" ht="12.75">
      <c r="A41" s="46"/>
      <c r="B41" s="46"/>
      <c r="C41" s="46"/>
      <c r="D41" s="46"/>
      <c r="E41" s="46">
        <f>Baseline!E41</f>
        <v>0</v>
      </c>
      <c r="F41" s="46"/>
      <c r="G41" s="46"/>
      <c r="H41" s="46"/>
      <c r="I41" s="110">
        <f>Baseline!I41*Fremskrivningsfaktor!P14</f>
        <v>0</v>
      </c>
      <c r="J41" s="46"/>
      <c r="K41" s="46"/>
      <c r="L41" s="46"/>
      <c r="M41" s="46"/>
      <c r="N41" s="46"/>
      <c r="O41" s="46">
        <f>Baseline!O41</f>
        <v>0</v>
      </c>
      <c r="P41" s="46"/>
      <c r="Q41" s="46"/>
      <c r="R41" s="46"/>
      <c r="S41" s="46"/>
      <c r="T41" s="46"/>
      <c r="U41" s="46"/>
      <c r="V41" s="46"/>
      <c r="W41" s="46"/>
      <c r="X41" s="46">
        <f>Baseline!X41</f>
        <v>0</v>
      </c>
      <c r="Y41" s="46"/>
      <c r="Z41" s="46"/>
      <c r="AA41" s="46"/>
      <c r="AB41" s="46"/>
      <c r="AC41" s="47">
        <f t="shared" si="0"/>
        <v>0</v>
      </c>
      <c r="AD41" s="48" t="s">
        <v>102</v>
      </c>
      <c r="AE41" s="45"/>
      <c r="AF41" s="46"/>
      <c r="AG41" s="46"/>
      <c r="AH41" s="46"/>
      <c r="AI41" s="47"/>
      <c r="AJ41" s="45">
        <f>AC41*AE41/100</f>
        <v>0</v>
      </c>
      <c r="AK41" s="47"/>
      <c r="AL41" s="45">
        <f>AC41*AG41/100</f>
        <v>0</v>
      </c>
      <c r="AM41" s="47"/>
      <c r="AN41" s="45">
        <f t="shared" si="2"/>
        <v>0</v>
      </c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7"/>
    </row>
    <row r="42" spans="1:52" s="6" customFormat="1" ht="12.75">
      <c r="A42" s="46"/>
      <c r="B42" s="46"/>
      <c r="C42" s="46"/>
      <c r="D42" s="46"/>
      <c r="E42" s="46"/>
      <c r="F42" s="46"/>
      <c r="G42" s="46"/>
      <c r="H42" s="46"/>
      <c r="I42" s="46">
        <f>Baseline!I42</f>
        <v>0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>
        <f t="shared" si="0"/>
        <v>0</v>
      </c>
      <c r="AD42" s="48" t="s">
        <v>103</v>
      </c>
      <c r="AE42" s="45"/>
      <c r="AF42" s="46"/>
      <c r="AG42" s="46"/>
      <c r="AH42" s="46"/>
      <c r="AI42" s="47"/>
      <c r="AJ42" s="45">
        <f>AC42*AE42/100</f>
        <v>0</v>
      </c>
      <c r="AK42" s="47"/>
      <c r="AL42" s="45">
        <f>AC42*AG42/100</f>
        <v>0</v>
      </c>
      <c r="AM42" s="47"/>
      <c r="AN42" s="45">
        <f t="shared" si="2"/>
        <v>0</v>
      </c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7"/>
    </row>
    <row r="43" spans="1:52" s="6" customFormat="1" ht="12.75">
      <c r="A43" s="46"/>
      <c r="B43" s="46"/>
      <c r="C43" s="46"/>
      <c r="D43" s="46">
        <f>Baseline!D43</f>
        <v>0</v>
      </c>
      <c r="E43" s="46">
        <f>Baseline!E43</f>
        <v>0</v>
      </c>
      <c r="F43" s="46"/>
      <c r="G43" s="46"/>
      <c r="H43" s="46"/>
      <c r="I43" s="110">
        <f>Baseline!I43*Fremskrivningsfaktor!P11</f>
        <v>0</v>
      </c>
      <c r="J43" s="46"/>
      <c r="K43" s="46"/>
      <c r="L43" s="46"/>
      <c r="M43" s="46"/>
      <c r="N43" s="46"/>
      <c r="O43" s="46">
        <f>Baseline!O43</f>
        <v>0</v>
      </c>
      <c r="P43" s="46"/>
      <c r="Q43" s="46">
        <f>Baseline!Q43</f>
        <v>0</v>
      </c>
      <c r="R43" s="46"/>
      <c r="S43" s="46"/>
      <c r="T43" s="46">
        <f>Baseline!T43</f>
        <v>0</v>
      </c>
      <c r="U43" s="46">
        <f>Baseline!U43</f>
        <v>0</v>
      </c>
      <c r="V43" s="46">
        <f>Baseline!V43</f>
        <v>0</v>
      </c>
      <c r="W43" s="46">
        <f>Baseline!W43</f>
        <v>0</v>
      </c>
      <c r="X43" s="46">
        <f>Baseline!X43</f>
        <v>0</v>
      </c>
      <c r="Y43" s="46"/>
      <c r="Z43" s="46"/>
      <c r="AA43" s="46"/>
      <c r="AB43" s="46"/>
      <c r="AC43" s="47">
        <f t="shared" si="0"/>
        <v>0</v>
      </c>
      <c r="AD43" s="48" t="s">
        <v>104</v>
      </c>
      <c r="AE43" s="45"/>
      <c r="AF43" s="46"/>
      <c r="AG43" s="46"/>
      <c r="AH43" s="46"/>
      <c r="AI43" s="47"/>
      <c r="AJ43" s="45">
        <f>AC43*AE43/100</f>
        <v>0</v>
      </c>
      <c r="AK43" s="47"/>
      <c r="AL43" s="45">
        <f>AC43*AG43/100</f>
        <v>0</v>
      </c>
      <c r="AM43" s="47"/>
      <c r="AN43" s="45">
        <f t="shared" si="2"/>
        <v>0</v>
      </c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7"/>
    </row>
    <row r="44" spans="1:52" s="6" customFormat="1" ht="12.75">
      <c r="A44" s="46"/>
      <c r="B44" s="46"/>
      <c r="C44" s="46"/>
      <c r="D44" s="46"/>
      <c r="E44" s="46">
        <f>Baseline!E44</f>
        <v>0</v>
      </c>
      <c r="F44" s="46"/>
      <c r="G44" s="46"/>
      <c r="H44" s="46"/>
      <c r="I44" s="110">
        <f>Baseline!I44*Fremskrivningsfaktor!P14</f>
        <v>0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>
        <f>Baseline!T44</f>
        <v>0</v>
      </c>
      <c r="U44" s="46">
        <f>Baseline!U44</f>
        <v>0</v>
      </c>
      <c r="V44" s="46"/>
      <c r="W44" s="46"/>
      <c r="X44" s="46"/>
      <c r="Y44" s="46"/>
      <c r="Z44" s="46"/>
      <c r="AA44" s="46"/>
      <c r="AB44" s="46"/>
      <c r="AC44" s="47">
        <f t="shared" si="0"/>
        <v>0</v>
      </c>
      <c r="AD44" s="48" t="s">
        <v>105</v>
      </c>
      <c r="AE44" s="45"/>
      <c r="AF44" s="46"/>
      <c r="AG44" s="46"/>
      <c r="AH44" s="46"/>
      <c r="AI44" s="47"/>
      <c r="AJ44" s="45">
        <f>AC44*AE44/100</f>
        <v>0</v>
      </c>
      <c r="AK44" s="47"/>
      <c r="AL44" s="45">
        <f>AC44*AG44/100</f>
        <v>0</v>
      </c>
      <c r="AM44" s="47"/>
      <c r="AN44" s="45">
        <f t="shared" si="2"/>
        <v>0</v>
      </c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</row>
    <row r="45" spans="1:52" s="6" customFormat="1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>
        <f t="shared" si="0"/>
        <v>0</v>
      </c>
      <c r="AD45" s="48" t="s">
        <v>106</v>
      </c>
      <c r="AE45" s="45"/>
      <c r="AF45" s="46"/>
      <c r="AG45" s="46"/>
      <c r="AH45" s="46"/>
      <c r="AI45" s="47">
        <v>75</v>
      </c>
      <c r="AJ45" s="45"/>
      <c r="AK45" s="47"/>
      <c r="AL45" s="45">
        <f>-SUM(AL40:AL44)</f>
        <v>0</v>
      </c>
      <c r="AM45" s="47">
        <f>-AL45*AI45/100</f>
        <v>0</v>
      </c>
      <c r="AN45" s="45">
        <f t="shared" si="2"/>
        <v>0</v>
      </c>
      <c r="AO45" s="46">
        <f>AM45*17.5%-AW45</f>
        <v>0</v>
      </c>
      <c r="AP45" s="46">
        <f>AM45-AO45-AW45</f>
        <v>0</v>
      </c>
      <c r="AQ45" s="46"/>
      <c r="AR45" s="46"/>
      <c r="AS45" s="46"/>
      <c r="AT45" s="46"/>
      <c r="AU45" s="46"/>
      <c r="AV45" s="46"/>
      <c r="AW45" s="7">
        <f>0*AM45/SUM($AM$35:$AM$52)</f>
        <v>0</v>
      </c>
      <c r="AX45" s="46"/>
      <c r="AY45" s="46"/>
      <c r="AZ45" s="47"/>
    </row>
    <row r="46" spans="1:52" s="6" customFormat="1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>
        <f>Baseline!O46</f>
        <v>0</v>
      </c>
      <c r="P46" s="46"/>
      <c r="Q46" s="46"/>
      <c r="R46" s="46"/>
      <c r="S46" s="46"/>
      <c r="T46" s="46"/>
      <c r="U46" s="46"/>
      <c r="V46" s="46"/>
      <c r="W46" s="46"/>
      <c r="X46" s="46">
        <f>Baseline!X46</f>
        <v>0</v>
      </c>
      <c r="Y46" s="46"/>
      <c r="Z46" s="46"/>
      <c r="AA46" s="46"/>
      <c r="AB46" s="46"/>
      <c r="AC46" s="47">
        <f>SUM(A46:AB46)</f>
        <v>0</v>
      </c>
      <c r="AD46" s="48" t="s">
        <v>123</v>
      </c>
      <c r="AE46" s="45"/>
      <c r="AF46" s="49"/>
      <c r="AG46" s="46"/>
      <c r="AH46" s="46"/>
      <c r="AI46" s="47"/>
      <c r="AJ46" s="45">
        <f>AC46*AE46/100</f>
        <v>0</v>
      </c>
      <c r="AK46" s="47"/>
      <c r="AL46" s="45">
        <f>AC46*AG46/100</f>
        <v>0</v>
      </c>
      <c r="AM46" s="47"/>
      <c r="AN46" s="45">
        <f t="shared" si="2"/>
        <v>0</v>
      </c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7"/>
    </row>
    <row r="47" spans="1:52" s="6" customFormat="1" ht="12.75">
      <c r="A47" s="46"/>
      <c r="B47" s="46"/>
      <c r="C47" s="46"/>
      <c r="D47" s="46"/>
      <c r="E47" s="46">
        <f>Baseline!E47</f>
        <v>0</v>
      </c>
      <c r="F47" s="46"/>
      <c r="G47" s="46"/>
      <c r="H47" s="46"/>
      <c r="I47" s="46">
        <f>Baseline!I47</f>
        <v>0</v>
      </c>
      <c r="J47" s="46"/>
      <c r="K47" s="46"/>
      <c r="L47" s="46"/>
      <c r="M47" s="46"/>
      <c r="N47" s="46"/>
      <c r="O47" s="46">
        <f>Baseline!O47</f>
        <v>0</v>
      </c>
      <c r="P47" s="46"/>
      <c r="Q47" s="46"/>
      <c r="R47" s="46"/>
      <c r="S47" s="46"/>
      <c r="T47" s="46"/>
      <c r="U47" s="46"/>
      <c r="V47" s="46"/>
      <c r="W47" s="46"/>
      <c r="X47" s="46">
        <f>Baseline!X47</f>
        <v>0</v>
      </c>
      <c r="Y47" s="46"/>
      <c r="Z47" s="46">
        <f>Baseline!Z47</f>
        <v>0</v>
      </c>
      <c r="AA47" s="46"/>
      <c r="AB47" s="46"/>
      <c r="AC47" s="47">
        <f t="shared" si="0"/>
        <v>0</v>
      </c>
      <c r="AD47" s="48" t="s">
        <v>83</v>
      </c>
      <c r="AE47" s="45"/>
      <c r="AF47" s="46"/>
      <c r="AG47" s="46"/>
      <c r="AH47" s="46"/>
      <c r="AI47" s="47"/>
      <c r="AJ47" s="45">
        <f>AC47*AE47/100</f>
        <v>0</v>
      </c>
      <c r="AK47" s="47"/>
      <c r="AL47" s="45">
        <f>AC47*AG47/100</f>
        <v>0</v>
      </c>
      <c r="AM47" s="47"/>
      <c r="AN47" s="45">
        <f t="shared" si="2"/>
        <v>0</v>
      </c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</row>
    <row r="48" spans="1:52" s="6" customFormat="1" ht="12.75">
      <c r="A48" s="46"/>
      <c r="B48" s="46"/>
      <c r="C48" s="46"/>
      <c r="D48" s="46"/>
      <c r="E48" s="46"/>
      <c r="F48" s="46"/>
      <c r="G48" s="46"/>
      <c r="H48" s="46"/>
      <c r="I48" s="46">
        <f>Baseline!I48</f>
        <v>0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7">
        <f t="shared" si="0"/>
        <v>0</v>
      </c>
      <c r="AD48" s="48" t="s">
        <v>85</v>
      </c>
      <c r="AE48" s="45"/>
      <c r="AF48" s="46"/>
      <c r="AG48" s="46"/>
      <c r="AH48" s="46"/>
      <c r="AI48" s="47"/>
      <c r="AJ48" s="45">
        <f>AC48*AE48/100</f>
        <v>0</v>
      </c>
      <c r="AK48" s="47"/>
      <c r="AL48" s="45">
        <f>AC48*AG48/100</f>
        <v>0</v>
      </c>
      <c r="AM48" s="47"/>
      <c r="AN48" s="45">
        <f t="shared" si="2"/>
        <v>0</v>
      </c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7"/>
    </row>
    <row r="49" spans="1:52" s="6" customFormat="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7">
        <f t="shared" si="0"/>
        <v>0</v>
      </c>
      <c r="AD49" s="48" t="s">
        <v>84</v>
      </c>
      <c r="AE49" s="45"/>
      <c r="AF49" s="46"/>
      <c r="AG49" s="46"/>
      <c r="AH49" s="46"/>
      <c r="AI49" s="47">
        <v>75</v>
      </c>
      <c r="AJ49" s="45"/>
      <c r="AK49" s="47"/>
      <c r="AL49" s="45">
        <f>-SUM(AL47:AL48)</f>
        <v>0</v>
      </c>
      <c r="AM49" s="47">
        <f>-AL49*AI49/100</f>
        <v>0</v>
      </c>
      <c r="AN49" s="45">
        <f t="shared" si="2"/>
        <v>0</v>
      </c>
      <c r="AO49" s="46">
        <f>AM49*17.5%-AW49</f>
        <v>0</v>
      </c>
      <c r="AP49" s="46">
        <f>AM49-AO49-AW49</f>
        <v>0</v>
      </c>
      <c r="AQ49" s="46"/>
      <c r="AR49" s="46"/>
      <c r="AS49" s="46"/>
      <c r="AT49" s="46"/>
      <c r="AU49" s="46"/>
      <c r="AV49" s="46"/>
      <c r="AW49" s="7">
        <f>0*AM49/SUM($AM$35:$AM$52)</f>
        <v>0</v>
      </c>
      <c r="AX49" s="46"/>
      <c r="AY49" s="46"/>
      <c r="AZ49" s="47"/>
    </row>
    <row r="50" spans="1:52" s="6" customFormat="1" ht="12.75">
      <c r="A50" s="46"/>
      <c r="B50" s="46"/>
      <c r="C50" s="46"/>
      <c r="D50" s="46">
        <f>Baseline!D50</f>
        <v>0</v>
      </c>
      <c r="E50" s="46">
        <f>Baseline!E50</f>
        <v>0.130846464</v>
      </c>
      <c r="F50" s="46"/>
      <c r="G50" s="46"/>
      <c r="H50" s="46"/>
      <c r="I50" s="110">
        <f>Baseline!I50*Fremskrivningsfaktor!P11</f>
        <v>0</v>
      </c>
      <c r="J50" s="46"/>
      <c r="K50" s="46"/>
      <c r="L50" s="46"/>
      <c r="M50" s="46"/>
      <c r="N50" s="46"/>
      <c r="O50" s="46"/>
      <c r="P50" s="46"/>
      <c r="Q50" s="46">
        <f>Baseline!Q50</f>
        <v>0</v>
      </c>
      <c r="R50" s="46"/>
      <c r="S50" s="110">
        <f>Baseline!S50*Fremskrivningsfaktor!Q11</f>
        <v>66.41346049724748</v>
      </c>
      <c r="T50" s="110">
        <f>Baseline!T50*Fremskrivningsfaktor!R11</f>
        <v>0</v>
      </c>
      <c r="U50" s="110">
        <f>Baseline!U50*Fremskrivningsfaktor!R11</f>
        <v>0</v>
      </c>
      <c r="V50" s="110">
        <f>Baseline!V50*Fremskrivningsfaktor!R11</f>
        <v>0</v>
      </c>
      <c r="W50" s="110">
        <f>Baseline!W50*Fremskrivningsfaktor!R11</f>
        <v>0</v>
      </c>
      <c r="X50" s="46"/>
      <c r="Y50" s="46"/>
      <c r="Z50" s="46"/>
      <c r="AA50" s="46"/>
      <c r="AB50" s="46"/>
      <c r="AC50" s="47">
        <f t="shared" si="0"/>
        <v>66.54430696124749</v>
      </c>
      <c r="AD50" s="48" t="s">
        <v>98</v>
      </c>
      <c r="AE50" s="45"/>
      <c r="AF50" s="46"/>
      <c r="AG50" s="46">
        <v>87.04</v>
      </c>
      <c r="AH50" s="46"/>
      <c r="AI50" s="47"/>
      <c r="AJ50" s="45"/>
      <c r="AK50" s="47"/>
      <c r="AL50" s="45">
        <f>AC50*AG50/100</f>
        <v>57.92016477906982</v>
      </c>
      <c r="AM50" s="47"/>
      <c r="AN50" s="45">
        <f t="shared" si="2"/>
        <v>0</v>
      </c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7"/>
    </row>
    <row r="51" spans="1:52" s="6" customFormat="1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110">
        <f>Baseline!M52*Fremskrivningsfaktor!V11</f>
        <v>0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>
        <f t="shared" si="0"/>
        <v>0</v>
      </c>
      <c r="AD51" s="48" t="s">
        <v>99</v>
      </c>
      <c r="AE51" s="45"/>
      <c r="AF51" s="46"/>
      <c r="AG51" s="46"/>
      <c r="AH51" s="46"/>
      <c r="AI51" s="47"/>
      <c r="AJ51" s="45"/>
      <c r="AK51" s="47"/>
      <c r="AL51" s="45">
        <f>AC51*AG51/100</f>
        <v>0</v>
      </c>
      <c r="AM51" s="47"/>
      <c r="AN51" s="45">
        <f t="shared" si="2"/>
        <v>0</v>
      </c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7"/>
    </row>
    <row r="52" spans="1:52" s="6" customFormat="1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7">
        <f t="shared" si="0"/>
        <v>0</v>
      </c>
      <c r="AD52" s="48" t="s">
        <v>100</v>
      </c>
      <c r="AE52" s="45"/>
      <c r="AF52" s="46"/>
      <c r="AG52" s="46"/>
      <c r="AH52" s="46"/>
      <c r="AI52" s="47">
        <v>75</v>
      </c>
      <c r="AJ52" s="45"/>
      <c r="AK52" s="47"/>
      <c r="AL52" s="45">
        <f>-SUM(AL50:AL51)</f>
        <v>-57.92016477906982</v>
      </c>
      <c r="AM52" s="47">
        <f>-AL52*AI52/100</f>
        <v>43.44012358430236</v>
      </c>
      <c r="AN52" s="45">
        <f t="shared" si="2"/>
        <v>43.440123584302356</v>
      </c>
      <c r="AO52" s="46">
        <f>AM52*17.5%-AW52</f>
        <v>7.602021627252913</v>
      </c>
      <c r="AP52" s="46">
        <f>AM52-AO52-AW52</f>
        <v>35.838101957049446</v>
      </c>
      <c r="AQ52" s="46"/>
      <c r="AR52" s="46"/>
      <c r="AS52" s="46"/>
      <c r="AT52" s="46"/>
      <c r="AU52" s="46"/>
      <c r="AV52" s="46"/>
      <c r="AW52" s="7">
        <f>0*AM52/SUM($AM$35:$AM$52)</f>
        <v>0</v>
      </c>
      <c r="AX52" s="46"/>
      <c r="AY52" s="46"/>
      <c r="AZ52" s="47"/>
    </row>
    <row r="53" spans="1:52" s="6" customFormat="1" ht="12.75">
      <c r="A53" s="46"/>
      <c r="B53" s="46"/>
      <c r="C53" s="46"/>
      <c r="D53" s="46">
        <f>Baseline!D53</f>
        <v>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>
        <f>Baseline!V53</f>
        <v>0</v>
      </c>
      <c r="W53" s="46">
        <f>Baseline!W53</f>
        <v>0</v>
      </c>
      <c r="X53" s="46"/>
      <c r="Y53" s="46"/>
      <c r="Z53" s="46"/>
      <c r="AA53" s="46"/>
      <c r="AB53" s="46">
        <f>Baseline!AB53</f>
        <v>0</v>
      </c>
      <c r="AC53" s="47">
        <f t="shared" si="0"/>
        <v>0</v>
      </c>
      <c r="AD53" s="48" t="s">
        <v>89</v>
      </c>
      <c r="AE53" s="45"/>
      <c r="AF53" s="46"/>
      <c r="AG53" s="46"/>
      <c r="AH53" s="46"/>
      <c r="AI53" s="47"/>
      <c r="AJ53" s="45">
        <f aca="true" t="shared" si="3" ref="AJ53:AJ58">AE53/100*AC53</f>
        <v>0</v>
      </c>
      <c r="AK53" s="47"/>
      <c r="AL53" s="45">
        <f aca="true" t="shared" si="4" ref="AL53:AL58">AC53*AG53/100</f>
        <v>0</v>
      </c>
      <c r="AM53" s="47"/>
      <c r="AN53" s="45">
        <f t="shared" si="2"/>
        <v>0</v>
      </c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7"/>
    </row>
    <row r="54" spans="1:52" s="6" customFormat="1" ht="12.75">
      <c r="A54" s="46"/>
      <c r="B54" s="46"/>
      <c r="C54" s="46"/>
      <c r="D54" s="46"/>
      <c r="E54" s="46">
        <f>Baseline!E54</f>
        <v>0</v>
      </c>
      <c r="F54" s="46"/>
      <c r="G54" s="46"/>
      <c r="H54" s="46"/>
      <c r="I54" s="46">
        <f>Baseline!I54</f>
        <v>0</v>
      </c>
      <c r="J54" s="46"/>
      <c r="K54" s="46"/>
      <c r="L54" s="46"/>
      <c r="M54" s="46"/>
      <c r="N54" s="46"/>
      <c r="O54" s="46">
        <f>Baseline!O54</f>
        <v>0</v>
      </c>
      <c r="P54" s="46"/>
      <c r="Q54" s="46">
        <f>Baseline!Q54</f>
        <v>0</v>
      </c>
      <c r="R54" s="46"/>
      <c r="S54" s="46"/>
      <c r="T54" s="46"/>
      <c r="U54" s="46"/>
      <c r="V54" s="46"/>
      <c r="W54" s="46"/>
      <c r="X54" s="46">
        <f>Baseline!X54</f>
        <v>0</v>
      </c>
      <c r="Y54" s="46"/>
      <c r="Z54" s="46">
        <f>Baseline!Z54</f>
        <v>0</v>
      </c>
      <c r="AA54" s="46"/>
      <c r="AB54" s="46">
        <f>Baseline!AB54</f>
        <v>0</v>
      </c>
      <c r="AC54" s="47">
        <f t="shared" si="0"/>
        <v>0</v>
      </c>
      <c r="AD54" s="48" t="s">
        <v>90</v>
      </c>
      <c r="AE54" s="45"/>
      <c r="AF54" s="46"/>
      <c r="AG54" s="46"/>
      <c r="AH54" s="46"/>
      <c r="AI54" s="47"/>
      <c r="AJ54" s="45">
        <f t="shared" si="3"/>
        <v>0</v>
      </c>
      <c r="AK54" s="47"/>
      <c r="AL54" s="45">
        <f t="shared" si="4"/>
        <v>0</v>
      </c>
      <c r="AM54" s="47"/>
      <c r="AN54" s="45">
        <f t="shared" si="2"/>
        <v>0</v>
      </c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7"/>
    </row>
    <row r="55" spans="1:52" s="6" customFormat="1" ht="12.75">
      <c r="A55" s="46"/>
      <c r="B55" s="46"/>
      <c r="C55" s="46"/>
      <c r="D55" s="46"/>
      <c r="E55" s="46"/>
      <c r="F55" s="46"/>
      <c r="G55" s="46"/>
      <c r="H55" s="46"/>
      <c r="I55" s="46">
        <f>Baseline!I55</f>
        <v>0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>
        <f t="shared" si="0"/>
        <v>0</v>
      </c>
      <c r="AD55" s="48" t="s">
        <v>91</v>
      </c>
      <c r="AE55" s="45"/>
      <c r="AF55" s="46"/>
      <c r="AG55" s="46"/>
      <c r="AH55" s="46"/>
      <c r="AI55" s="47"/>
      <c r="AJ55" s="45">
        <f t="shared" si="3"/>
        <v>0</v>
      </c>
      <c r="AK55" s="47"/>
      <c r="AL55" s="45">
        <f t="shared" si="4"/>
        <v>0</v>
      </c>
      <c r="AM55" s="47"/>
      <c r="AN55" s="45">
        <f t="shared" si="2"/>
        <v>0</v>
      </c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7"/>
    </row>
    <row r="56" spans="1:52" s="6" customFormat="1" ht="12.75">
      <c r="A56" s="46"/>
      <c r="B56" s="46"/>
      <c r="C56" s="46"/>
      <c r="D56" s="46">
        <f>Baseline!D56</f>
        <v>0</v>
      </c>
      <c r="E56" s="46">
        <f>Baseline!E56</f>
        <v>0</v>
      </c>
      <c r="F56" s="46"/>
      <c r="G56" s="46"/>
      <c r="H56" s="46"/>
      <c r="I56" s="46">
        <f>Baseline!I56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>
        <f>Baseline!V56</f>
        <v>0</v>
      </c>
      <c r="W56" s="46">
        <f>Baseline!W56</f>
        <v>0</v>
      </c>
      <c r="X56" s="46"/>
      <c r="Y56" s="46"/>
      <c r="Z56" s="46"/>
      <c r="AA56" s="46"/>
      <c r="AB56" s="46"/>
      <c r="AC56" s="47">
        <f t="shared" si="0"/>
        <v>0</v>
      </c>
      <c r="AD56" s="48" t="s">
        <v>92</v>
      </c>
      <c r="AE56" s="45"/>
      <c r="AF56" s="46"/>
      <c r="AG56" s="46"/>
      <c r="AH56" s="46"/>
      <c r="AI56" s="47"/>
      <c r="AJ56" s="45">
        <f t="shared" si="3"/>
        <v>0</v>
      </c>
      <c r="AK56" s="47"/>
      <c r="AL56" s="45">
        <f t="shared" si="4"/>
        <v>0</v>
      </c>
      <c r="AM56" s="47"/>
      <c r="AN56" s="45">
        <f t="shared" si="2"/>
        <v>0</v>
      </c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7"/>
    </row>
    <row r="57" spans="1:52" s="6" customFormat="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>
        <f t="shared" si="0"/>
        <v>0</v>
      </c>
      <c r="AD57" s="48" t="s">
        <v>93</v>
      </c>
      <c r="AE57" s="45"/>
      <c r="AF57" s="46"/>
      <c r="AG57" s="46"/>
      <c r="AH57" s="46"/>
      <c r="AI57" s="47"/>
      <c r="AJ57" s="45">
        <f t="shared" si="3"/>
        <v>0</v>
      </c>
      <c r="AK57" s="47"/>
      <c r="AL57" s="45">
        <f t="shared" si="4"/>
        <v>0</v>
      </c>
      <c r="AM57" s="47"/>
      <c r="AN57" s="45">
        <f t="shared" si="2"/>
        <v>0</v>
      </c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7"/>
    </row>
    <row r="58" spans="1:52" s="6" customFormat="1" ht="12.75">
      <c r="A58" s="46"/>
      <c r="B58" s="46"/>
      <c r="C58" s="46"/>
      <c r="D58" s="46"/>
      <c r="E58" s="46">
        <f>Baseline!E58</f>
        <v>0</v>
      </c>
      <c r="F58" s="46"/>
      <c r="G58" s="46"/>
      <c r="H58" s="46"/>
      <c r="I58" s="46">
        <f>Baseline!I58</f>
        <v>0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>
        <f>Baseline!V58</f>
        <v>0</v>
      </c>
      <c r="W58" s="46">
        <f>Baseline!W58</f>
        <v>0</v>
      </c>
      <c r="X58" s="46"/>
      <c r="Y58" s="46"/>
      <c r="Z58" s="46"/>
      <c r="AA58" s="46"/>
      <c r="AB58" s="46"/>
      <c r="AC58" s="47">
        <f t="shared" si="0"/>
        <v>0</v>
      </c>
      <c r="AD58" s="48" t="s">
        <v>94</v>
      </c>
      <c r="AE58" s="45"/>
      <c r="AF58" s="46"/>
      <c r="AG58" s="46"/>
      <c r="AH58" s="46"/>
      <c r="AI58" s="47"/>
      <c r="AJ58" s="45">
        <f t="shared" si="3"/>
        <v>0</v>
      </c>
      <c r="AK58" s="47"/>
      <c r="AL58" s="45">
        <f t="shared" si="4"/>
        <v>0</v>
      </c>
      <c r="AM58" s="47"/>
      <c r="AN58" s="45">
        <f t="shared" si="2"/>
        <v>0</v>
      </c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7"/>
    </row>
    <row r="59" spans="1:52" s="6" customFormat="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7">
        <f t="shared" si="0"/>
        <v>0</v>
      </c>
      <c r="AD59" s="50" t="s">
        <v>96</v>
      </c>
      <c r="AE59" s="45"/>
      <c r="AF59" s="46"/>
      <c r="AG59" s="46"/>
      <c r="AH59" s="46"/>
      <c r="AI59" s="49"/>
      <c r="AJ59" s="45">
        <f>-AK59</f>
        <v>0</v>
      </c>
      <c r="AK59" s="47">
        <v>0</v>
      </c>
      <c r="AL59" s="45"/>
      <c r="AM59" s="47"/>
      <c r="AN59" s="45">
        <f t="shared" si="2"/>
        <v>0</v>
      </c>
      <c r="AO59" s="46"/>
      <c r="AP59" s="46"/>
      <c r="AQ59" s="46"/>
      <c r="AR59" s="46"/>
      <c r="AS59" s="46"/>
      <c r="AT59" s="46"/>
      <c r="AU59" s="46"/>
      <c r="AV59" s="46"/>
      <c r="AW59" s="46">
        <f>AK59</f>
        <v>0</v>
      </c>
      <c r="AX59" s="46"/>
      <c r="AY59" s="46"/>
      <c r="AZ59" s="47"/>
    </row>
    <row r="60" spans="1:52" s="6" customFormat="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7">
        <f t="shared" si="0"/>
        <v>0</v>
      </c>
      <c r="AD60" s="50" t="s">
        <v>97</v>
      </c>
      <c r="AE60" s="45"/>
      <c r="AF60" s="46"/>
      <c r="AG60" s="46"/>
      <c r="AH60" s="46"/>
      <c r="AI60" s="47"/>
      <c r="AJ60" s="45"/>
      <c r="AK60" s="47"/>
      <c r="AL60" s="45">
        <f>-AM60</f>
        <v>0</v>
      </c>
      <c r="AM60" s="51">
        <v>0</v>
      </c>
      <c r="AN60" s="45">
        <f t="shared" si="2"/>
        <v>0</v>
      </c>
      <c r="AO60" s="46"/>
      <c r="AP60" s="46"/>
      <c r="AQ60" s="46"/>
      <c r="AR60" s="46"/>
      <c r="AS60" s="46"/>
      <c r="AT60" s="46"/>
      <c r="AU60" s="46"/>
      <c r="AV60" s="46"/>
      <c r="AW60" s="46">
        <f>AM60</f>
        <v>0</v>
      </c>
      <c r="AX60" s="46"/>
      <c r="AY60" s="46"/>
      <c r="AZ60" s="47"/>
    </row>
    <row r="61" spans="1:52" s="6" customFormat="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7">
        <f t="shared" si="0"/>
        <v>0</v>
      </c>
      <c r="AD61" s="48" t="s">
        <v>95</v>
      </c>
      <c r="AE61" s="45"/>
      <c r="AF61" s="46"/>
      <c r="AG61" s="46"/>
      <c r="AH61" s="46"/>
      <c r="AI61" s="47">
        <v>75</v>
      </c>
      <c r="AJ61" s="45"/>
      <c r="AK61" s="47"/>
      <c r="AL61" s="45">
        <f>-SUM(AL53:AL60)</f>
        <v>0</v>
      </c>
      <c r="AM61" s="47">
        <f>-AL61*AI61/100</f>
        <v>0</v>
      </c>
      <c r="AN61" s="45">
        <f t="shared" si="2"/>
        <v>0</v>
      </c>
      <c r="AO61" s="46">
        <f>AM61*17.5%</f>
        <v>0</v>
      </c>
      <c r="AP61" s="46">
        <f>AM61-AO61</f>
        <v>0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7"/>
    </row>
    <row r="62" spans="1:52" s="6" customFormat="1" ht="12.75">
      <c r="A62" s="45"/>
      <c r="B62" s="46"/>
      <c r="C62" s="46"/>
      <c r="D62" s="46"/>
      <c r="E62" s="46"/>
      <c r="F62" s="46"/>
      <c r="G62" s="46"/>
      <c r="H62" s="110">
        <f>Baseline!H62*Fremskrivningsfaktor!K20</f>
        <v>68.67249873477711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>
        <f t="shared" si="0"/>
        <v>68.67249873477711</v>
      </c>
      <c r="AD62" s="48" t="s">
        <v>124</v>
      </c>
      <c r="AE62" s="45"/>
      <c r="AF62" s="46">
        <v>20</v>
      </c>
      <c r="AG62" s="46"/>
      <c r="AH62" s="46"/>
      <c r="AI62" s="47"/>
      <c r="AJ62" s="45"/>
      <c r="AK62" s="47"/>
      <c r="AL62" s="45"/>
      <c r="AM62" s="47"/>
      <c r="AN62" s="45">
        <f t="shared" si="2"/>
        <v>13.734499746955422</v>
      </c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7">
        <f>AC62*AF62/100</f>
        <v>13.734499746955422</v>
      </c>
    </row>
    <row r="63" spans="1:52" s="6" customFormat="1" ht="12.75">
      <c r="A63" s="45"/>
      <c r="B63" s="46"/>
      <c r="C63" s="46"/>
      <c r="D63" s="46"/>
      <c r="E63" s="46"/>
      <c r="F63" s="110">
        <f>Baseline!F63*Fremskrivningsfaktor!I20</f>
        <v>14.079849082237235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>
        <v>1477.77228747524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>
        <f>SUM(A63:AB63)-R63</f>
        <v>14.07984908223716</v>
      </c>
      <c r="AD63" s="48" t="s">
        <v>64</v>
      </c>
      <c r="AE63" s="45"/>
      <c r="AF63" s="46">
        <v>25</v>
      </c>
      <c r="AG63" s="46"/>
      <c r="AH63" s="46"/>
      <c r="AI63" s="47"/>
      <c r="AJ63" s="45"/>
      <c r="AK63" s="47"/>
      <c r="AL63" s="45"/>
      <c r="AM63" s="47"/>
      <c r="AN63" s="45">
        <f t="shared" si="2"/>
        <v>3.51996227055929</v>
      </c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7">
        <f aca="true" t="shared" si="5" ref="AZ63:AZ70">AC63*AF63/100</f>
        <v>3.51996227055929</v>
      </c>
    </row>
    <row r="64" spans="1:52" s="6" customFormat="1" ht="12.75">
      <c r="A64" s="45"/>
      <c r="B64" s="46"/>
      <c r="C64" s="46"/>
      <c r="D64" s="46"/>
      <c r="E64" s="46"/>
      <c r="F64" s="46">
        <f>Baseline!F64</f>
        <v>1.625171172206312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>
        <f t="shared" si="0"/>
        <v>1.625171172206312</v>
      </c>
      <c r="AD64" s="48" t="s">
        <v>65</v>
      </c>
      <c r="AE64" s="45"/>
      <c r="AF64" s="46">
        <v>33</v>
      </c>
      <c r="AG64" s="46"/>
      <c r="AH64" s="46"/>
      <c r="AI64" s="47"/>
      <c r="AJ64" s="45"/>
      <c r="AK64" s="47"/>
      <c r="AL64" s="45"/>
      <c r="AM64" s="47"/>
      <c r="AN64" s="45">
        <f t="shared" si="2"/>
        <v>0.536306486828083</v>
      </c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7">
        <f t="shared" si="5"/>
        <v>0.536306486828083</v>
      </c>
    </row>
    <row r="65" spans="1:52" s="6" customFormat="1" ht="12.75">
      <c r="A65" s="45"/>
      <c r="B65" s="46"/>
      <c r="C65" s="46"/>
      <c r="D65" s="46"/>
      <c r="E65" s="46"/>
      <c r="F65" s="7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>
        <f t="shared" si="0"/>
        <v>0</v>
      </c>
      <c r="AD65" s="48" t="s">
        <v>110</v>
      </c>
      <c r="AE65" s="45"/>
      <c r="AF65" s="46">
        <v>33</v>
      </c>
      <c r="AG65" s="46"/>
      <c r="AH65" s="46"/>
      <c r="AI65" s="47"/>
      <c r="AJ65" s="45"/>
      <c r="AK65" s="47"/>
      <c r="AL65" s="45"/>
      <c r="AM65" s="47"/>
      <c r="AN65" s="45">
        <f t="shared" si="2"/>
        <v>0</v>
      </c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7">
        <f t="shared" si="5"/>
        <v>0</v>
      </c>
    </row>
    <row r="66" spans="1:52" s="6" customFormat="1" ht="12.75">
      <c r="A66" s="45"/>
      <c r="B66" s="46"/>
      <c r="C66" s="46"/>
      <c r="D66" s="46"/>
      <c r="E66" s="46"/>
      <c r="F66" s="110">
        <f>Baseline!F66*Fremskrivningsfaktor!I20</f>
        <v>65.91894450875951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7">
        <f t="shared" si="0"/>
        <v>65.91894450875951</v>
      </c>
      <c r="AD66" s="48" t="s">
        <v>125</v>
      </c>
      <c r="AE66" s="45"/>
      <c r="AF66" s="46">
        <v>33</v>
      </c>
      <c r="AG66" s="46"/>
      <c r="AH66" s="46"/>
      <c r="AI66" s="47"/>
      <c r="AJ66" s="45"/>
      <c r="AK66" s="47"/>
      <c r="AL66" s="45"/>
      <c r="AM66" s="47"/>
      <c r="AN66" s="45">
        <f t="shared" si="2"/>
        <v>21.75325168789064</v>
      </c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7">
        <f t="shared" si="5"/>
        <v>21.75325168789064</v>
      </c>
    </row>
    <row r="67" spans="1:52" s="6" customFormat="1" ht="12.75">
      <c r="A67" s="45"/>
      <c r="B67" s="46"/>
      <c r="C67" s="46"/>
      <c r="D67" s="46"/>
      <c r="E67" s="46"/>
      <c r="F67" s="46">
        <f>Baseline!F67</f>
        <v>32.17167742085836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7">
        <f t="shared" si="0"/>
        <v>32.17167742085836</v>
      </c>
      <c r="AD67" s="48" t="s">
        <v>66</v>
      </c>
      <c r="AE67" s="45"/>
      <c r="AF67" s="46">
        <v>33</v>
      </c>
      <c r="AG67" s="46"/>
      <c r="AH67" s="46"/>
      <c r="AI67" s="47"/>
      <c r="AJ67" s="45"/>
      <c r="AK67" s="47"/>
      <c r="AL67" s="45"/>
      <c r="AM67" s="47"/>
      <c r="AN67" s="45">
        <f t="shared" si="2"/>
        <v>10.616653548883258</v>
      </c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>
        <f>AC67*AF67%</f>
        <v>10.616653548883258</v>
      </c>
      <c r="AZ67" s="47"/>
    </row>
    <row r="68" spans="1:52" s="6" customFormat="1" ht="12.75">
      <c r="A68" s="52"/>
      <c r="B68" s="53"/>
      <c r="C68" s="53"/>
      <c r="D68" s="53"/>
      <c r="E68" s="53"/>
      <c r="F68" s="111">
        <f>Baseline!F68*Fremskrivningsfaktor!I21</f>
        <v>2.7307904971475923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46"/>
      <c r="X68" s="53"/>
      <c r="Y68" s="53"/>
      <c r="Z68" s="53"/>
      <c r="AA68" s="53"/>
      <c r="AB68" s="53"/>
      <c r="AC68" s="47">
        <f t="shared" si="0"/>
        <v>2.7307904971475923</v>
      </c>
      <c r="AD68" s="54" t="s">
        <v>107</v>
      </c>
      <c r="AE68" s="52"/>
      <c r="AF68" s="46">
        <v>33</v>
      </c>
      <c r="AG68" s="53"/>
      <c r="AH68" s="53"/>
      <c r="AI68" s="55"/>
      <c r="AJ68" s="45">
        <f>-AK68/$K$2%</f>
        <v>0</v>
      </c>
      <c r="AK68" s="55">
        <v>0</v>
      </c>
      <c r="AL68" s="52"/>
      <c r="AM68" s="55"/>
      <c r="AN68" s="52">
        <f t="shared" si="2"/>
        <v>0.9011608640587054</v>
      </c>
      <c r="AO68" s="53"/>
      <c r="AP68" s="53"/>
      <c r="AQ68" s="56"/>
      <c r="AR68" s="53"/>
      <c r="AS68" s="53"/>
      <c r="AT68" s="53"/>
      <c r="AU68" s="53"/>
      <c r="AV68" s="53"/>
      <c r="AW68" s="53"/>
      <c r="AX68" s="53"/>
      <c r="AY68" s="53"/>
      <c r="AZ68" s="47">
        <f>AC68*AF68/100+AK68*AF68%</f>
        <v>0.9011608640587054</v>
      </c>
    </row>
    <row r="69" spans="1:52" s="6" customFormat="1" ht="12.75">
      <c r="A69" s="52"/>
      <c r="B69" s="53"/>
      <c r="C69" s="53"/>
      <c r="D69" s="53"/>
      <c r="E69" s="53"/>
      <c r="F69" s="53"/>
      <c r="G69" s="111">
        <f>Baseline!G69*Fremskrivningsfaktor!L22</f>
        <v>36.14214472531048</v>
      </c>
      <c r="H69" s="53">
        <f>Baseline!H69</f>
        <v>0.1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46"/>
      <c r="X69" s="53"/>
      <c r="Y69" s="53"/>
      <c r="Z69" s="53"/>
      <c r="AA69" s="53"/>
      <c r="AB69" s="53"/>
      <c r="AC69" s="47">
        <f t="shared" si="0"/>
        <v>36.24214472531048</v>
      </c>
      <c r="AD69" s="54" t="s">
        <v>108</v>
      </c>
      <c r="AE69" s="52"/>
      <c r="AF69" s="46">
        <v>33</v>
      </c>
      <c r="AG69" s="53"/>
      <c r="AH69" s="53"/>
      <c r="AI69" s="55"/>
      <c r="AJ69" s="52"/>
      <c r="AK69" s="55"/>
      <c r="AL69" s="52"/>
      <c r="AM69" s="55"/>
      <c r="AN69" s="52">
        <f t="shared" si="2"/>
        <v>11.95990775935246</v>
      </c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47">
        <f t="shared" si="5"/>
        <v>11.95990775935246</v>
      </c>
    </row>
    <row r="70" spans="1:52" s="6" customFormat="1" ht="13.5" thickBot="1">
      <c r="A70" s="52"/>
      <c r="B70" s="53"/>
      <c r="C70" s="53"/>
      <c r="D70" s="53">
        <f>Baseline!D70*Fremskrivningsfaktor!H24</f>
        <v>0.8924589325634203</v>
      </c>
      <c r="E70" s="53"/>
      <c r="F70" s="111">
        <f>Baseline!F70*Fremskrivningsfaktor!I24</f>
        <v>2.5083877850686345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46"/>
      <c r="X70" s="53"/>
      <c r="Y70" s="53"/>
      <c r="Z70" s="53"/>
      <c r="AA70" s="53"/>
      <c r="AB70" s="53"/>
      <c r="AC70" s="55">
        <f t="shared" si="0"/>
        <v>3.4008467176320547</v>
      </c>
      <c r="AD70" s="57" t="s">
        <v>67</v>
      </c>
      <c r="AE70" s="58"/>
      <c r="AF70" s="46">
        <v>33</v>
      </c>
      <c r="AG70" s="59"/>
      <c r="AH70" s="59"/>
      <c r="AI70" s="60"/>
      <c r="AJ70" s="58"/>
      <c r="AK70" s="60"/>
      <c r="AL70" s="58"/>
      <c r="AM70" s="60"/>
      <c r="AN70" s="58">
        <f t="shared" si="2"/>
        <v>1.122279416818578</v>
      </c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47">
        <f t="shared" si="5"/>
        <v>1.122279416818578</v>
      </c>
    </row>
    <row r="71" spans="1:52" ht="13.5" thickBot="1">
      <c r="A71" s="61">
        <f aca="true" t="shared" si="6" ref="A71:AA71">SUM(A8:A70)</f>
        <v>-67.46229920571365</v>
      </c>
      <c r="B71" s="62">
        <f t="shared" si="6"/>
        <v>2.667361105501586</v>
      </c>
      <c r="C71" s="63">
        <f t="shared" si="6"/>
        <v>0</v>
      </c>
      <c r="D71" s="63">
        <f t="shared" si="6"/>
        <v>0.8924589325634203</v>
      </c>
      <c r="E71" s="63">
        <f t="shared" si="6"/>
        <v>117.130846464</v>
      </c>
      <c r="F71" s="63">
        <f t="shared" si="6"/>
        <v>119.03482046627764</v>
      </c>
      <c r="G71" s="62">
        <f t="shared" si="6"/>
        <v>36.14214472531048</v>
      </c>
      <c r="H71" s="63">
        <f t="shared" si="6"/>
        <v>68.7724987347771</v>
      </c>
      <c r="I71" s="63">
        <f t="shared" si="6"/>
        <v>0</v>
      </c>
      <c r="J71" s="63">
        <f t="shared" si="6"/>
        <v>189.8451262369111</v>
      </c>
      <c r="K71" s="63">
        <f t="shared" si="6"/>
        <v>0</v>
      </c>
      <c r="L71" s="63">
        <f t="shared" si="6"/>
        <v>0</v>
      </c>
      <c r="M71" s="63">
        <f t="shared" si="6"/>
        <v>0.006582401770890979</v>
      </c>
      <c r="N71" s="63">
        <f t="shared" si="6"/>
        <v>0</v>
      </c>
      <c r="O71" s="62">
        <f t="shared" si="6"/>
        <v>0</v>
      </c>
      <c r="P71" s="62">
        <f t="shared" si="6"/>
        <v>0</v>
      </c>
      <c r="Q71" s="62">
        <f t="shared" si="6"/>
        <v>0</v>
      </c>
      <c r="R71" s="62">
        <f t="shared" si="6"/>
        <v>1477.77228747524</v>
      </c>
      <c r="S71" s="62">
        <f t="shared" si="6"/>
        <v>74.43602459981159</v>
      </c>
      <c r="T71" s="62">
        <f t="shared" si="6"/>
        <v>53.134140566939166</v>
      </c>
      <c r="U71" s="63">
        <f t="shared" si="6"/>
        <v>5.903793396326574</v>
      </c>
      <c r="V71" s="63">
        <f t="shared" si="6"/>
        <v>12.297188002972712</v>
      </c>
      <c r="W71" s="63">
        <f t="shared" si="6"/>
        <v>18.91394906040981</v>
      </c>
      <c r="X71" s="63">
        <f t="shared" si="6"/>
        <v>0</v>
      </c>
      <c r="Y71" s="63">
        <f t="shared" si="6"/>
        <v>0</v>
      </c>
      <c r="Z71" s="62">
        <f t="shared" si="6"/>
        <v>0</v>
      </c>
      <c r="AA71" s="63">
        <f t="shared" si="6"/>
        <v>0.4220031918188458</v>
      </c>
      <c r="AB71" s="63">
        <f>SUM(AB8:AB70)</f>
        <v>0</v>
      </c>
      <c r="AC71" s="64">
        <f>SUM(AC8:AC70)</f>
        <v>632.1366386796772</v>
      </c>
      <c r="AD71" s="65" t="s">
        <v>38</v>
      </c>
      <c r="AE71" s="66"/>
      <c r="AF71" s="66"/>
      <c r="AG71" s="66"/>
      <c r="AH71" s="66"/>
      <c r="AI71" s="66"/>
      <c r="AJ71" s="61">
        <f aca="true" t="shared" si="7" ref="AJ71:AZ71">SUM(AJ8:AJ70)</f>
        <v>2.842170943040401E-14</v>
      </c>
      <c r="AK71" s="63">
        <f t="shared" si="7"/>
        <v>113.45498254436168</v>
      </c>
      <c r="AL71" s="63">
        <f t="shared" si="7"/>
        <v>0</v>
      </c>
      <c r="AM71" s="63">
        <f t="shared" si="7"/>
        <v>43.44012358430236</v>
      </c>
      <c r="AN71" s="63">
        <f t="shared" si="7"/>
        <v>355.2476133384518</v>
      </c>
      <c r="AO71" s="63">
        <f t="shared" si="7"/>
        <v>34.73265223082154</v>
      </c>
      <c r="AP71" s="63">
        <f t="shared" si="7"/>
        <v>163.73964623101585</v>
      </c>
      <c r="AQ71" s="63"/>
      <c r="AR71" s="63">
        <f t="shared" si="7"/>
        <v>30.580771235883862</v>
      </c>
      <c r="AS71" s="63">
        <f t="shared" si="7"/>
        <v>10.101755949084662</v>
      </c>
      <c r="AT71" s="63">
        <f t="shared" si="7"/>
        <v>3.8681307276350076</v>
      </c>
      <c r="AU71" s="63">
        <f t="shared" si="7"/>
        <v>11.558870093273615</v>
      </c>
      <c r="AV71" s="63">
        <f t="shared" si="7"/>
        <v>0.7319359122464231</v>
      </c>
      <c r="AW71" s="62">
        <f t="shared" si="7"/>
        <v>5.649403187170978</v>
      </c>
      <c r="AX71" s="63">
        <f t="shared" si="7"/>
        <v>0.4271956928191012</v>
      </c>
      <c r="AY71" s="63">
        <f t="shared" si="7"/>
        <v>40.1271644020195</v>
      </c>
      <c r="AZ71" s="64">
        <f t="shared" si="7"/>
        <v>53.7300876764813</v>
      </c>
    </row>
    <row r="72" spans="1:52" ht="12.75">
      <c r="A72" s="67">
        <f aca="true" t="shared" si="8" ref="A72:Z72">A71*A77/1000</f>
        <v>-8.338340181826206</v>
      </c>
      <c r="B72" s="39">
        <f t="shared" si="8"/>
        <v>0.17337847185760308</v>
      </c>
      <c r="C72" s="68">
        <f t="shared" si="8"/>
        <v>0</v>
      </c>
      <c r="D72" s="68">
        <f t="shared" si="8"/>
        <v>0.06961179673994679</v>
      </c>
      <c r="E72" s="68">
        <f t="shared" si="8"/>
        <v>8.655969553689602</v>
      </c>
      <c r="F72" s="68">
        <f t="shared" si="8"/>
        <v>8.796673232457918</v>
      </c>
      <c r="G72" s="39">
        <f t="shared" si="8"/>
        <v>2.6022344202223544</v>
      </c>
      <c r="H72" s="68">
        <f t="shared" si="8"/>
        <v>5.020392407638728</v>
      </c>
      <c r="I72" s="68">
        <f t="shared" si="8"/>
        <v>0</v>
      </c>
      <c r="J72" s="68">
        <f t="shared" si="8"/>
        <v>0</v>
      </c>
      <c r="K72" s="68">
        <f t="shared" si="8"/>
        <v>0</v>
      </c>
      <c r="L72" s="68">
        <f t="shared" si="8"/>
        <v>0</v>
      </c>
      <c r="M72" s="68">
        <f t="shared" si="8"/>
        <v>0</v>
      </c>
      <c r="N72" s="68">
        <f t="shared" si="8"/>
        <v>0</v>
      </c>
      <c r="O72" s="39">
        <f t="shared" si="8"/>
        <v>0</v>
      </c>
      <c r="P72" s="39">
        <f t="shared" si="8"/>
        <v>0</v>
      </c>
      <c r="Q72" s="39">
        <f t="shared" si="8"/>
        <v>0</v>
      </c>
      <c r="R72" s="39">
        <f t="shared" si="8"/>
        <v>0</v>
      </c>
      <c r="S72" s="39">
        <f t="shared" si="8"/>
        <v>0</v>
      </c>
      <c r="T72" s="39">
        <f t="shared" si="8"/>
        <v>0</v>
      </c>
      <c r="U72" s="68">
        <f t="shared" si="8"/>
        <v>0</v>
      </c>
      <c r="V72" s="68">
        <f t="shared" si="8"/>
        <v>0</v>
      </c>
      <c r="W72" s="68">
        <f t="shared" si="8"/>
        <v>0</v>
      </c>
      <c r="X72" s="68">
        <f t="shared" si="8"/>
        <v>0</v>
      </c>
      <c r="Y72" s="68">
        <f t="shared" si="8"/>
        <v>0</v>
      </c>
      <c r="Z72" s="39">
        <f t="shared" si="8"/>
        <v>0</v>
      </c>
      <c r="AA72" s="68">
        <v>0</v>
      </c>
      <c r="AB72" s="68">
        <f>AB71*AB77/1000</f>
        <v>0</v>
      </c>
      <c r="AC72" s="162">
        <f>SUM(A72:AB72)</f>
        <v>16.979919700779945</v>
      </c>
      <c r="AD72" s="70" t="s">
        <v>68</v>
      </c>
      <c r="AE72" s="163">
        <f>AC72*1000/J1</f>
        <v>4.111360702368025</v>
      </c>
      <c r="AF72" s="71" t="s">
        <v>71</v>
      </c>
      <c r="AG72" s="71"/>
      <c r="AH72" s="71"/>
      <c r="AI72" s="72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4"/>
      <c r="AV72" s="74"/>
      <c r="AW72" s="49"/>
      <c r="AX72" s="74"/>
      <c r="AY72" s="74"/>
      <c r="AZ72" s="74"/>
    </row>
    <row r="73" spans="1:52" ht="12.75">
      <c r="A73" s="75"/>
      <c r="B73" s="46"/>
      <c r="C73" s="76"/>
      <c r="D73" s="76"/>
      <c r="E73" s="76"/>
      <c r="F73" s="76"/>
      <c r="G73" s="46"/>
      <c r="H73" s="76"/>
      <c r="I73" s="76"/>
      <c r="J73" s="76"/>
      <c r="K73" s="76"/>
      <c r="L73" s="76"/>
      <c r="M73" s="76"/>
      <c r="N73" s="76"/>
      <c r="O73" s="76">
        <v>45.81769913635692</v>
      </c>
      <c r="P73" s="76">
        <v>5.543509869695483</v>
      </c>
      <c r="Q73" s="76">
        <v>132.3414753522414</v>
      </c>
      <c r="R73" s="76"/>
      <c r="S73" s="76">
        <v>73.37376313376939</v>
      </c>
      <c r="T73" s="76">
        <v>66.32378472135842</v>
      </c>
      <c r="U73" s="76"/>
      <c r="V73" s="76"/>
      <c r="W73" s="76"/>
      <c r="X73" s="76"/>
      <c r="Y73" s="46">
        <v>0</v>
      </c>
      <c r="Z73" s="46"/>
      <c r="AA73" s="76"/>
      <c r="AB73" s="46">
        <f>AB71</f>
        <v>0</v>
      </c>
      <c r="AC73" s="77">
        <f>SUM(A73:AB73)</f>
        <v>323.4002322134216</v>
      </c>
      <c r="AD73" s="78" t="s">
        <v>69</v>
      </c>
      <c r="AE73" s="79">
        <f>SUM(J71:Q71,S71:AB71)/SUM(A71:Q71,S71:AB71)*100</f>
        <v>56.15222813193543</v>
      </c>
      <c r="AF73" s="79" t="s">
        <v>121</v>
      </c>
      <c r="AG73" s="79"/>
      <c r="AH73" s="79"/>
      <c r="AI73" s="80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4"/>
      <c r="AV73" s="74"/>
      <c r="AW73" s="49"/>
      <c r="AX73" s="74"/>
      <c r="AY73" s="74"/>
      <c r="AZ73" s="74"/>
    </row>
    <row r="74" spans="1:52" ht="13.5" thickBot="1">
      <c r="A74" s="81"/>
      <c r="B74" s="59"/>
      <c r="C74" s="82"/>
      <c r="D74" s="82"/>
      <c r="E74" s="82"/>
      <c r="F74" s="82"/>
      <c r="G74" s="59"/>
      <c r="H74" s="82"/>
      <c r="I74" s="82"/>
      <c r="J74" s="82">
        <f>IF(J73&gt;0,J71/J73*100,"")</f>
      </c>
      <c r="K74" s="82">
        <f aca="true" t="shared" si="9" ref="K74:AB74">IF(K73&gt;0,K71/K73*100,"")</f>
      </c>
      <c r="L74" s="82">
        <f t="shared" si="9"/>
      </c>
      <c r="M74" s="82">
        <f t="shared" si="9"/>
      </c>
      <c r="N74" s="82">
        <f t="shared" si="9"/>
      </c>
      <c r="O74" s="59">
        <f t="shared" si="9"/>
        <v>0</v>
      </c>
      <c r="P74" s="59">
        <f t="shared" si="9"/>
        <v>0</v>
      </c>
      <c r="Q74" s="59">
        <f t="shared" si="9"/>
        <v>0</v>
      </c>
      <c r="R74" s="59">
        <f t="shared" si="9"/>
      </c>
      <c r="S74" s="59">
        <f t="shared" si="9"/>
        <v>101.44774020122911</v>
      </c>
      <c r="T74" s="59">
        <f t="shared" si="9"/>
        <v>80.11325166404178</v>
      </c>
      <c r="U74" s="82"/>
      <c r="V74" s="82">
        <f t="shared" si="9"/>
      </c>
      <c r="W74" s="82"/>
      <c r="X74" s="82">
        <f t="shared" si="9"/>
      </c>
      <c r="Y74" s="82">
        <f t="shared" si="9"/>
      </c>
      <c r="Z74" s="59">
        <f>IF(Z73&gt;0,Z71/Z73*100,"")</f>
      </c>
      <c r="AA74" s="82">
        <f>IF(AA73&gt;0,AA71/AA73*100,"")</f>
      </c>
      <c r="AB74" s="82">
        <f t="shared" si="9"/>
      </c>
      <c r="AC74" s="83">
        <f>SUMIF(J73:AB73,"&gt;0",J71:AB71)/SUM(J73:AB73)%</f>
        <v>39.44652862294896</v>
      </c>
      <c r="AD74" s="84" t="s">
        <v>70</v>
      </c>
      <c r="AE74" s="85">
        <f>SUM(J71:Q71,S71:T71,V71,X71:AB71,-R71)/SUM(A71:Q71,S71:T71,V71,X71:AB71,-R71)*100</f>
        <v>131.84292622766947</v>
      </c>
      <c r="AF74" s="85" t="s">
        <v>122</v>
      </c>
      <c r="AG74" s="85"/>
      <c r="AH74" s="85"/>
      <c r="AI74" s="86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4"/>
      <c r="AV74" s="74"/>
      <c r="AW74" s="49"/>
      <c r="AX74" s="74"/>
      <c r="AY74" s="74"/>
      <c r="AZ74" s="74"/>
    </row>
    <row r="75" spans="1:52" ht="13.5" thickBot="1">
      <c r="A75" s="8"/>
      <c r="B75" s="11"/>
      <c r="C75" s="8"/>
      <c r="D75" s="8"/>
      <c r="E75" s="8"/>
      <c r="F75" s="8"/>
      <c r="G75" s="1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  <c r="AA75" s="8"/>
      <c r="AB75" s="8"/>
      <c r="AC75" s="8"/>
      <c r="AD75" s="8"/>
      <c r="AE75" s="8"/>
      <c r="AF75" s="13"/>
      <c r="AG75" s="8"/>
      <c r="AH75" s="8"/>
      <c r="AI75" s="8"/>
      <c r="AJ75" s="33"/>
      <c r="AK75" s="13"/>
      <c r="AL75" s="33"/>
      <c r="AM75" s="33"/>
      <c r="AN75" s="33"/>
      <c r="AO75" s="33"/>
      <c r="AP75" s="33"/>
      <c r="AQ75" s="33"/>
      <c r="AR75" s="33"/>
      <c r="AS75" s="33"/>
      <c r="AT75" s="33"/>
      <c r="AU75" s="8"/>
      <c r="AV75" s="8"/>
      <c r="AW75" s="11"/>
      <c r="AX75" s="8"/>
      <c r="AY75" s="8"/>
      <c r="AZ75" s="8"/>
    </row>
    <row r="76" spans="1:52" ht="81.75" customHeight="1" thickBot="1">
      <c r="A76" s="28" t="str">
        <f>A7</f>
        <v>Elimport</v>
      </c>
      <c r="B76" s="24" t="str">
        <f aca="true" t="shared" si="10" ref="B76:AB76">B7</f>
        <v>LPG og petroleum</v>
      </c>
      <c r="C76" s="25" t="str">
        <f t="shared" si="10"/>
        <v>Kul</v>
      </c>
      <c r="D76" s="25" t="str">
        <f t="shared" si="10"/>
        <v>Fuelolie</v>
      </c>
      <c r="E76" s="25" t="str">
        <f t="shared" si="10"/>
        <v>Brændselsolie</v>
      </c>
      <c r="F76" s="25" t="str">
        <f t="shared" si="10"/>
        <v>Dieselolie</v>
      </c>
      <c r="G76" s="24" t="str">
        <f>G7</f>
        <v>JP1</v>
      </c>
      <c r="H76" s="25" t="str">
        <f t="shared" si="10"/>
        <v>Benzin</v>
      </c>
      <c r="I76" s="25" t="str">
        <f t="shared" si="10"/>
        <v>Naturgas</v>
      </c>
      <c r="J76" s="25" t="str">
        <f t="shared" si="10"/>
        <v>Vindenergi</v>
      </c>
      <c r="K76" s="25" t="str">
        <f t="shared" si="10"/>
        <v>Bølgeenergi</v>
      </c>
      <c r="L76" s="25" t="str">
        <f t="shared" si="10"/>
        <v>Vandkraft</v>
      </c>
      <c r="M76" s="25" t="str">
        <f t="shared" si="10"/>
        <v>Solenergi</v>
      </c>
      <c r="N76" s="25" t="str">
        <f t="shared" si="10"/>
        <v>Geotermi</v>
      </c>
      <c r="O76" s="25" t="str">
        <f t="shared" si="10"/>
        <v>Husdyrsgødning</v>
      </c>
      <c r="P76" s="25" t="str">
        <f>P7</f>
        <v>Afgasset fibre</v>
      </c>
      <c r="Q76" s="25" t="str">
        <f t="shared" si="10"/>
        <v>Bioolieog energiafgrøder</v>
      </c>
      <c r="R76" s="25" t="str">
        <f>R7</f>
        <v>Eksport rapsolie</v>
      </c>
      <c r="S76" s="25" t="str">
        <f t="shared" si="10"/>
        <v>Halm</v>
      </c>
      <c r="T76" s="25" t="str">
        <f t="shared" si="10"/>
        <v>Brænde og træflis</v>
      </c>
      <c r="U76" s="25" t="str">
        <f>U7</f>
        <v>Import, Brænde og træflis</v>
      </c>
      <c r="V76" s="25" t="str">
        <f t="shared" si="10"/>
        <v>Træpiller og træaffald</v>
      </c>
      <c r="W76" s="25" t="str">
        <f>W7</f>
        <v>Import, træpiller og træaffald</v>
      </c>
      <c r="X76" s="25" t="str">
        <f t="shared" si="10"/>
        <v>Organisk affald, industri</v>
      </c>
      <c r="Y76" s="25" t="str">
        <f t="shared" si="10"/>
        <v>Organisk affald, husholdninger</v>
      </c>
      <c r="Z76" s="24" t="str">
        <f t="shared" si="10"/>
        <v>Deponi, slam, renseanlæg</v>
      </c>
      <c r="AA76" s="26" t="str">
        <f>AA7</f>
        <v>Varmekilder til varmepumper</v>
      </c>
      <c r="AB76" s="26" t="str">
        <f t="shared" si="10"/>
        <v>Restaffald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11"/>
      <c r="AX76" s="8"/>
      <c r="AY76" s="8"/>
      <c r="AZ76" s="8"/>
    </row>
    <row r="77" spans="1:52" ht="13.5" thickBot="1">
      <c r="A77" s="2">
        <v>123.6</v>
      </c>
      <c r="B77" s="31">
        <v>65</v>
      </c>
      <c r="C77" s="32">
        <v>95</v>
      </c>
      <c r="D77" s="32">
        <v>78</v>
      </c>
      <c r="E77" s="32">
        <v>73.9</v>
      </c>
      <c r="F77" s="32">
        <v>73.9</v>
      </c>
      <c r="G77" s="31">
        <v>72</v>
      </c>
      <c r="H77" s="32">
        <v>73</v>
      </c>
      <c r="I77" s="32">
        <v>56.8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4">
        <v>0</v>
      </c>
      <c r="AA77" s="35">
        <v>0</v>
      </c>
      <c r="AB77" s="35">
        <v>0</v>
      </c>
      <c r="AC77" s="36" t="s">
        <v>72</v>
      </c>
      <c r="AD77" s="37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11"/>
      <c r="AX77" s="8"/>
      <c r="AY77" s="8"/>
      <c r="AZ77" s="8"/>
    </row>
    <row r="79" ht="12.75">
      <c r="AD79" s="3"/>
    </row>
    <row r="80" ht="12.75">
      <c r="AD80" s="5"/>
    </row>
    <row r="81" spans="1:30" ht="12.75" customHeight="1">
      <c r="A81" s="4"/>
      <c r="AD81" s="3"/>
    </row>
    <row r="83" ht="12.75">
      <c r="AD83" s="3"/>
    </row>
    <row r="84" ht="12.75">
      <c r="AD84" s="3"/>
    </row>
  </sheetData>
  <sheetProtection/>
  <mergeCells count="1">
    <mergeCell ref="J1:K1"/>
  </mergeCells>
  <printOptions headings="1"/>
  <pageMargins left="0.75" right="0.75" top="1" bottom="1" header="0" footer="0"/>
  <pageSetup fitToHeight="1" fitToWidth="1" horizontalDpi="600" verticalDpi="600" orientation="landscape" paperSize="8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4"/>
  <sheetViews>
    <sheetView showZeros="0" zoomScale="75" zoomScaleNormal="75" zoomScalePageLayoutView="0" workbookViewId="0" topLeftCell="R1">
      <pane ySplit="7" topLeftCell="BM47" activePane="bottomLeft" state="frozen"/>
      <selection pane="topLeft" activeCell="A1" sqref="A1"/>
      <selection pane="bottomLeft" activeCell="AY15" sqref="AY15"/>
    </sheetView>
  </sheetViews>
  <sheetFormatPr defaultColWidth="9.140625" defaultRowHeight="12.75"/>
  <cols>
    <col min="1" max="1" width="10.140625" style="0" bestFit="1" customWidth="1"/>
    <col min="2" max="2" width="5.7109375" style="6" customWidth="1"/>
    <col min="3" max="3" width="8.57421875" style="0" customWidth="1"/>
    <col min="4" max="4" width="7.140625" style="0" customWidth="1"/>
    <col min="5" max="5" width="6.28125" style="0" customWidth="1"/>
    <col min="6" max="6" width="8.421875" style="0" customWidth="1"/>
    <col min="7" max="7" width="7.140625" style="6" customWidth="1"/>
    <col min="8" max="8" width="8.140625" style="0" customWidth="1"/>
    <col min="9" max="9" width="7.00390625" style="0" bestFit="1" customWidth="1"/>
    <col min="10" max="10" width="6.8515625" style="0" customWidth="1"/>
    <col min="11" max="16" width="5.7109375" style="0" customWidth="1"/>
    <col min="17" max="17" width="6.421875" style="0" customWidth="1"/>
    <col min="18" max="18" width="6.7109375" style="0" customWidth="1"/>
    <col min="19" max="19" width="6.421875" style="0" bestFit="1" customWidth="1"/>
    <col min="20" max="20" width="7.421875" style="0" customWidth="1"/>
    <col min="21" max="21" width="6.140625" style="0" customWidth="1"/>
    <col min="22" max="25" width="5.7109375" style="0" customWidth="1"/>
    <col min="26" max="26" width="5.7109375" style="6" customWidth="1"/>
    <col min="27" max="27" width="5.7109375" style="0" customWidth="1"/>
    <col min="28" max="28" width="7.140625" style="0" customWidth="1"/>
    <col min="29" max="29" width="8.7109375" style="0" customWidth="1"/>
    <col min="30" max="30" width="52.140625" style="0" bestFit="1" customWidth="1"/>
    <col min="31" max="35" width="5.7109375" style="0" customWidth="1"/>
    <col min="37" max="37" width="6.421875" style="0" customWidth="1"/>
    <col min="38" max="38" width="8.140625" style="0" bestFit="1" customWidth="1"/>
    <col min="39" max="39" width="6.8515625" style="0" customWidth="1"/>
    <col min="40" max="40" width="7.57421875" style="0" customWidth="1"/>
    <col min="41" max="41" width="6.57421875" style="0" customWidth="1"/>
    <col min="42" max="42" width="7.28125" style="0" bestFit="1" customWidth="1"/>
    <col min="43" max="43" width="5.7109375" style="0" hidden="1" customWidth="1"/>
    <col min="44" max="48" width="5.7109375" style="0" customWidth="1"/>
    <col min="49" max="49" width="6.421875" style="6" bestFit="1" customWidth="1"/>
    <col min="50" max="51" width="5.7109375" style="0" customWidth="1"/>
    <col min="52" max="52" width="7.28125" style="0" bestFit="1" customWidth="1"/>
  </cols>
  <sheetData>
    <row r="1" spans="1:52" s="6" customFormat="1" ht="12.75">
      <c r="A1" s="9" t="s">
        <v>0</v>
      </c>
      <c r="B1" s="10"/>
      <c r="C1" s="10" t="str">
        <f>Baseline!C1</f>
        <v>Samsø Kommune</v>
      </c>
      <c r="D1" s="10"/>
      <c r="E1" s="10"/>
      <c r="F1" s="9" t="s">
        <v>5</v>
      </c>
      <c r="G1" s="10"/>
      <c r="H1" s="10"/>
      <c r="I1" s="10"/>
      <c r="J1" s="164">
        <f>Baseline!J1</f>
        <v>4130</v>
      </c>
      <c r="K1" s="165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6" customFormat="1" ht="12.75">
      <c r="A2" s="12" t="s">
        <v>1</v>
      </c>
      <c r="B2" s="13"/>
      <c r="C2" s="13">
        <v>2025</v>
      </c>
      <c r="D2" s="13"/>
      <c r="E2" s="13"/>
      <c r="F2" s="12" t="s">
        <v>73</v>
      </c>
      <c r="G2" s="13"/>
      <c r="H2" s="13"/>
      <c r="I2" s="13"/>
      <c r="J2" s="13"/>
      <c r="K2" s="14">
        <v>92.7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6" customFormat="1" ht="13.5" thickBot="1">
      <c r="A3" s="15" t="s">
        <v>2</v>
      </c>
      <c r="B3" s="16"/>
      <c r="C3" s="16" t="s">
        <v>3</v>
      </c>
      <c r="D3" s="16" t="s">
        <v>4</v>
      </c>
      <c r="E3" s="16"/>
      <c r="F3" s="15"/>
      <c r="G3" s="16"/>
      <c r="H3" s="16"/>
      <c r="I3" s="16"/>
      <c r="J3" s="16"/>
      <c r="K3" s="1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3.5" thickBot="1">
      <c r="A4" s="8"/>
      <c r="B4" s="11"/>
      <c r="C4" s="8"/>
      <c r="D4" s="8"/>
      <c r="E4" s="8"/>
      <c r="F4" s="8"/>
      <c r="G4" s="1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11"/>
      <c r="AX4" s="8"/>
      <c r="AY4" s="8"/>
      <c r="AZ4" s="8"/>
    </row>
    <row r="5" spans="1:52" ht="13.5" thickBot="1">
      <c r="A5" s="18"/>
      <c r="B5" s="19"/>
      <c r="C5" s="20"/>
      <c r="D5" s="20"/>
      <c r="E5" s="20"/>
      <c r="F5" s="20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9"/>
      <c r="AA5" s="20"/>
      <c r="AB5" s="20"/>
      <c r="AC5" s="20"/>
      <c r="AD5" s="21" t="s">
        <v>200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19"/>
      <c r="AX5" s="20"/>
      <c r="AY5" s="20"/>
      <c r="AZ5" s="22"/>
    </row>
    <row r="6" spans="1:52" ht="13.5" thickBot="1">
      <c r="A6" s="18" t="s">
        <v>6</v>
      </c>
      <c r="B6" s="19"/>
      <c r="C6" s="20"/>
      <c r="D6" s="20"/>
      <c r="E6" s="20"/>
      <c r="F6" s="20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1" t="s">
        <v>27</v>
      </c>
      <c r="AE6" s="20" t="s">
        <v>29</v>
      </c>
      <c r="AF6" s="20"/>
      <c r="AG6" s="20"/>
      <c r="AH6" s="20"/>
      <c r="AI6" s="20"/>
      <c r="AJ6" s="18" t="s">
        <v>33</v>
      </c>
      <c r="AK6" s="22"/>
      <c r="AL6" s="18" t="s">
        <v>34</v>
      </c>
      <c r="AM6" s="22"/>
      <c r="AN6" s="20" t="s">
        <v>37</v>
      </c>
      <c r="AO6" s="20"/>
      <c r="AP6" s="20"/>
      <c r="AQ6" s="20"/>
      <c r="AR6" s="20"/>
      <c r="AS6" s="20"/>
      <c r="AT6" s="20"/>
      <c r="AU6" s="20"/>
      <c r="AV6" s="20"/>
      <c r="AW6" s="19"/>
      <c r="AX6" s="20"/>
      <c r="AY6" s="20"/>
      <c r="AZ6" s="22"/>
    </row>
    <row r="7" spans="1:52" s="1" customFormat="1" ht="106.5" thickBot="1">
      <c r="A7" s="23" t="s">
        <v>118</v>
      </c>
      <c r="B7" s="24" t="s">
        <v>7</v>
      </c>
      <c r="C7" s="25" t="s">
        <v>8</v>
      </c>
      <c r="D7" s="25" t="s">
        <v>9</v>
      </c>
      <c r="E7" s="24" t="s">
        <v>10</v>
      </c>
      <c r="F7" s="25" t="s">
        <v>11</v>
      </c>
      <c r="G7" s="24" t="s">
        <v>117</v>
      </c>
      <c r="H7" s="25" t="s">
        <v>12</v>
      </c>
      <c r="I7" s="25" t="s">
        <v>13</v>
      </c>
      <c r="J7" s="24" t="s">
        <v>14</v>
      </c>
      <c r="K7" s="25" t="s">
        <v>15</v>
      </c>
      <c r="L7" s="25" t="s">
        <v>16</v>
      </c>
      <c r="M7" s="25" t="s">
        <v>17</v>
      </c>
      <c r="N7" s="25" t="s">
        <v>18</v>
      </c>
      <c r="O7" s="24" t="s">
        <v>19</v>
      </c>
      <c r="P7" s="25" t="s">
        <v>115</v>
      </c>
      <c r="Q7" s="125" t="s">
        <v>202</v>
      </c>
      <c r="R7" s="125" t="s">
        <v>201</v>
      </c>
      <c r="S7" s="25" t="s">
        <v>21</v>
      </c>
      <c r="T7" s="24" t="s">
        <v>22</v>
      </c>
      <c r="U7" s="24" t="s">
        <v>119</v>
      </c>
      <c r="V7" s="24" t="s">
        <v>23</v>
      </c>
      <c r="W7" s="24" t="s">
        <v>120</v>
      </c>
      <c r="X7" s="25" t="s">
        <v>24</v>
      </c>
      <c r="Y7" s="25" t="s">
        <v>25</v>
      </c>
      <c r="Z7" s="24" t="s">
        <v>114</v>
      </c>
      <c r="AA7" s="25" t="s">
        <v>116</v>
      </c>
      <c r="AB7" s="25" t="s">
        <v>26</v>
      </c>
      <c r="AC7" s="26" t="s">
        <v>113</v>
      </c>
      <c r="AD7" s="27" t="s">
        <v>28</v>
      </c>
      <c r="AE7" s="28" t="s">
        <v>30</v>
      </c>
      <c r="AF7" s="25" t="s">
        <v>31</v>
      </c>
      <c r="AG7" s="25" t="s">
        <v>32</v>
      </c>
      <c r="AH7" s="25" t="s">
        <v>33</v>
      </c>
      <c r="AI7" s="26" t="s">
        <v>34</v>
      </c>
      <c r="AJ7" s="28" t="s">
        <v>35</v>
      </c>
      <c r="AK7" s="26" t="s">
        <v>36</v>
      </c>
      <c r="AL7" s="28" t="s">
        <v>35</v>
      </c>
      <c r="AM7" s="26" t="s">
        <v>36</v>
      </c>
      <c r="AN7" s="29" t="s">
        <v>38</v>
      </c>
      <c r="AO7" s="25" t="s">
        <v>39</v>
      </c>
      <c r="AP7" s="25" t="s">
        <v>40</v>
      </c>
      <c r="AQ7" s="25"/>
      <c r="AR7" s="25" t="s">
        <v>42</v>
      </c>
      <c r="AS7" s="25" t="s">
        <v>43</v>
      </c>
      <c r="AT7" s="25" t="s">
        <v>44</v>
      </c>
      <c r="AU7" s="25" t="s">
        <v>45</v>
      </c>
      <c r="AV7" s="25" t="s">
        <v>46</v>
      </c>
      <c r="AW7" s="24" t="s">
        <v>47</v>
      </c>
      <c r="AX7" s="30" t="s">
        <v>48</v>
      </c>
      <c r="AY7" s="30" t="s">
        <v>49</v>
      </c>
      <c r="AZ7" s="26" t="s">
        <v>41</v>
      </c>
    </row>
    <row r="8" spans="1:52" s="6" customFormat="1" ht="12.75">
      <c r="A8" s="38"/>
      <c r="B8" s="39">
        <f>Baseline!B8</f>
        <v>2.667361105501586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>
        <f aca="true" t="shared" si="0" ref="AC8:AC70">SUM(A8:AB8)</f>
        <v>2.667361105501586</v>
      </c>
      <c r="AD8" s="41" t="s">
        <v>50</v>
      </c>
      <c r="AE8" s="42"/>
      <c r="AF8" s="43"/>
      <c r="AG8" s="43">
        <v>38</v>
      </c>
      <c r="AH8" s="43"/>
      <c r="AI8" s="44"/>
      <c r="AJ8" s="42"/>
      <c r="AK8" s="44"/>
      <c r="AL8" s="42"/>
      <c r="AM8" s="44"/>
      <c r="AN8" s="42">
        <f>SUM(AO8:AZ8,-AQ8)</f>
        <v>1.0135972200906027</v>
      </c>
      <c r="AO8" s="43"/>
      <c r="AP8" s="43"/>
      <c r="AQ8" s="43"/>
      <c r="AR8" s="43">
        <f>AC8*AG8/100*0.2</f>
        <v>0.20271944401812056</v>
      </c>
      <c r="AS8" s="43"/>
      <c r="AT8" s="43"/>
      <c r="AU8" s="43"/>
      <c r="AV8" s="43"/>
      <c r="AW8" s="43">
        <f>AC8*AG8/100*0.6</f>
        <v>0.6081583320543616</v>
      </c>
      <c r="AX8" s="43"/>
      <c r="AY8" s="43"/>
      <c r="AZ8" s="44">
        <f>AC8*AG8/100*0.2</f>
        <v>0.20271944401812056</v>
      </c>
    </row>
    <row r="9" spans="1:52" s="6" customFormat="1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>
        <f t="shared" si="0"/>
        <v>0</v>
      </c>
      <c r="AD9" s="48" t="s">
        <v>51</v>
      </c>
      <c r="AE9" s="45"/>
      <c r="AF9" s="46">
        <v>44</v>
      </c>
      <c r="AG9" s="46"/>
      <c r="AH9" s="46"/>
      <c r="AI9" s="47"/>
      <c r="AJ9" s="45">
        <f aca="true" t="shared" si="1" ref="AJ9:AJ15">-AK9/$K$2%</f>
        <v>-5.96768345553831</v>
      </c>
      <c r="AK9" s="47">
        <f>AN9/AF9%</f>
        <v>5.532042563284014</v>
      </c>
      <c r="AL9" s="45"/>
      <c r="AM9" s="47"/>
      <c r="AN9" s="45">
        <f aca="true" t="shared" si="2" ref="AN9:AN70">SUM(AO9:AZ9,-AQ9)</f>
        <v>2.434098727844966</v>
      </c>
      <c r="AO9" s="46"/>
      <c r="AP9" s="46"/>
      <c r="AQ9" s="46"/>
      <c r="AR9" s="46">
        <f>Baseline!AR9*Fremskrivningsfaktor!AA31</f>
        <v>2.434098727844966</v>
      </c>
      <c r="AS9" s="46"/>
      <c r="AT9" s="46"/>
      <c r="AU9" s="46"/>
      <c r="AV9" s="46"/>
      <c r="AW9" s="46"/>
      <c r="AX9" s="46"/>
      <c r="AY9" s="46"/>
      <c r="AZ9" s="47"/>
    </row>
    <row r="10" spans="1:52" s="6" customFormat="1" ht="12.7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>
        <f t="shared" si="0"/>
        <v>0</v>
      </c>
      <c r="AD10" s="48" t="s">
        <v>52</v>
      </c>
      <c r="AE10" s="45"/>
      <c r="AF10" s="46"/>
      <c r="AG10" s="46">
        <v>90</v>
      </c>
      <c r="AH10" s="46"/>
      <c r="AI10" s="47"/>
      <c r="AJ10" s="45">
        <f t="shared" si="1"/>
        <v>-0.9428020521534696</v>
      </c>
      <c r="AK10" s="47">
        <f>AN10/AG10%</f>
        <v>0.8739775023462664</v>
      </c>
      <c r="AL10" s="45"/>
      <c r="AM10" s="47"/>
      <c r="AN10" s="45">
        <f t="shared" si="2"/>
        <v>0.7865797521116398</v>
      </c>
      <c r="AO10" s="46">
        <v>0.7865797521116398</v>
      </c>
      <c r="AP10" s="49"/>
      <c r="AQ10" s="46"/>
      <c r="AR10" s="46"/>
      <c r="AS10" s="46"/>
      <c r="AT10" s="46"/>
      <c r="AU10" s="46"/>
      <c r="AV10" s="46"/>
      <c r="AW10" s="46"/>
      <c r="AX10" s="46"/>
      <c r="AY10" s="46"/>
      <c r="AZ10" s="47"/>
    </row>
    <row r="11" spans="1:52" s="6" customFormat="1" ht="12.7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>
        <f t="shared" si="0"/>
        <v>0</v>
      </c>
      <c r="AD11" s="48" t="s">
        <v>53</v>
      </c>
      <c r="AE11" s="45"/>
      <c r="AF11" s="46"/>
      <c r="AG11" s="46">
        <v>100</v>
      </c>
      <c r="AH11" s="46"/>
      <c r="AI11" s="47"/>
      <c r="AJ11" s="45">
        <f t="shared" si="1"/>
        <v>-2.8001220948958037</v>
      </c>
      <c r="AK11" s="47">
        <f>AN11/AG11%</f>
        <v>2.59571318196841</v>
      </c>
      <c r="AL11" s="45"/>
      <c r="AM11" s="47"/>
      <c r="AN11" s="45">
        <f t="shared" si="2"/>
        <v>2.59571318196841</v>
      </c>
      <c r="AO11" s="46"/>
      <c r="AP11" s="46">
        <f>3.7081616885263*70%</f>
        <v>2.59571318196841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1:52" s="6" customFormat="1" ht="12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>
        <f t="shared" si="0"/>
        <v>0</v>
      </c>
      <c r="AD12" s="48" t="s">
        <v>86</v>
      </c>
      <c r="AE12" s="45"/>
      <c r="AF12" s="46">
        <v>50</v>
      </c>
      <c r="AG12" s="46"/>
      <c r="AH12" s="46"/>
      <c r="AI12" s="47"/>
      <c r="AJ12" s="45">
        <f t="shared" si="1"/>
        <v>-20.231132936940465</v>
      </c>
      <c r="AK12" s="47">
        <f>AN12/AF12%</f>
        <v>18.754260232543814</v>
      </c>
      <c r="AL12" s="45"/>
      <c r="AM12" s="47"/>
      <c r="AN12" s="45">
        <f t="shared" si="2"/>
        <v>9.377130116271907</v>
      </c>
      <c r="AO12" s="46"/>
      <c r="AP12" s="46"/>
      <c r="AQ12" s="46"/>
      <c r="AR12" s="46">
        <f>Baseline!AR12*Fremskrivningsfaktor!$AA$31</f>
        <v>2.7660212816420082</v>
      </c>
      <c r="AS12" s="46">
        <f>Baseline!AS12*Fremskrivningsfaktor!$AA$29*90%</f>
        <v>1.6245709434993865</v>
      </c>
      <c r="AT12" s="46">
        <f>Baseline!AT12*Fremskrivningsfaktor!$AA$30</f>
        <v>0.5119283652243259</v>
      </c>
      <c r="AU12" s="46">
        <f>Baseline!AU12*Fremskrivningsfaktor!$AA$30</f>
        <v>1.5297604676116483</v>
      </c>
      <c r="AV12" s="46">
        <f>Baseline!AV12*Fremskrivningsfaktor!$AA$28</f>
        <v>0.02492403787445255</v>
      </c>
      <c r="AW12" s="46">
        <f>Baseline!AW12*Fremskrivningsfaktor!$AA$27</f>
        <v>0.17166554557718333</v>
      </c>
      <c r="AX12" s="46">
        <f>Baseline!AX12*Fremskrivningsfaktor!$AA$26</f>
        <v>0.03921625087078651</v>
      </c>
      <c r="AY12" s="46">
        <f>Baseline!AY12*Fremskrivningsfaktor!$AA$26</f>
        <v>2.709043223972115</v>
      </c>
      <c r="AZ12" s="47"/>
    </row>
    <row r="13" spans="1:52" s="6" customFormat="1" ht="12.7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>
        <f t="shared" si="0"/>
        <v>0</v>
      </c>
      <c r="AD13" s="48" t="s">
        <v>87</v>
      </c>
      <c r="AE13" s="45"/>
      <c r="AF13" s="46">
        <v>150</v>
      </c>
      <c r="AG13" s="46"/>
      <c r="AH13" s="46"/>
      <c r="AI13" s="47"/>
      <c r="AJ13" s="45">
        <f t="shared" si="1"/>
        <v>-13.73064180052588</v>
      </c>
      <c r="AK13" s="47">
        <f>AN13/AF13%</f>
        <v>12.728304949087493</v>
      </c>
      <c r="AL13" s="45"/>
      <c r="AM13" s="47"/>
      <c r="AN13" s="45">
        <f t="shared" si="2"/>
        <v>19.092457423631238</v>
      </c>
      <c r="AO13" s="46"/>
      <c r="AP13" s="46"/>
      <c r="AQ13" s="46"/>
      <c r="AR13" s="46">
        <f>Baseline!AR13*Fremskrivningsfaktor!$AA$31</f>
        <v>9.797068926590079</v>
      </c>
      <c r="AS13" s="46">
        <f>Baseline!AS13*Fremskrivningsfaktor!$AA$29</f>
        <v>0</v>
      </c>
      <c r="AT13" s="46">
        <f>Baseline!AT13*Fremskrivningsfaktor!$AA$30</f>
        <v>1.7200793071537355</v>
      </c>
      <c r="AU13" s="46">
        <f>Baseline!AU13*Fremskrivningsfaktor!$AA$30</f>
        <v>5.13999517117514</v>
      </c>
      <c r="AV13" s="46">
        <f>Baseline!AV13*Fremskrivningsfaktor!$AA$28</f>
        <v>0.0996961514978102</v>
      </c>
      <c r="AW13" s="46">
        <f>Baseline!AW13*Fremskrivningsfaktor!$AA$27</f>
        <v>0.6866621823087333</v>
      </c>
      <c r="AX13" s="46">
        <f>Baseline!AX13*Fremskrivningsfaktor!$AA$26</f>
        <v>0.023529750522471908</v>
      </c>
      <c r="AY13" s="46">
        <f>Baseline!AY13*Fremskrivningsfaktor!$AA$26</f>
        <v>1.6254259343832695</v>
      </c>
      <c r="AZ13" s="47"/>
    </row>
    <row r="14" spans="1:52" s="6" customFormat="1" ht="12.7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>
        <f t="shared" si="0"/>
        <v>0</v>
      </c>
      <c r="AD14" s="48" t="s">
        <v>88</v>
      </c>
      <c r="AE14" s="45"/>
      <c r="AF14" s="46">
        <v>85</v>
      </c>
      <c r="AG14" s="46"/>
      <c r="AH14" s="46"/>
      <c r="AI14" s="47"/>
      <c r="AJ14" s="45">
        <f t="shared" si="1"/>
        <v>-78.41909006964843</v>
      </c>
      <c r="AK14" s="47">
        <f>AN14/AF14%</f>
        <v>72.6944964945641</v>
      </c>
      <c r="AL14" s="45"/>
      <c r="AM14" s="47"/>
      <c r="AN14" s="45">
        <f t="shared" si="2"/>
        <v>61.79032202037949</v>
      </c>
      <c r="AO14" s="46"/>
      <c r="AP14" s="46"/>
      <c r="AQ14" s="46"/>
      <c r="AR14" s="46">
        <f>Baseline!AR14*Fremskrivningsfaktor!$AA$31</f>
        <v>15.380862855788688</v>
      </c>
      <c r="AS14" s="46">
        <f>Baseline!AS14*Fremskrivningsfaktor!$AA$29*75%</f>
        <v>6.222507842230675</v>
      </c>
      <c r="AT14" s="46">
        <f>Baseline!AT14*Fremskrivningsfaktor!$AA$30</f>
        <v>1.6361230552569461</v>
      </c>
      <c r="AU14" s="46">
        <f>Baseline!AU14*Fremskrivningsfaktor!$AA$30</f>
        <v>4.889114454486828</v>
      </c>
      <c r="AV14" s="46">
        <f>Baseline!AV14*Fremskrivningsfaktor!$AA$28</f>
        <v>0.6073157228741604</v>
      </c>
      <c r="AW14" s="46">
        <f>Baseline!AW14*Fremskrivningsfaktor!$AA$27</f>
        <v>4.1829171272306995</v>
      </c>
      <c r="AX14" s="46">
        <f>Baseline!AX14*Fremskrivningsfaktor!$AA$26</f>
        <v>0.36444969142584277</v>
      </c>
      <c r="AY14" s="46">
        <f>Baseline!AY14*Fremskrivningsfaktor!$AA$26*75%</f>
        <v>18.882031271085648</v>
      </c>
      <c r="AZ14" s="47">
        <f>3.125+6.5</f>
        <v>9.625</v>
      </c>
    </row>
    <row r="15" spans="1:52" s="6" customFormat="1" ht="12.7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f>AN15-AK15</f>
        <v>59.135559102020935</v>
      </c>
      <c r="AB15" s="46"/>
      <c r="AC15" s="47">
        <f>SUM(A15:AB15)</f>
        <v>59.135559102020935</v>
      </c>
      <c r="AD15" s="48" t="s">
        <v>55</v>
      </c>
      <c r="AE15" s="45"/>
      <c r="AF15" s="46"/>
      <c r="AG15" s="46">
        <v>300</v>
      </c>
      <c r="AH15" s="46"/>
      <c r="AI15" s="47"/>
      <c r="AJ15" s="45">
        <f t="shared" si="1"/>
        <v>-31.89620232039964</v>
      </c>
      <c r="AK15" s="47">
        <f>AN15/AG15%</f>
        <v>29.56777955101047</v>
      </c>
      <c r="AL15" s="45"/>
      <c r="AM15" s="47"/>
      <c r="AN15" s="45">
        <f>SUM(AO15:AZ15,-AQ15)</f>
        <v>88.70333865303141</v>
      </c>
      <c r="AO15" s="46">
        <v>0.12308426428049675</v>
      </c>
      <c r="AP15" s="46">
        <f>0.580254388750913+88</f>
        <v>88.58025438875092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7"/>
    </row>
    <row r="16" spans="1:52" s="6" customFormat="1" ht="12.7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>
        <f>Baseline!M16*Fremskrivningsfaktor!V31</f>
        <v>0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>
        <f t="shared" si="0"/>
        <v>0</v>
      </c>
      <c r="AD16" s="48" t="s">
        <v>54</v>
      </c>
      <c r="AE16" s="75"/>
      <c r="AF16" s="76"/>
      <c r="AG16" s="76">
        <v>100</v>
      </c>
      <c r="AH16" s="76"/>
      <c r="AI16" s="77"/>
      <c r="AJ16" s="75"/>
      <c r="AK16" s="77"/>
      <c r="AL16" s="75"/>
      <c r="AM16" s="77"/>
      <c r="AN16" s="75">
        <f t="shared" si="2"/>
        <v>0</v>
      </c>
      <c r="AO16" s="76">
        <f>AC16*80%</f>
        <v>0</v>
      </c>
      <c r="AP16" s="76">
        <f>AC16-AO16</f>
        <v>0</v>
      </c>
      <c r="AQ16" s="46"/>
      <c r="AR16" s="76"/>
      <c r="AS16" s="76"/>
      <c r="AT16" s="76"/>
      <c r="AU16" s="76"/>
      <c r="AV16" s="76"/>
      <c r="AW16" s="76"/>
      <c r="AX16" s="76"/>
      <c r="AY16" s="76"/>
      <c r="AZ16" s="77"/>
    </row>
    <row r="17" spans="1:52" s="6" customFormat="1" ht="12.75">
      <c r="A17" s="45">
        <f>AE17%*AJ17</f>
        <v>-345.86403390858004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>
        <f t="shared" si="0"/>
        <v>-345.86403390858004</v>
      </c>
      <c r="AD17" s="48" t="s">
        <v>118</v>
      </c>
      <c r="AE17" s="75">
        <v>100</v>
      </c>
      <c r="AF17" s="76"/>
      <c r="AG17" s="76"/>
      <c r="AH17" s="76"/>
      <c r="AI17" s="77"/>
      <c r="AJ17" s="75">
        <f>-SUM(AJ18:AJ70,AJ8:AJ16)</f>
        <v>-345.86403390858004</v>
      </c>
      <c r="AK17" s="77"/>
      <c r="AL17" s="75"/>
      <c r="AM17" s="77"/>
      <c r="AN17" s="75">
        <f t="shared" si="2"/>
        <v>0</v>
      </c>
      <c r="AO17" s="76"/>
      <c r="AP17" s="76"/>
      <c r="AQ17" s="46"/>
      <c r="AR17" s="76"/>
      <c r="AS17" s="76"/>
      <c r="AT17" s="76"/>
      <c r="AU17" s="76"/>
      <c r="AV17" s="76"/>
      <c r="AW17" s="76"/>
      <c r="AX17" s="76"/>
      <c r="AY17" s="76"/>
      <c r="AZ17" s="77"/>
    </row>
    <row r="18" spans="1:52" s="6" customFormat="1" ht="12.75">
      <c r="A18" s="45"/>
      <c r="B18" s="46"/>
      <c r="C18" s="46"/>
      <c r="D18" s="46"/>
      <c r="E18" s="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>
        <f t="shared" si="0"/>
        <v>0</v>
      </c>
      <c r="AD18" s="48" t="s">
        <v>126</v>
      </c>
      <c r="AE18" s="75"/>
      <c r="AF18" s="76"/>
      <c r="AG18" s="76">
        <v>75</v>
      </c>
      <c r="AH18" s="76"/>
      <c r="AI18" s="77"/>
      <c r="AJ18" s="75"/>
      <c r="AK18" s="77"/>
      <c r="AL18" s="75"/>
      <c r="AM18" s="77"/>
      <c r="AN18" s="75">
        <f t="shared" si="2"/>
        <v>0</v>
      </c>
      <c r="AO18" s="76">
        <f>AC18*AG18/100*17.5%</f>
        <v>0</v>
      </c>
      <c r="AP18" s="76">
        <f>AC18*AG18/100-AO18</f>
        <v>0</v>
      </c>
      <c r="AQ18" s="46"/>
      <c r="AR18" s="76"/>
      <c r="AS18" s="76"/>
      <c r="AT18" s="76"/>
      <c r="AU18" s="76"/>
      <c r="AV18" s="76"/>
      <c r="AW18" s="76"/>
      <c r="AX18" s="76"/>
      <c r="AY18" s="76"/>
      <c r="AZ18" s="77"/>
    </row>
    <row r="19" spans="1:52" s="6" customFormat="1" ht="12.75">
      <c r="A19" s="45"/>
      <c r="B19" s="46"/>
      <c r="C19" s="46"/>
      <c r="D19" s="46"/>
      <c r="E19" s="7">
        <f>Baseline!E19</f>
        <v>0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>
        <f t="shared" si="0"/>
        <v>0</v>
      </c>
      <c r="AD19" s="48" t="s">
        <v>112</v>
      </c>
      <c r="AE19" s="75"/>
      <c r="AF19" s="76">
        <v>90</v>
      </c>
      <c r="AG19" s="76">
        <v>90</v>
      </c>
      <c r="AH19" s="76"/>
      <c r="AI19" s="77"/>
      <c r="AJ19" s="75"/>
      <c r="AK19" s="77"/>
      <c r="AL19" s="75"/>
      <c r="AM19" s="77"/>
      <c r="AN19" s="75">
        <f t="shared" si="2"/>
        <v>0</v>
      </c>
      <c r="AO19" s="76">
        <f>0*AG19%*17.5%</f>
        <v>0</v>
      </c>
      <c r="AP19" s="76">
        <f>0*AG19%*82.5%</f>
        <v>0</v>
      </c>
      <c r="AQ19" s="46"/>
      <c r="AR19" s="76"/>
      <c r="AS19" s="76"/>
      <c r="AT19" s="76"/>
      <c r="AU19" s="76"/>
      <c r="AV19" s="76"/>
      <c r="AW19" s="7">
        <f>0*AF19%</f>
        <v>0</v>
      </c>
      <c r="AX19" s="76"/>
      <c r="AY19" s="76"/>
      <c r="AZ19" s="77"/>
    </row>
    <row r="20" spans="1:52" s="6" customFormat="1" ht="12.75">
      <c r="A20" s="45"/>
      <c r="B20" s="46"/>
      <c r="C20" s="46"/>
      <c r="D20" s="46"/>
      <c r="E20" s="46"/>
      <c r="F20" s="46"/>
      <c r="G20" s="46"/>
      <c r="H20" s="46"/>
      <c r="I20" s="46">
        <f>Baseline!I20*Fremskrivningsfaktor!P31</f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7">
        <f t="shared" si="0"/>
        <v>0</v>
      </c>
      <c r="AD20" s="48" t="s">
        <v>109</v>
      </c>
      <c r="AE20" s="75"/>
      <c r="AF20" s="76"/>
      <c r="AG20" s="76">
        <v>80</v>
      </c>
      <c r="AH20" s="76"/>
      <c r="AI20" s="77"/>
      <c r="AJ20" s="75"/>
      <c r="AK20" s="77"/>
      <c r="AL20" s="75"/>
      <c r="AM20" s="77"/>
      <c r="AN20" s="75">
        <f t="shared" si="2"/>
        <v>0</v>
      </c>
      <c r="AO20" s="76">
        <f>AC20*AG20/100*17.5%</f>
        <v>0</v>
      </c>
      <c r="AP20" s="76">
        <f>AC20*AG20/100-AO20</f>
        <v>0</v>
      </c>
      <c r="AQ20" s="46"/>
      <c r="AR20" s="76"/>
      <c r="AS20" s="76"/>
      <c r="AT20" s="76"/>
      <c r="AU20" s="76"/>
      <c r="AV20" s="76"/>
      <c r="AW20" s="76"/>
      <c r="AX20" s="76"/>
      <c r="AY20" s="76"/>
      <c r="AZ20" s="77"/>
    </row>
    <row r="21" spans="1:52" s="6" customFormat="1" ht="12.75">
      <c r="A21" s="45"/>
      <c r="B21" s="46"/>
      <c r="C21" s="46"/>
      <c r="D21" s="46"/>
      <c r="E21" s="46"/>
      <c r="F21" s="46"/>
      <c r="G21" s="46"/>
      <c r="H21" s="46"/>
      <c r="I21" s="46">
        <f>Baseline!I21</f>
        <v>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>
        <f t="shared" si="0"/>
        <v>0</v>
      </c>
      <c r="AD21" s="48" t="s">
        <v>127</v>
      </c>
      <c r="AE21" s="75"/>
      <c r="AF21" s="76"/>
      <c r="AG21" s="76">
        <v>90</v>
      </c>
      <c r="AH21" s="76"/>
      <c r="AI21" s="77"/>
      <c r="AJ21" s="75"/>
      <c r="AK21" s="77"/>
      <c r="AL21" s="75"/>
      <c r="AM21" s="77"/>
      <c r="AN21" s="75">
        <f t="shared" si="2"/>
        <v>0</v>
      </c>
      <c r="AO21" s="76">
        <f>AC21*AG21/100*17.5%</f>
        <v>0</v>
      </c>
      <c r="AP21" s="76">
        <f>AC21*AG21/100-AO21</f>
        <v>0</v>
      </c>
      <c r="AQ21" s="46"/>
      <c r="AR21" s="76"/>
      <c r="AS21" s="76"/>
      <c r="AT21" s="76"/>
      <c r="AU21" s="76"/>
      <c r="AV21" s="76"/>
      <c r="AW21" s="76"/>
      <c r="AX21" s="76"/>
      <c r="AY21" s="76"/>
      <c r="AZ21" s="77"/>
    </row>
    <row r="22" spans="1:52" s="6" customFormat="1" ht="12.75">
      <c r="A22" s="45"/>
      <c r="B22" s="46"/>
      <c r="C22" s="46"/>
      <c r="D22" s="46"/>
      <c r="E22" s="46"/>
      <c r="F22" s="46"/>
      <c r="G22" s="46"/>
      <c r="H22" s="46"/>
      <c r="I22" s="46">
        <f>Baseline!I22</f>
        <v>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>
        <f t="shared" si="0"/>
        <v>0</v>
      </c>
      <c r="AD22" s="48" t="s">
        <v>111</v>
      </c>
      <c r="AE22" s="75"/>
      <c r="AF22" s="76">
        <v>90</v>
      </c>
      <c r="AG22" s="76">
        <v>90</v>
      </c>
      <c r="AH22" s="76"/>
      <c r="AI22" s="77"/>
      <c r="AJ22" s="75"/>
      <c r="AK22" s="77"/>
      <c r="AL22" s="75"/>
      <c r="AM22" s="77"/>
      <c r="AN22" s="75">
        <f t="shared" si="2"/>
        <v>0</v>
      </c>
      <c r="AO22" s="76">
        <f>(AC22*AG22/100*17.5%)*11.5%</f>
        <v>0</v>
      </c>
      <c r="AP22" s="76">
        <f>(AC22*AG22/100)*11.5%-AO22</f>
        <v>0</v>
      </c>
      <c r="AQ22" s="46"/>
      <c r="AR22" s="76"/>
      <c r="AS22" s="76"/>
      <c r="AT22" s="76"/>
      <c r="AU22" s="76"/>
      <c r="AV22" s="76"/>
      <c r="AW22" s="7">
        <f>AC22*AF22/100*88.5%</f>
        <v>0</v>
      </c>
      <c r="AX22" s="76"/>
      <c r="AY22" s="76"/>
      <c r="AZ22" s="77"/>
    </row>
    <row r="23" spans="1:52" s="6" customFormat="1" ht="12.7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>
        <f>Baseline!V23*Fremskrivningsfaktor!R31</f>
        <v>12.297188002972712</v>
      </c>
      <c r="W23" s="46">
        <f>Baseline!W23*Fremskrivningsfaktor!R31</f>
        <v>18.91394906040981</v>
      </c>
      <c r="X23" s="46"/>
      <c r="Y23" s="46"/>
      <c r="Z23" s="46"/>
      <c r="AA23" s="46"/>
      <c r="AB23" s="46"/>
      <c r="AC23" s="47">
        <f t="shared" si="0"/>
        <v>31.211137063382523</v>
      </c>
      <c r="AD23" s="48" t="s">
        <v>56</v>
      </c>
      <c r="AE23" s="45"/>
      <c r="AF23" s="46"/>
      <c r="AG23" s="46">
        <v>70</v>
      </c>
      <c r="AH23" s="46"/>
      <c r="AI23" s="47"/>
      <c r="AJ23" s="45"/>
      <c r="AK23" s="47"/>
      <c r="AL23" s="45"/>
      <c r="AM23" s="47"/>
      <c r="AN23" s="45">
        <f t="shared" si="2"/>
        <v>21.847795944367768</v>
      </c>
      <c r="AO23" s="46">
        <f>AC23*AG23/100*17.5%</f>
        <v>3.823364290264359</v>
      </c>
      <c r="AP23" s="46">
        <f>AC23*AG23/100-AO23</f>
        <v>18.02443165410341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7"/>
    </row>
    <row r="24" spans="1:52" s="6" customFormat="1" ht="12.7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>
        <f>Baseline!T24*Fremskrivningsfaktor!R31</f>
        <v>53.134140566939166</v>
      </c>
      <c r="U24" s="46">
        <f>Baseline!U24*Fremskrivningsfaktor!R31</f>
        <v>5.903793396326574</v>
      </c>
      <c r="V24" s="46"/>
      <c r="W24" s="46"/>
      <c r="X24" s="46"/>
      <c r="Y24" s="46"/>
      <c r="Z24" s="46"/>
      <c r="AA24" s="46"/>
      <c r="AB24" s="46"/>
      <c r="AC24" s="47">
        <f t="shared" si="0"/>
        <v>59.03793396326574</v>
      </c>
      <c r="AD24" s="48" t="s">
        <v>57</v>
      </c>
      <c r="AE24" s="45"/>
      <c r="AF24" s="46"/>
      <c r="AG24" s="46">
        <v>60</v>
      </c>
      <c r="AH24" s="46"/>
      <c r="AI24" s="47"/>
      <c r="AJ24" s="45"/>
      <c r="AK24" s="47"/>
      <c r="AL24" s="45"/>
      <c r="AM24" s="47"/>
      <c r="AN24" s="45">
        <f t="shared" si="2"/>
        <v>35.42276037795945</v>
      </c>
      <c r="AO24" s="46">
        <f>AC24*AG24/100*17.5%</f>
        <v>6.198983066142903</v>
      </c>
      <c r="AP24" s="46">
        <f>AC24*AG24/100-AO24</f>
        <v>29.223777311816548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7"/>
    </row>
    <row r="25" spans="1:52" s="6" customFormat="1" ht="12.7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>
        <f>Baseline!S25*Fremskrivningsfaktor!Q31</f>
        <v>8.022564102564102</v>
      </c>
      <c r="T25" s="46"/>
      <c r="U25" s="46"/>
      <c r="V25" s="46"/>
      <c r="W25" s="46"/>
      <c r="X25" s="46"/>
      <c r="Y25" s="46"/>
      <c r="Z25" s="46"/>
      <c r="AA25" s="46"/>
      <c r="AB25" s="46"/>
      <c r="AC25" s="47">
        <f t="shared" si="0"/>
        <v>8.022564102564102</v>
      </c>
      <c r="AD25" s="48" t="s">
        <v>58</v>
      </c>
      <c r="AE25" s="45"/>
      <c r="AF25" s="46"/>
      <c r="AG25" s="46">
        <v>60</v>
      </c>
      <c r="AH25" s="46"/>
      <c r="AI25" s="47"/>
      <c r="AJ25" s="45"/>
      <c r="AK25" s="47"/>
      <c r="AL25" s="45"/>
      <c r="AM25" s="47"/>
      <c r="AN25" s="45">
        <f t="shared" si="2"/>
        <v>4.813538461538461</v>
      </c>
      <c r="AO25" s="46">
        <f>AC25*AG25/100*17.5%</f>
        <v>0.8423692307692306</v>
      </c>
      <c r="AP25" s="46">
        <f>AC25*AG25/100-AO25</f>
        <v>3.9711692307692306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7"/>
    </row>
    <row r="26" spans="1:52" s="6" customFormat="1" ht="12.7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>
        <f t="shared" si="0"/>
        <v>0</v>
      </c>
      <c r="AD26" s="48" t="s">
        <v>59</v>
      </c>
      <c r="AE26" s="45"/>
      <c r="AF26" s="46"/>
      <c r="AG26" s="46">
        <v>100</v>
      </c>
      <c r="AH26" s="46"/>
      <c r="AI26" s="47"/>
      <c r="AJ26" s="45"/>
      <c r="AK26" s="47"/>
      <c r="AL26" s="45"/>
      <c r="AM26" s="47"/>
      <c r="AN26" s="45">
        <f t="shared" si="2"/>
        <v>0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7"/>
    </row>
    <row r="27" spans="1:52" s="6" customFormat="1" ht="12.7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>
        <f>Baseline!M27</f>
        <v>0.006582401770890979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>
        <f t="shared" si="0"/>
        <v>0.006582401770890979</v>
      </c>
      <c r="AD27" s="48" t="s">
        <v>60</v>
      </c>
      <c r="AE27" s="46">
        <v>100</v>
      </c>
      <c r="AF27" s="46"/>
      <c r="AG27" s="46"/>
      <c r="AH27" s="46"/>
      <c r="AI27" s="47"/>
      <c r="AJ27" s="45">
        <f>AC27*AE27/100</f>
        <v>0.00658240177089098</v>
      </c>
      <c r="AK27" s="47"/>
      <c r="AL27" s="45"/>
      <c r="AM27" s="47"/>
      <c r="AN27" s="45">
        <f t="shared" si="2"/>
        <v>0</v>
      </c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</row>
    <row r="28" spans="1:52" s="6" customFormat="1" ht="12.75">
      <c r="A28" s="45"/>
      <c r="B28" s="46"/>
      <c r="C28" s="46"/>
      <c r="D28" s="46"/>
      <c r="E28" s="46"/>
      <c r="F28" s="46"/>
      <c r="G28" s="46"/>
      <c r="H28" s="46"/>
      <c r="I28" s="46"/>
      <c r="J28" s="46">
        <f>Baseline!J28*Fremskrivningsfaktor!X17+310</f>
        <v>499.84512623691114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>
        <f t="shared" si="0"/>
        <v>499.84512623691114</v>
      </c>
      <c r="AD28" s="48" t="s">
        <v>61</v>
      </c>
      <c r="AE28" s="46">
        <v>100</v>
      </c>
      <c r="AF28" s="46"/>
      <c r="AG28" s="46"/>
      <c r="AH28" s="46"/>
      <c r="AI28" s="47"/>
      <c r="AJ28" s="45">
        <f>AE28*AC28/100</f>
        <v>499.84512623691114</v>
      </c>
      <c r="AK28" s="47"/>
      <c r="AL28" s="45"/>
      <c r="AM28" s="47"/>
      <c r="AN28" s="45">
        <f t="shared" si="2"/>
        <v>0</v>
      </c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7"/>
    </row>
    <row r="29" spans="1:52" s="6" customFormat="1" ht="12.7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>
        <f>Baseline!L29</f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>
        <f t="shared" si="0"/>
        <v>0</v>
      </c>
      <c r="AD29" s="48" t="s">
        <v>62</v>
      </c>
      <c r="AE29" s="46">
        <v>100</v>
      </c>
      <c r="AF29" s="46"/>
      <c r="AG29" s="46"/>
      <c r="AH29" s="46"/>
      <c r="AI29" s="47"/>
      <c r="AJ29" s="45">
        <f>AC29</f>
        <v>0</v>
      </c>
      <c r="AK29" s="47"/>
      <c r="AL29" s="45"/>
      <c r="AM29" s="47"/>
      <c r="AN29" s="45">
        <f t="shared" si="2"/>
        <v>0</v>
      </c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7"/>
    </row>
    <row r="30" spans="1:52" s="6" customFormat="1" ht="12.75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>
        <f t="shared" si="0"/>
        <v>0</v>
      </c>
      <c r="AD30" s="48" t="s">
        <v>63</v>
      </c>
      <c r="AE30" s="46">
        <v>100</v>
      </c>
      <c r="AF30" s="46"/>
      <c r="AG30" s="46"/>
      <c r="AH30" s="46"/>
      <c r="AI30" s="47"/>
      <c r="AJ30" s="45"/>
      <c r="AK30" s="47"/>
      <c r="AL30" s="45"/>
      <c r="AM30" s="47"/>
      <c r="AN30" s="45">
        <f t="shared" si="2"/>
        <v>0</v>
      </c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7"/>
    </row>
    <row r="31" spans="1:52" s="6" customFormat="1" ht="12.75">
      <c r="A31" s="46"/>
      <c r="B31" s="46"/>
      <c r="C31" s="46">
        <f>Baseline!C31*Fremskrivningsfaktor!D13</f>
        <v>0</v>
      </c>
      <c r="D31" s="46">
        <f>Baseline!D31*Fremskrivningsfaktor!H13</f>
        <v>0</v>
      </c>
      <c r="E31" s="46"/>
      <c r="F31" s="46"/>
      <c r="G31" s="46"/>
      <c r="H31" s="46"/>
      <c r="I31" s="46">
        <f>Baseline!I31*Fremskrivningsfaktor!P13</f>
        <v>0</v>
      </c>
      <c r="J31" s="46"/>
      <c r="K31" s="46"/>
      <c r="L31" s="46"/>
      <c r="M31" s="46"/>
      <c r="N31" s="46"/>
      <c r="O31" s="46"/>
      <c r="P31" s="46"/>
      <c r="Q31" s="46"/>
      <c r="R31" s="46"/>
      <c r="S31" s="46">
        <f>Baseline!S31*Fremskrivningsfaktor!Q13</f>
        <v>0</v>
      </c>
      <c r="T31" s="46">
        <f>Baseline!T31*Fremskrivningsfaktor!R13</f>
        <v>0</v>
      </c>
      <c r="U31" s="46">
        <f>Baseline!U31*Fremskrivningsfaktor!R13</f>
        <v>0</v>
      </c>
      <c r="V31" s="46">
        <f>Baseline!V31*Fremskrivningsfaktor!R13</f>
        <v>0</v>
      </c>
      <c r="W31" s="46">
        <f>Baseline!W31*Fremskrivningsfaktor!R13</f>
        <v>0</v>
      </c>
      <c r="X31" s="46"/>
      <c r="Y31" s="46"/>
      <c r="Z31" s="46">
        <f>Baseline!Z31</f>
        <v>0</v>
      </c>
      <c r="AA31" s="46"/>
      <c r="AB31" s="46"/>
      <c r="AC31" s="47">
        <f t="shared" si="0"/>
        <v>0</v>
      </c>
      <c r="AD31" s="48" t="s">
        <v>74</v>
      </c>
      <c r="AE31" s="45"/>
      <c r="AF31" s="46"/>
      <c r="AG31" s="46"/>
      <c r="AH31" s="46"/>
      <c r="AI31" s="47"/>
      <c r="AJ31" s="45">
        <f>AC31*AE31/100</f>
        <v>0</v>
      </c>
      <c r="AK31" s="47"/>
      <c r="AL31" s="45">
        <f>AC31*AG31/100</f>
        <v>0</v>
      </c>
      <c r="AM31" s="47"/>
      <c r="AN31" s="45">
        <f t="shared" si="2"/>
        <v>0</v>
      </c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7"/>
    </row>
    <row r="32" spans="1:52" s="6" customFormat="1" ht="12.75">
      <c r="A32" s="46"/>
      <c r="B32" s="46"/>
      <c r="C32" s="46"/>
      <c r="D32" s="46"/>
      <c r="E32" s="46">
        <f>Baseline!E32</f>
        <v>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>
        <f t="shared" si="0"/>
        <v>0</v>
      </c>
      <c r="AD32" s="48" t="s">
        <v>75</v>
      </c>
      <c r="AE32" s="45"/>
      <c r="AF32" s="46"/>
      <c r="AG32" s="46"/>
      <c r="AH32" s="46"/>
      <c r="AI32" s="47"/>
      <c r="AJ32" s="45">
        <f>AC32*AE32/100</f>
        <v>0</v>
      </c>
      <c r="AK32" s="47"/>
      <c r="AL32" s="45">
        <f>AC32*AG32</f>
        <v>0</v>
      </c>
      <c r="AM32" s="47"/>
      <c r="AN32" s="45">
        <f t="shared" si="2"/>
        <v>0</v>
      </c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7"/>
    </row>
    <row r="33" spans="1:52" s="6" customFormat="1" ht="12.75">
      <c r="A33" s="46"/>
      <c r="B33" s="46"/>
      <c r="C33" s="46"/>
      <c r="D33" s="46"/>
      <c r="E33" s="46">
        <f>Baseline!E33</f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>
        <f t="shared" si="0"/>
        <v>0</v>
      </c>
      <c r="AD33" s="48" t="s">
        <v>76</v>
      </c>
      <c r="AE33" s="45"/>
      <c r="AF33" s="46"/>
      <c r="AG33" s="46"/>
      <c r="AH33" s="46"/>
      <c r="AI33" s="47"/>
      <c r="AJ33" s="45">
        <f>AC33*AE33/100</f>
        <v>0</v>
      </c>
      <c r="AK33" s="47"/>
      <c r="AL33" s="45">
        <f>AC33*AG33</f>
        <v>0</v>
      </c>
      <c r="AM33" s="47"/>
      <c r="AN33" s="45">
        <f t="shared" si="2"/>
        <v>0</v>
      </c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7"/>
    </row>
    <row r="34" spans="1:52" s="6" customFormat="1" ht="12.75">
      <c r="A34" s="46"/>
      <c r="B34" s="46">
        <f>Baseline!B34</f>
        <v>0</v>
      </c>
      <c r="C34" s="46"/>
      <c r="D34" s="46"/>
      <c r="E34" s="46">
        <f>Baseline!E34</f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>
        <f t="shared" si="0"/>
        <v>0</v>
      </c>
      <c r="AD34" s="48" t="s">
        <v>77</v>
      </c>
      <c r="AE34" s="45"/>
      <c r="AF34" s="46"/>
      <c r="AG34" s="46"/>
      <c r="AH34" s="46"/>
      <c r="AI34" s="47"/>
      <c r="AJ34" s="45"/>
      <c r="AK34" s="47"/>
      <c r="AL34" s="45">
        <f>AC34*AG34/100</f>
        <v>0</v>
      </c>
      <c r="AM34" s="47"/>
      <c r="AN34" s="45">
        <f t="shared" si="2"/>
        <v>0</v>
      </c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7"/>
    </row>
    <row r="35" spans="1:52" s="6" customFormat="1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>
        <f t="shared" si="0"/>
        <v>0</v>
      </c>
      <c r="AD35" s="48" t="s">
        <v>78</v>
      </c>
      <c r="AE35" s="45"/>
      <c r="AF35" s="46"/>
      <c r="AG35" s="46"/>
      <c r="AH35" s="46"/>
      <c r="AI35" s="47"/>
      <c r="AJ35" s="45"/>
      <c r="AK35" s="47"/>
      <c r="AL35" s="45">
        <f>-SUM(AL31:AL34)</f>
        <v>0</v>
      </c>
      <c r="AM35" s="47">
        <f>-AL35*AI35/100</f>
        <v>0</v>
      </c>
      <c r="AN35" s="45">
        <f t="shared" si="2"/>
        <v>0</v>
      </c>
      <c r="AO35" s="46">
        <f>AM35*17.5%-AW35</f>
        <v>0</v>
      </c>
      <c r="AP35" s="46">
        <f>AM35-AO35-AW35</f>
        <v>0</v>
      </c>
      <c r="AQ35" s="46"/>
      <c r="AR35" s="46"/>
      <c r="AS35" s="46"/>
      <c r="AT35" s="46"/>
      <c r="AU35" s="46"/>
      <c r="AV35" s="46"/>
      <c r="AW35" s="7">
        <f>0*AM35/SUM($AM$35:$AM$52)</f>
        <v>0</v>
      </c>
      <c r="AX35" s="46"/>
      <c r="AY35" s="46"/>
      <c r="AZ35" s="47"/>
    </row>
    <row r="36" spans="1:52" s="6" customFormat="1" ht="12.75">
      <c r="A36" s="46"/>
      <c r="B36" s="46"/>
      <c r="C36" s="46"/>
      <c r="D36" s="46"/>
      <c r="E36" s="46"/>
      <c r="F36" s="46"/>
      <c r="G36" s="46"/>
      <c r="H36" s="46"/>
      <c r="I36" s="46">
        <f>Baseline!I36</f>
        <v>0</v>
      </c>
      <c r="J36" s="46"/>
      <c r="K36" s="46"/>
      <c r="L36" s="46"/>
      <c r="M36" s="46"/>
      <c r="N36" s="46"/>
      <c r="O36" s="46"/>
      <c r="P36" s="46"/>
      <c r="Q36" s="46"/>
      <c r="R36" s="46"/>
      <c r="S36" s="46">
        <f>Baseline!S36</f>
        <v>0</v>
      </c>
      <c r="T36" s="46">
        <f>Baseline!T36</f>
        <v>0</v>
      </c>
      <c r="U36" s="46">
        <f>Baseline!U36</f>
        <v>0</v>
      </c>
      <c r="V36" s="46">
        <f>Baseline!V36</f>
        <v>0</v>
      </c>
      <c r="W36" s="46">
        <f>Baseline!W36</f>
        <v>0</v>
      </c>
      <c r="X36" s="46"/>
      <c r="Y36" s="46"/>
      <c r="Z36" s="46"/>
      <c r="AA36" s="46"/>
      <c r="AB36" s="46">
        <f>Baseline!AB36*Fremskrivningsfaktor!T14</f>
        <v>0</v>
      </c>
      <c r="AC36" s="47">
        <f t="shared" si="0"/>
        <v>0</v>
      </c>
      <c r="AD36" s="48" t="s">
        <v>79</v>
      </c>
      <c r="AE36" s="45"/>
      <c r="AF36" s="46"/>
      <c r="AG36" s="46"/>
      <c r="AH36" s="46"/>
      <c r="AI36" s="47"/>
      <c r="AJ36" s="45">
        <f>AC36*AE36/100</f>
        <v>0</v>
      </c>
      <c r="AK36" s="47"/>
      <c r="AL36" s="45">
        <f>AC36*AG36/100</f>
        <v>0</v>
      </c>
      <c r="AM36" s="47"/>
      <c r="AN36" s="45">
        <f t="shared" si="2"/>
        <v>0</v>
      </c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7"/>
    </row>
    <row r="37" spans="1:52" s="6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>
        <f>Baseline!AB37</f>
        <v>0</v>
      </c>
      <c r="AC37" s="47">
        <f t="shared" si="0"/>
        <v>0</v>
      </c>
      <c r="AD37" s="48" t="s">
        <v>80</v>
      </c>
      <c r="AE37" s="45"/>
      <c r="AF37" s="46"/>
      <c r="AG37" s="46"/>
      <c r="AH37" s="46"/>
      <c r="AI37" s="47"/>
      <c r="AJ37" s="45">
        <f>AC37*AE37/100</f>
        <v>0</v>
      </c>
      <c r="AK37" s="47"/>
      <c r="AL37" s="45">
        <f>AC37*AG37/100</f>
        <v>0</v>
      </c>
      <c r="AM37" s="47"/>
      <c r="AN37" s="45">
        <f t="shared" si="2"/>
        <v>0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7"/>
    </row>
    <row r="38" spans="1:52" s="6" customFormat="1" ht="12.75">
      <c r="A38" s="46"/>
      <c r="B38" s="46"/>
      <c r="C38" s="46"/>
      <c r="D38" s="46"/>
      <c r="E38" s="46"/>
      <c r="F38" s="46"/>
      <c r="G38" s="46"/>
      <c r="H38" s="46"/>
      <c r="I38" s="46">
        <f>Baseline!I38</f>
        <v>0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>
        <f>Baseline!AB38</f>
        <v>0</v>
      </c>
      <c r="AC38" s="47">
        <f t="shared" si="0"/>
        <v>0</v>
      </c>
      <c r="AD38" s="48" t="s">
        <v>81</v>
      </c>
      <c r="AE38" s="45"/>
      <c r="AF38" s="46"/>
      <c r="AG38" s="46"/>
      <c r="AH38" s="46"/>
      <c r="AI38" s="47"/>
      <c r="AJ38" s="45">
        <f>AC38*AE38/100</f>
        <v>0</v>
      </c>
      <c r="AK38" s="47"/>
      <c r="AL38" s="45">
        <f>AC38*AG38/100</f>
        <v>0</v>
      </c>
      <c r="AM38" s="47"/>
      <c r="AN38" s="45">
        <f t="shared" si="2"/>
        <v>0</v>
      </c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7"/>
    </row>
    <row r="39" spans="1:52" s="6" customFormat="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>
        <f t="shared" si="0"/>
        <v>0</v>
      </c>
      <c r="AD39" s="48" t="s">
        <v>82</v>
      </c>
      <c r="AE39" s="45"/>
      <c r="AF39" s="46"/>
      <c r="AG39" s="46"/>
      <c r="AH39" s="46"/>
      <c r="AI39" s="47">
        <v>75</v>
      </c>
      <c r="AJ39" s="45"/>
      <c r="AK39" s="47"/>
      <c r="AL39" s="45">
        <f>-SUM(AL36:AL38)</f>
        <v>0</v>
      </c>
      <c r="AM39" s="47">
        <f>-AL39*AI39/100</f>
        <v>0</v>
      </c>
      <c r="AN39" s="45">
        <f t="shared" si="2"/>
        <v>0</v>
      </c>
      <c r="AO39" s="46">
        <f>AM39*17.5%-AW39</f>
        <v>0</v>
      </c>
      <c r="AP39" s="46">
        <f>AM39-AO39-AW39</f>
        <v>0</v>
      </c>
      <c r="AQ39" s="46"/>
      <c r="AR39" s="46"/>
      <c r="AS39" s="46"/>
      <c r="AT39" s="46"/>
      <c r="AU39" s="46"/>
      <c r="AV39" s="46"/>
      <c r="AW39" s="7">
        <f>0*AM39/SUM($AM$35:$AM$52)</f>
        <v>0</v>
      </c>
      <c r="AX39" s="46"/>
      <c r="AY39" s="46"/>
      <c r="AZ39" s="47"/>
    </row>
    <row r="40" spans="1:52" s="6" customFormat="1" ht="12.75">
      <c r="A40" s="46"/>
      <c r="B40" s="46"/>
      <c r="C40" s="46">
        <f>Baseline!C40</f>
        <v>0</v>
      </c>
      <c r="D40" s="46"/>
      <c r="E40" s="46">
        <f>Baseline!E40</f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>
        <f>Baseline!S40*Fremskrivningsfaktor!Q14</f>
        <v>0</v>
      </c>
      <c r="T40" s="46"/>
      <c r="U40" s="46"/>
      <c r="V40" s="46">
        <f>Baseline!T43*Fremskrivningsfaktor!R14</f>
        <v>0</v>
      </c>
      <c r="W40" s="46">
        <f>Baseline!W40*Fremskrivningsfaktor!R14</f>
        <v>0</v>
      </c>
      <c r="X40" s="46"/>
      <c r="Y40" s="46"/>
      <c r="Z40" s="46"/>
      <c r="AA40" s="46"/>
      <c r="AB40" s="46"/>
      <c r="AC40" s="47">
        <f t="shared" si="0"/>
        <v>0</v>
      </c>
      <c r="AD40" s="48" t="s">
        <v>101</v>
      </c>
      <c r="AE40" s="45"/>
      <c r="AF40" s="46"/>
      <c r="AG40" s="46"/>
      <c r="AH40" s="46"/>
      <c r="AI40" s="47"/>
      <c r="AJ40" s="45">
        <f>AC40*AE40/100</f>
        <v>0</v>
      </c>
      <c r="AK40" s="47"/>
      <c r="AL40" s="45">
        <f>AC40*AG40/100</f>
        <v>0</v>
      </c>
      <c r="AM40" s="47"/>
      <c r="AN40" s="45">
        <f t="shared" si="2"/>
        <v>0</v>
      </c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7"/>
    </row>
    <row r="41" spans="1:52" s="6" customFormat="1" ht="12.75">
      <c r="A41" s="46"/>
      <c r="B41" s="46"/>
      <c r="C41" s="46"/>
      <c r="D41" s="46"/>
      <c r="E41" s="46">
        <f>Baseline!E41</f>
        <v>0</v>
      </c>
      <c r="F41" s="46"/>
      <c r="G41" s="46"/>
      <c r="H41" s="46"/>
      <c r="I41" s="46">
        <f>Baseline!I41*Fremskrivningsfaktor!P14</f>
        <v>0</v>
      </c>
      <c r="J41" s="46"/>
      <c r="K41" s="46"/>
      <c r="L41" s="46"/>
      <c r="M41" s="46"/>
      <c r="N41" s="46"/>
      <c r="O41" s="46">
        <f>Baseline!O41</f>
        <v>0</v>
      </c>
      <c r="P41" s="46"/>
      <c r="Q41" s="46"/>
      <c r="R41" s="46"/>
      <c r="S41" s="46"/>
      <c r="T41" s="46"/>
      <c r="U41" s="46"/>
      <c r="V41" s="46"/>
      <c r="W41" s="46"/>
      <c r="X41" s="46">
        <f>Baseline!X41</f>
        <v>0</v>
      </c>
      <c r="Y41" s="46"/>
      <c r="Z41" s="46"/>
      <c r="AA41" s="46"/>
      <c r="AB41" s="46"/>
      <c r="AC41" s="47">
        <f t="shared" si="0"/>
        <v>0</v>
      </c>
      <c r="AD41" s="48" t="s">
        <v>102</v>
      </c>
      <c r="AE41" s="45"/>
      <c r="AF41" s="46"/>
      <c r="AG41" s="46"/>
      <c r="AH41" s="46"/>
      <c r="AI41" s="47"/>
      <c r="AJ41" s="45">
        <f>AC41*AE41/100</f>
        <v>0</v>
      </c>
      <c r="AK41" s="47"/>
      <c r="AL41" s="45">
        <f>AC41*AG41/100</f>
        <v>0</v>
      </c>
      <c r="AM41" s="47"/>
      <c r="AN41" s="45">
        <f t="shared" si="2"/>
        <v>0</v>
      </c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7"/>
    </row>
    <row r="42" spans="1:52" s="6" customFormat="1" ht="12.75">
      <c r="A42" s="46"/>
      <c r="B42" s="46"/>
      <c r="C42" s="46"/>
      <c r="D42" s="46"/>
      <c r="E42" s="46"/>
      <c r="F42" s="46"/>
      <c r="G42" s="46"/>
      <c r="H42" s="46"/>
      <c r="I42" s="46">
        <f>Baseline!I42</f>
        <v>0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7">
        <f t="shared" si="0"/>
        <v>0</v>
      </c>
      <c r="AD42" s="48" t="s">
        <v>103</v>
      </c>
      <c r="AE42" s="45"/>
      <c r="AF42" s="46"/>
      <c r="AG42" s="46"/>
      <c r="AH42" s="46"/>
      <c r="AI42" s="47"/>
      <c r="AJ42" s="45">
        <f>AC42*AE42/100</f>
        <v>0</v>
      </c>
      <c r="AK42" s="47"/>
      <c r="AL42" s="45">
        <f>AC42*AG42/100</f>
        <v>0</v>
      </c>
      <c r="AM42" s="47"/>
      <c r="AN42" s="45">
        <f t="shared" si="2"/>
        <v>0</v>
      </c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7"/>
    </row>
    <row r="43" spans="1:52" s="6" customFormat="1" ht="12.75">
      <c r="A43" s="46"/>
      <c r="B43" s="46"/>
      <c r="C43" s="46"/>
      <c r="D43" s="46">
        <f>Baseline!D43</f>
        <v>0</v>
      </c>
      <c r="E43" s="46">
        <f>Baseline!E43</f>
        <v>0</v>
      </c>
      <c r="F43" s="46"/>
      <c r="G43" s="46"/>
      <c r="H43" s="46"/>
      <c r="I43" s="46">
        <f>Baseline!I43*Fremskrivningsfaktor!P11</f>
        <v>0</v>
      </c>
      <c r="J43" s="46"/>
      <c r="K43" s="46"/>
      <c r="L43" s="46"/>
      <c r="M43" s="46"/>
      <c r="N43" s="46"/>
      <c r="O43" s="46">
        <f>Baseline!O43</f>
        <v>0</v>
      </c>
      <c r="P43" s="46"/>
      <c r="Q43" s="46">
        <f>Baseline!Q43</f>
        <v>0</v>
      </c>
      <c r="R43" s="46"/>
      <c r="S43" s="46"/>
      <c r="T43" s="46">
        <f>Baseline!T43</f>
        <v>0</v>
      </c>
      <c r="U43" s="46">
        <f>Baseline!U43</f>
        <v>0</v>
      </c>
      <c r="V43" s="46">
        <f>Baseline!V43</f>
        <v>0</v>
      </c>
      <c r="W43" s="46">
        <f>Baseline!W43</f>
        <v>0</v>
      </c>
      <c r="X43" s="46">
        <f>Baseline!X43</f>
        <v>0</v>
      </c>
      <c r="Y43" s="46"/>
      <c r="Z43" s="46"/>
      <c r="AA43" s="46"/>
      <c r="AB43" s="46"/>
      <c r="AC43" s="47">
        <f t="shared" si="0"/>
        <v>0</v>
      </c>
      <c r="AD43" s="48" t="s">
        <v>104</v>
      </c>
      <c r="AE43" s="45"/>
      <c r="AF43" s="46"/>
      <c r="AG43" s="46"/>
      <c r="AH43" s="46"/>
      <c r="AI43" s="47"/>
      <c r="AJ43" s="45">
        <f>AC43*AE43/100</f>
        <v>0</v>
      </c>
      <c r="AK43" s="47"/>
      <c r="AL43" s="45">
        <f>AC43*AG43/100</f>
        <v>0</v>
      </c>
      <c r="AM43" s="47"/>
      <c r="AN43" s="45">
        <f t="shared" si="2"/>
        <v>0</v>
      </c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7"/>
    </row>
    <row r="44" spans="1:52" s="6" customFormat="1" ht="12.75">
      <c r="A44" s="46"/>
      <c r="B44" s="46"/>
      <c r="C44" s="46"/>
      <c r="D44" s="46"/>
      <c r="E44" s="46">
        <f>Baseline!E44</f>
        <v>0</v>
      </c>
      <c r="F44" s="46"/>
      <c r="G44" s="46"/>
      <c r="H44" s="46"/>
      <c r="I44" s="46">
        <f>Baseline!I44*Fremskrivningsfaktor!P14</f>
        <v>0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>
        <f>Baseline!T44</f>
        <v>0</v>
      </c>
      <c r="U44" s="46">
        <f>Baseline!U44</f>
        <v>0</v>
      </c>
      <c r="V44" s="46"/>
      <c r="W44" s="46"/>
      <c r="X44" s="46"/>
      <c r="Y44" s="46"/>
      <c r="Z44" s="46"/>
      <c r="AA44" s="46"/>
      <c r="AB44" s="46"/>
      <c r="AC44" s="47">
        <f t="shared" si="0"/>
        <v>0</v>
      </c>
      <c r="AD44" s="48" t="s">
        <v>105</v>
      </c>
      <c r="AE44" s="45"/>
      <c r="AF44" s="46"/>
      <c r="AG44" s="46"/>
      <c r="AH44" s="46"/>
      <c r="AI44" s="47"/>
      <c r="AJ44" s="45">
        <f>AC44*AE44/100</f>
        <v>0</v>
      </c>
      <c r="AK44" s="47"/>
      <c r="AL44" s="45">
        <f>AC44*AG44/100</f>
        <v>0</v>
      </c>
      <c r="AM44" s="47"/>
      <c r="AN44" s="45">
        <f t="shared" si="2"/>
        <v>0</v>
      </c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7"/>
    </row>
    <row r="45" spans="1:52" s="6" customFormat="1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>
        <f t="shared" si="0"/>
        <v>0</v>
      </c>
      <c r="AD45" s="48" t="s">
        <v>106</v>
      </c>
      <c r="AE45" s="45"/>
      <c r="AF45" s="46"/>
      <c r="AG45" s="46"/>
      <c r="AH45" s="46"/>
      <c r="AI45" s="47">
        <v>75</v>
      </c>
      <c r="AJ45" s="45"/>
      <c r="AK45" s="47"/>
      <c r="AL45" s="45">
        <f>-SUM(AL40:AL44)</f>
        <v>0</v>
      </c>
      <c r="AM45" s="47">
        <f>-AL45*AI45/100</f>
        <v>0</v>
      </c>
      <c r="AN45" s="45">
        <f t="shared" si="2"/>
        <v>0</v>
      </c>
      <c r="AO45" s="46">
        <f>AM45*17.5%-AW45</f>
        <v>0</v>
      </c>
      <c r="AP45" s="46">
        <f>AM45-AO45-AW45</f>
        <v>0</v>
      </c>
      <c r="AQ45" s="46"/>
      <c r="AR45" s="46"/>
      <c r="AS45" s="46"/>
      <c r="AT45" s="46"/>
      <c r="AU45" s="46"/>
      <c r="AV45" s="46"/>
      <c r="AW45" s="7">
        <f>0*AM45/SUM($AM$35:$AM$52)</f>
        <v>0</v>
      </c>
      <c r="AX45" s="46"/>
      <c r="AY45" s="46"/>
      <c r="AZ45" s="47"/>
    </row>
    <row r="46" spans="1:52" s="6" customFormat="1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>
        <f>Baseline!O46</f>
        <v>0</v>
      </c>
      <c r="P46" s="46"/>
      <c r="Q46" s="46"/>
      <c r="R46" s="46"/>
      <c r="S46" s="46"/>
      <c r="T46" s="46"/>
      <c r="U46" s="46"/>
      <c r="V46" s="46"/>
      <c r="W46" s="46"/>
      <c r="X46" s="46">
        <f>Baseline!X46</f>
        <v>0</v>
      </c>
      <c r="Y46" s="46"/>
      <c r="Z46" s="46"/>
      <c r="AA46" s="46"/>
      <c r="AB46" s="46"/>
      <c r="AC46" s="47">
        <f>SUM(A46:AB46)</f>
        <v>0</v>
      </c>
      <c r="AD46" s="48" t="s">
        <v>123</v>
      </c>
      <c r="AE46" s="45"/>
      <c r="AF46" s="49"/>
      <c r="AG46" s="46"/>
      <c r="AH46" s="46"/>
      <c r="AI46" s="47"/>
      <c r="AJ46" s="45">
        <f>AC46*AE46/100</f>
        <v>0</v>
      </c>
      <c r="AK46" s="47"/>
      <c r="AL46" s="45">
        <f>AC46*AG46/100</f>
        <v>0</v>
      </c>
      <c r="AM46" s="47"/>
      <c r="AN46" s="45">
        <f t="shared" si="2"/>
        <v>0</v>
      </c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7"/>
    </row>
    <row r="47" spans="1:52" s="6" customFormat="1" ht="12.75">
      <c r="A47" s="46"/>
      <c r="B47" s="46"/>
      <c r="C47" s="46"/>
      <c r="D47" s="46"/>
      <c r="E47" s="46">
        <f>Baseline!E47</f>
        <v>0</v>
      </c>
      <c r="F47" s="46"/>
      <c r="G47" s="46"/>
      <c r="H47" s="46"/>
      <c r="I47" s="46">
        <f>Baseline!I47</f>
        <v>0</v>
      </c>
      <c r="J47" s="46"/>
      <c r="K47" s="46"/>
      <c r="L47" s="46"/>
      <c r="M47" s="46"/>
      <c r="N47" s="46"/>
      <c r="O47" s="46">
        <f>Baseline!O47</f>
        <v>0</v>
      </c>
      <c r="P47" s="46"/>
      <c r="Q47" s="46"/>
      <c r="R47" s="46"/>
      <c r="S47" s="46"/>
      <c r="T47" s="46"/>
      <c r="U47" s="46"/>
      <c r="V47" s="46"/>
      <c r="W47" s="46"/>
      <c r="X47" s="46">
        <f>Baseline!X47</f>
        <v>0</v>
      </c>
      <c r="Y47" s="46"/>
      <c r="Z47" s="46">
        <f>Baseline!Z47</f>
        <v>0</v>
      </c>
      <c r="AA47" s="46"/>
      <c r="AB47" s="46"/>
      <c r="AC47" s="47">
        <f t="shared" si="0"/>
        <v>0</v>
      </c>
      <c r="AD47" s="48" t="s">
        <v>83</v>
      </c>
      <c r="AE47" s="45"/>
      <c r="AF47" s="46"/>
      <c r="AG47" s="46"/>
      <c r="AH47" s="46"/>
      <c r="AI47" s="47"/>
      <c r="AJ47" s="45">
        <f>AC47*AE47/100</f>
        <v>0</v>
      </c>
      <c r="AK47" s="47"/>
      <c r="AL47" s="45">
        <f>AC47*AG47/100</f>
        <v>0</v>
      </c>
      <c r="AM47" s="47"/>
      <c r="AN47" s="45">
        <f t="shared" si="2"/>
        <v>0</v>
      </c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7"/>
    </row>
    <row r="48" spans="1:52" s="6" customFormat="1" ht="12.75">
      <c r="A48" s="46"/>
      <c r="B48" s="46"/>
      <c r="C48" s="46"/>
      <c r="D48" s="46"/>
      <c r="E48" s="46"/>
      <c r="F48" s="46"/>
      <c r="G48" s="46"/>
      <c r="H48" s="46"/>
      <c r="I48" s="46">
        <f>Baseline!I48</f>
        <v>0</v>
      </c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7">
        <f t="shared" si="0"/>
        <v>0</v>
      </c>
      <c r="AD48" s="48" t="s">
        <v>85</v>
      </c>
      <c r="AE48" s="45"/>
      <c r="AF48" s="46"/>
      <c r="AG48" s="46"/>
      <c r="AH48" s="46"/>
      <c r="AI48" s="47"/>
      <c r="AJ48" s="45">
        <f>AC48*AE48/100</f>
        <v>0</v>
      </c>
      <c r="AK48" s="47"/>
      <c r="AL48" s="45">
        <f>AC48*AG48/100</f>
        <v>0</v>
      </c>
      <c r="AM48" s="47"/>
      <c r="AN48" s="45">
        <f t="shared" si="2"/>
        <v>0</v>
      </c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7"/>
    </row>
    <row r="49" spans="1:52" s="6" customFormat="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7">
        <f t="shared" si="0"/>
        <v>0</v>
      </c>
      <c r="AD49" s="48" t="s">
        <v>84</v>
      </c>
      <c r="AE49" s="45"/>
      <c r="AF49" s="46"/>
      <c r="AG49" s="46"/>
      <c r="AH49" s="46"/>
      <c r="AI49" s="47">
        <v>75</v>
      </c>
      <c r="AJ49" s="45"/>
      <c r="AK49" s="47"/>
      <c r="AL49" s="45">
        <f>-SUM(AL47:AL48)</f>
        <v>0</v>
      </c>
      <c r="AM49" s="47">
        <f>-AL49*AI49/100</f>
        <v>0</v>
      </c>
      <c r="AN49" s="45">
        <f t="shared" si="2"/>
        <v>0</v>
      </c>
      <c r="AO49" s="46">
        <f>AM49*17.5%-AW49</f>
        <v>0</v>
      </c>
      <c r="AP49" s="46">
        <f>AM49-AO49-AW49</f>
        <v>0</v>
      </c>
      <c r="AQ49" s="46"/>
      <c r="AR49" s="46"/>
      <c r="AS49" s="46"/>
      <c r="AT49" s="46"/>
      <c r="AU49" s="46"/>
      <c r="AV49" s="46"/>
      <c r="AW49" s="7">
        <f>0*AM49/SUM($AM$35:$AM$52)</f>
        <v>0</v>
      </c>
      <c r="AX49" s="46"/>
      <c r="AY49" s="46"/>
      <c r="AZ49" s="47"/>
    </row>
    <row r="50" spans="1:52" s="6" customFormat="1" ht="12.75">
      <c r="A50" s="46"/>
      <c r="B50" s="46"/>
      <c r="C50" s="46"/>
      <c r="D50" s="46">
        <f>Baseline!D50</f>
        <v>0</v>
      </c>
      <c r="E50" s="46">
        <f>Baseline!E50</f>
        <v>0.130846464</v>
      </c>
      <c r="F50" s="46"/>
      <c r="G50" s="46"/>
      <c r="H50" s="46"/>
      <c r="I50" s="46">
        <f>Baseline!I50*Fremskrivningsfaktor!P11</f>
        <v>0</v>
      </c>
      <c r="J50" s="46"/>
      <c r="K50" s="46"/>
      <c r="L50" s="46"/>
      <c r="M50" s="46"/>
      <c r="N50" s="46"/>
      <c r="O50" s="46"/>
      <c r="P50" s="46"/>
      <c r="Q50" s="46">
        <f>Baseline!Q50</f>
        <v>0</v>
      </c>
      <c r="R50" s="46"/>
      <c r="S50" s="46">
        <f>Baseline!S50*Fremskrivningsfaktor!Q11</f>
        <v>66.41346049724748</v>
      </c>
      <c r="T50" s="46">
        <f>Baseline!T50*Fremskrivningsfaktor!R11</f>
        <v>0</v>
      </c>
      <c r="U50" s="46">
        <f>Baseline!U50*Fremskrivningsfaktor!R11</f>
        <v>0</v>
      </c>
      <c r="V50" s="46">
        <f>Baseline!V50*Fremskrivningsfaktor!R11</f>
        <v>0</v>
      </c>
      <c r="W50" s="46">
        <f>Baseline!W50*Fremskrivningsfaktor!R11</f>
        <v>0</v>
      </c>
      <c r="X50" s="46"/>
      <c r="Y50" s="46"/>
      <c r="Z50" s="46"/>
      <c r="AA50" s="46"/>
      <c r="AB50" s="46"/>
      <c r="AC50" s="47">
        <f t="shared" si="0"/>
        <v>66.54430696124749</v>
      </c>
      <c r="AD50" s="48" t="s">
        <v>98</v>
      </c>
      <c r="AE50" s="45"/>
      <c r="AF50" s="46"/>
      <c r="AG50" s="46">
        <v>87.04</v>
      </c>
      <c r="AH50" s="46"/>
      <c r="AI50" s="47"/>
      <c r="AJ50" s="45"/>
      <c r="AK50" s="47"/>
      <c r="AL50" s="45">
        <f>AC50*AG50/100</f>
        <v>57.92016477906982</v>
      </c>
      <c r="AM50" s="47"/>
      <c r="AN50" s="45">
        <f t="shared" si="2"/>
        <v>0</v>
      </c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7"/>
    </row>
    <row r="51" spans="1:52" s="6" customFormat="1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>
        <f>Baseline!M51+5</f>
        <v>8.6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7">
        <f t="shared" si="0"/>
        <v>8.6</v>
      </c>
      <c r="AD51" s="48" t="s">
        <v>99</v>
      </c>
      <c r="AE51" s="45"/>
      <c r="AF51" s="46"/>
      <c r="AG51" s="46"/>
      <c r="AH51" s="46"/>
      <c r="AI51" s="47"/>
      <c r="AJ51" s="45"/>
      <c r="AK51" s="47"/>
      <c r="AL51" s="45">
        <f>AC51*AG51/100</f>
        <v>0</v>
      </c>
      <c r="AM51" s="47"/>
      <c r="AN51" s="45">
        <f t="shared" si="2"/>
        <v>0</v>
      </c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7"/>
    </row>
    <row r="52" spans="1:52" s="6" customFormat="1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7">
        <f t="shared" si="0"/>
        <v>0</v>
      </c>
      <c r="AD52" s="48" t="s">
        <v>100</v>
      </c>
      <c r="AE52" s="45"/>
      <c r="AF52" s="46"/>
      <c r="AG52" s="46"/>
      <c r="AH52" s="46"/>
      <c r="AI52" s="47">
        <v>75</v>
      </c>
      <c r="AJ52" s="45"/>
      <c r="AK52" s="47"/>
      <c r="AL52" s="45">
        <f>-SUM(AL50:AL51)</f>
        <v>-57.92016477906982</v>
      </c>
      <c r="AM52" s="47">
        <f>-AL52*AI52/100</f>
        <v>43.44012358430236</v>
      </c>
      <c r="AN52" s="45">
        <f t="shared" si="2"/>
        <v>43.440123584302356</v>
      </c>
      <c r="AO52" s="46">
        <f>AM52*17.5%-AW52</f>
        <v>7.602021627252913</v>
      </c>
      <c r="AP52" s="46">
        <f>AM52-AO52-AW52</f>
        <v>35.838101957049446</v>
      </c>
      <c r="AQ52" s="46"/>
      <c r="AR52" s="46"/>
      <c r="AS52" s="46"/>
      <c r="AT52" s="46"/>
      <c r="AU52" s="46"/>
      <c r="AV52" s="46"/>
      <c r="AW52" s="7">
        <f>0*AM52/SUM($AM$35:$AM$52)</f>
        <v>0</v>
      </c>
      <c r="AX52" s="46"/>
      <c r="AY52" s="46"/>
      <c r="AZ52" s="47"/>
    </row>
    <row r="53" spans="1:52" s="6" customFormat="1" ht="12.75">
      <c r="A53" s="46"/>
      <c r="B53" s="46"/>
      <c r="C53" s="46"/>
      <c r="D53" s="46">
        <f>Baseline!D53</f>
        <v>0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>
        <f>Baseline!V53</f>
        <v>0</v>
      </c>
      <c r="W53" s="46">
        <f>Baseline!W53</f>
        <v>0</v>
      </c>
      <c r="X53" s="46"/>
      <c r="Y53" s="46"/>
      <c r="Z53" s="46"/>
      <c r="AA53" s="46"/>
      <c r="AB53" s="46">
        <f>Baseline!AB53</f>
        <v>0</v>
      </c>
      <c r="AC53" s="47">
        <f t="shared" si="0"/>
        <v>0</v>
      </c>
      <c r="AD53" s="48" t="s">
        <v>89</v>
      </c>
      <c r="AE53" s="45"/>
      <c r="AF53" s="46"/>
      <c r="AG53" s="46"/>
      <c r="AH53" s="46"/>
      <c r="AI53" s="47"/>
      <c r="AJ53" s="45">
        <f aca="true" t="shared" si="3" ref="AJ53:AJ58">AE53/100*AC53</f>
        <v>0</v>
      </c>
      <c r="AK53" s="47"/>
      <c r="AL53" s="45">
        <f aca="true" t="shared" si="4" ref="AL53:AL58">AC53*AG53/100</f>
        <v>0</v>
      </c>
      <c r="AM53" s="47"/>
      <c r="AN53" s="45">
        <f t="shared" si="2"/>
        <v>0</v>
      </c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7"/>
    </row>
    <row r="54" spans="1:52" s="6" customFormat="1" ht="12.75">
      <c r="A54" s="46"/>
      <c r="B54" s="46"/>
      <c r="C54" s="46"/>
      <c r="D54" s="46"/>
      <c r="E54" s="46">
        <f>Baseline!E54</f>
        <v>0</v>
      </c>
      <c r="F54" s="46"/>
      <c r="G54" s="46"/>
      <c r="H54" s="46"/>
      <c r="I54" s="46">
        <f>Baseline!I54</f>
        <v>0</v>
      </c>
      <c r="J54" s="46"/>
      <c r="K54" s="46"/>
      <c r="L54" s="46"/>
      <c r="M54" s="46"/>
      <c r="N54" s="46"/>
      <c r="O54" s="46">
        <f>Baseline!O54</f>
        <v>0</v>
      </c>
      <c r="P54" s="46"/>
      <c r="Q54" s="46">
        <f>Baseline!Q54</f>
        <v>0</v>
      </c>
      <c r="R54" s="46"/>
      <c r="S54" s="46"/>
      <c r="T54" s="46"/>
      <c r="U54" s="46"/>
      <c r="V54" s="46"/>
      <c r="W54" s="46"/>
      <c r="X54" s="46">
        <f>Baseline!X54</f>
        <v>0</v>
      </c>
      <c r="Y54" s="46"/>
      <c r="Z54" s="46">
        <f>Baseline!Z54</f>
        <v>0</v>
      </c>
      <c r="AA54" s="46"/>
      <c r="AB54" s="46">
        <f>Baseline!AB54</f>
        <v>0</v>
      </c>
      <c r="AC54" s="47">
        <f t="shared" si="0"/>
        <v>0</v>
      </c>
      <c r="AD54" s="48" t="s">
        <v>90</v>
      </c>
      <c r="AE54" s="45"/>
      <c r="AF54" s="46"/>
      <c r="AG54" s="46"/>
      <c r="AH54" s="46"/>
      <c r="AI54" s="47"/>
      <c r="AJ54" s="45">
        <f t="shared" si="3"/>
        <v>0</v>
      </c>
      <c r="AK54" s="47"/>
      <c r="AL54" s="45">
        <f t="shared" si="4"/>
        <v>0</v>
      </c>
      <c r="AM54" s="47"/>
      <c r="AN54" s="45">
        <f t="shared" si="2"/>
        <v>0</v>
      </c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7"/>
    </row>
    <row r="55" spans="1:52" s="6" customFormat="1" ht="12.75">
      <c r="A55" s="46"/>
      <c r="B55" s="46"/>
      <c r="C55" s="46"/>
      <c r="D55" s="46"/>
      <c r="E55" s="46"/>
      <c r="F55" s="46"/>
      <c r="G55" s="46"/>
      <c r="H55" s="46"/>
      <c r="I55" s="46">
        <f>Baseline!I55</f>
        <v>0</v>
      </c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>
        <f t="shared" si="0"/>
        <v>0</v>
      </c>
      <c r="AD55" s="48" t="s">
        <v>91</v>
      </c>
      <c r="AE55" s="45"/>
      <c r="AF55" s="46"/>
      <c r="AG55" s="46"/>
      <c r="AH55" s="46"/>
      <c r="AI55" s="47"/>
      <c r="AJ55" s="45">
        <f t="shared" si="3"/>
        <v>0</v>
      </c>
      <c r="AK55" s="47"/>
      <c r="AL55" s="45">
        <f t="shared" si="4"/>
        <v>0</v>
      </c>
      <c r="AM55" s="47"/>
      <c r="AN55" s="45">
        <f t="shared" si="2"/>
        <v>0</v>
      </c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7"/>
    </row>
    <row r="56" spans="1:52" s="6" customFormat="1" ht="12.75">
      <c r="A56" s="46"/>
      <c r="B56" s="46"/>
      <c r="C56" s="46"/>
      <c r="D56" s="46">
        <f>Baseline!D56</f>
        <v>0</v>
      </c>
      <c r="E56" s="46">
        <f>Baseline!E56</f>
        <v>0</v>
      </c>
      <c r="F56" s="46"/>
      <c r="G56" s="46"/>
      <c r="H56" s="46"/>
      <c r="I56" s="46">
        <f>Baseline!I56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>
        <f>Baseline!V56</f>
        <v>0</v>
      </c>
      <c r="W56" s="46">
        <f>Baseline!W56</f>
        <v>0</v>
      </c>
      <c r="X56" s="46"/>
      <c r="Y56" s="46"/>
      <c r="Z56" s="46"/>
      <c r="AA56" s="46"/>
      <c r="AB56" s="46"/>
      <c r="AC56" s="47">
        <f t="shared" si="0"/>
        <v>0</v>
      </c>
      <c r="AD56" s="48" t="s">
        <v>92</v>
      </c>
      <c r="AE56" s="45"/>
      <c r="AF56" s="46"/>
      <c r="AG56" s="46"/>
      <c r="AH56" s="46"/>
      <c r="AI56" s="47"/>
      <c r="AJ56" s="45">
        <f t="shared" si="3"/>
        <v>0</v>
      </c>
      <c r="AK56" s="47"/>
      <c r="AL56" s="45">
        <f t="shared" si="4"/>
        <v>0</v>
      </c>
      <c r="AM56" s="47"/>
      <c r="AN56" s="45">
        <f t="shared" si="2"/>
        <v>0</v>
      </c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7"/>
    </row>
    <row r="57" spans="1:52" s="6" customFormat="1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7">
        <f t="shared" si="0"/>
        <v>0</v>
      </c>
      <c r="AD57" s="48" t="s">
        <v>93</v>
      </c>
      <c r="AE57" s="45"/>
      <c r="AF57" s="46"/>
      <c r="AG57" s="46"/>
      <c r="AH57" s="46"/>
      <c r="AI57" s="47"/>
      <c r="AJ57" s="45">
        <f t="shared" si="3"/>
        <v>0</v>
      </c>
      <c r="AK57" s="47"/>
      <c r="AL57" s="45">
        <f t="shared" si="4"/>
        <v>0</v>
      </c>
      <c r="AM57" s="47"/>
      <c r="AN57" s="45">
        <f t="shared" si="2"/>
        <v>0</v>
      </c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7"/>
    </row>
    <row r="58" spans="1:52" s="6" customFormat="1" ht="12.75">
      <c r="A58" s="46"/>
      <c r="B58" s="46"/>
      <c r="C58" s="46"/>
      <c r="D58" s="46"/>
      <c r="E58" s="46">
        <f>Baseline!E58</f>
        <v>0</v>
      </c>
      <c r="F58" s="46"/>
      <c r="G58" s="46"/>
      <c r="H58" s="46"/>
      <c r="I58" s="46">
        <f>Baseline!I58</f>
        <v>0</v>
      </c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>
        <f>Baseline!V58</f>
        <v>0</v>
      </c>
      <c r="W58" s="46">
        <f>Baseline!W58</f>
        <v>0</v>
      </c>
      <c r="X58" s="46"/>
      <c r="Y58" s="46"/>
      <c r="Z58" s="46"/>
      <c r="AA58" s="46"/>
      <c r="AB58" s="46"/>
      <c r="AC58" s="47">
        <f t="shared" si="0"/>
        <v>0</v>
      </c>
      <c r="AD58" s="48" t="s">
        <v>94</v>
      </c>
      <c r="AE58" s="45"/>
      <c r="AF58" s="46"/>
      <c r="AG58" s="46"/>
      <c r="AH58" s="46"/>
      <c r="AI58" s="47"/>
      <c r="AJ58" s="45">
        <f t="shared" si="3"/>
        <v>0</v>
      </c>
      <c r="AK58" s="47"/>
      <c r="AL58" s="45">
        <f t="shared" si="4"/>
        <v>0</v>
      </c>
      <c r="AM58" s="47"/>
      <c r="AN58" s="45">
        <f t="shared" si="2"/>
        <v>0</v>
      </c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7"/>
    </row>
    <row r="59" spans="1:52" s="6" customFormat="1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7">
        <f t="shared" si="0"/>
        <v>0</v>
      </c>
      <c r="AD59" s="50" t="s">
        <v>96</v>
      </c>
      <c r="AE59" s="45"/>
      <c r="AF59" s="46"/>
      <c r="AG59" s="46"/>
      <c r="AH59" s="46"/>
      <c r="AI59" s="49"/>
      <c r="AJ59" s="45">
        <f>-AK59</f>
        <v>0</v>
      </c>
      <c r="AK59" s="47">
        <v>0</v>
      </c>
      <c r="AL59" s="45"/>
      <c r="AM59" s="47"/>
      <c r="AN59" s="45">
        <f t="shared" si="2"/>
        <v>0</v>
      </c>
      <c r="AO59" s="46"/>
      <c r="AP59" s="46"/>
      <c r="AQ59" s="46"/>
      <c r="AR59" s="46"/>
      <c r="AS59" s="46"/>
      <c r="AT59" s="46"/>
      <c r="AU59" s="46"/>
      <c r="AV59" s="46"/>
      <c r="AW59" s="46">
        <f>AK59</f>
        <v>0</v>
      </c>
      <c r="AX59" s="46"/>
      <c r="AY59" s="46"/>
      <c r="AZ59" s="47"/>
    </row>
    <row r="60" spans="1:52" s="6" customFormat="1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7">
        <f t="shared" si="0"/>
        <v>0</v>
      </c>
      <c r="AD60" s="50" t="s">
        <v>97</v>
      </c>
      <c r="AE60" s="45"/>
      <c r="AF60" s="46"/>
      <c r="AG60" s="46"/>
      <c r="AH60" s="46"/>
      <c r="AI60" s="47"/>
      <c r="AJ60" s="45"/>
      <c r="AK60" s="47"/>
      <c r="AL60" s="45">
        <f>-AM60</f>
        <v>0</v>
      </c>
      <c r="AM60" s="51">
        <v>0</v>
      </c>
      <c r="AN60" s="45">
        <f t="shared" si="2"/>
        <v>0</v>
      </c>
      <c r="AO60" s="46"/>
      <c r="AP60" s="46"/>
      <c r="AQ60" s="46"/>
      <c r="AR60" s="46"/>
      <c r="AS60" s="46"/>
      <c r="AT60" s="46"/>
      <c r="AU60" s="46"/>
      <c r="AV60" s="46"/>
      <c r="AW60" s="46">
        <f>AM60</f>
        <v>0</v>
      </c>
      <c r="AX60" s="46"/>
      <c r="AY60" s="46"/>
      <c r="AZ60" s="47"/>
    </row>
    <row r="61" spans="1:52" s="6" customFormat="1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7">
        <f t="shared" si="0"/>
        <v>0</v>
      </c>
      <c r="AD61" s="48" t="s">
        <v>95</v>
      </c>
      <c r="AE61" s="45"/>
      <c r="AF61" s="46"/>
      <c r="AG61" s="46"/>
      <c r="AH61" s="46"/>
      <c r="AI61" s="47">
        <v>75</v>
      </c>
      <c r="AJ61" s="45"/>
      <c r="AK61" s="47"/>
      <c r="AL61" s="45">
        <f>-SUM(AL53:AL60)</f>
        <v>0</v>
      </c>
      <c r="AM61" s="47">
        <f>-AL61*AI61/100</f>
        <v>0</v>
      </c>
      <c r="AN61" s="45">
        <f t="shared" si="2"/>
        <v>0</v>
      </c>
      <c r="AO61" s="46">
        <f>AM61*17.5%</f>
        <v>0</v>
      </c>
      <c r="AP61" s="46">
        <f>AM61-AO61</f>
        <v>0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7"/>
    </row>
    <row r="62" spans="1:52" s="6" customFormat="1" ht="12.75">
      <c r="A62" s="45"/>
      <c r="B62" s="46"/>
      <c r="C62" s="46"/>
      <c r="D62" s="46"/>
      <c r="E62" s="46"/>
      <c r="F62" s="46"/>
      <c r="G62" s="46"/>
      <c r="H62" s="46">
        <f>Baseline!H62*Fremskrivningsfaktor!K20*70%</f>
        <v>48.070749114343975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>
        <f>SUM(A62:AB62)</f>
        <v>48.070749114343975</v>
      </c>
      <c r="AD62" s="48" t="s">
        <v>124</v>
      </c>
      <c r="AE62" s="45"/>
      <c r="AF62" s="46">
        <v>20</v>
      </c>
      <c r="AG62" s="46"/>
      <c r="AH62" s="46"/>
      <c r="AI62" s="47"/>
      <c r="AJ62" s="45"/>
      <c r="AK62" s="47"/>
      <c r="AL62" s="45"/>
      <c r="AM62" s="47"/>
      <c r="AN62" s="45">
        <f t="shared" si="2"/>
        <v>9.614149822868795</v>
      </c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7">
        <f>AC62*AF62/100</f>
        <v>9.614149822868795</v>
      </c>
    </row>
    <row r="63" spans="1:52" s="6" customFormat="1" ht="12.75">
      <c r="A63" s="45"/>
      <c r="B63" s="46"/>
      <c r="C63" s="46"/>
      <c r="D63" s="46"/>
      <c r="E63" s="46"/>
      <c r="F63" s="46">
        <v>4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>
        <f>SUM(A63:AB63)-R63</f>
        <v>4</v>
      </c>
      <c r="AD63" s="48" t="s">
        <v>64</v>
      </c>
      <c r="AE63" s="45"/>
      <c r="AF63" s="46">
        <v>25</v>
      </c>
      <c r="AG63" s="46"/>
      <c r="AH63" s="46"/>
      <c r="AI63" s="47"/>
      <c r="AJ63" s="45"/>
      <c r="AK63" s="47"/>
      <c r="AL63" s="45"/>
      <c r="AM63" s="47"/>
      <c r="AN63" s="45">
        <f t="shared" si="2"/>
        <v>1</v>
      </c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7">
        <f aca="true" t="shared" si="5" ref="AZ63:AZ70">AC63*AF63/100</f>
        <v>1</v>
      </c>
    </row>
    <row r="64" spans="1:52" s="6" customFormat="1" ht="12.75">
      <c r="A64" s="45"/>
      <c r="B64" s="46"/>
      <c r="C64" s="46"/>
      <c r="D64" s="46"/>
      <c r="E64" s="46"/>
      <c r="F64" s="46">
        <f>Baseline!F64</f>
        <v>1.625171172206312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>
        <f t="shared" si="0"/>
        <v>1.625171172206312</v>
      </c>
      <c r="AD64" s="48" t="s">
        <v>65</v>
      </c>
      <c r="AE64" s="45"/>
      <c r="AF64" s="46">
        <v>33</v>
      </c>
      <c r="AG64" s="46"/>
      <c r="AH64" s="46"/>
      <c r="AI64" s="47"/>
      <c r="AJ64" s="45"/>
      <c r="AK64" s="47"/>
      <c r="AL64" s="45"/>
      <c r="AM64" s="47"/>
      <c r="AN64" s="45">
        <f t="shared" si="2"/>
        <v>0.536306486828083</v>
      </c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7">
        <f t="shared" si="5"/>
        <v>0.536306486828083</v>
      </c>
    </row>
    <row r="65" spans="1:52" s="6" customFormat="1" ht="12.75">
      <c r="A65" s="45"/>
      <c r="B65" s="46"/>
      <c r="C65" s="46"/>
      <c r="D65" s="46"/>
      <c r="E65" s="46"/>
      <c r="F65" s="7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>
        <f t="shared" si="0"/>
        <v>0</v>
      </c>
      <c r="AD65" s="48" t="s">
        <v>110</v>
      </c>
      <c r="AE65" s="45"/>
      <c r="AF65" s="46">
        <v>33</v>
      </c>
      <c r="AG65" s="46"/>
      <c r="AH65" s="46"/>
      <c r="AI65" s="47"/>
      <c r="AJ65" s="45"/>
      <c r="AK65" s="47"/>
      <c r="AL65" s="45"/>
      <c r="AM65" s="47"/>
      <c r="AN65" s="45">
        <f t="shared" si="2"/>
        <v>0</v>
      </c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7">
        <f t="shared" si="5"/>
        <v>0</v>
      </c>
    </row>
    <row r="66" spans="1:52" s="6" customFormat="1" ht="12.75">
      <c r="A66" s="45"/>
      <c r="B66" s="46"/>
      <c r="C66" s="46"/>
      <c r="D66" s="46"/>
      <c r="E66" s="46"/>
      <c r="F66" s="46"/>
      <c r="G66" s="46"/>
      <c r="H66" s="46"/>
      <c r="J66" s="46"/>
      <c r="K66" s="46"/>
      <c r="L66" s="46"/>
      <c r="M66" s="46"/>
      <c r="N66" s="46"/>
      <c r="O66" s="46">
        <v>46</v>
      </c>
      <c r="P66" s="46"/>
      <c r="Q66" s="46">
        <v>20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7">
        <f t="shared" si="0"/>
        <v>66</v>
      </c>
      <c r="AD66" s="48" t="s">
        <v>125</v>
      </c>
      <c r="AE66" s="45"/>
      <c r="AF66" s="46">
        <v>33</v>
      </c>
      <c r="AG66" s="46"/>
      <c r="AH66" s="46"/>
      <c r="AI66" s="47"/>
      <c r="AJ66" s="45"/>
      <c r="AK66" s="47"/>
      <c r="AL66" s="45"/>
      <c r="AM66" s="47"/>
      <c r="AN66" s="45">
        <f t="shared" si="2"/>
        <v>21.78</v>
      </c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7">
        <f t="shared" si="5"/>
        <v>21.78</v>
      </c>
    </row>
    <row r="67" spans="1:52" s="6" customFormat="1" ht="12.75">
      <c r="A67" s="45"/>
      <c r="B67" s="46"/>
      <c r="C67" s="46"/>
      <c r="D67" s="46"/>
      <c r="E67" s="46"/>
      <c r="F67" s="46">
        <v>3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>
        <v>29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7">
        <f t="shared" si="0"/>
        <v>32</v>
      </c>
      <c r="AD67" s="48" t="s">
        <v>66</v>
      </c>
      <c r="AE67" s="45"/>
      <c r="AF67" s="46">
        <v>33</v>
      </c>
      <c r="AG67" s="46"/>
      <c r="AH67" s="46"/>
      <c r="AI67" s="47"/>
      <c r="AJ67" s="45"/>
      <c r="AK67" s="47"/>
      <c r="AL67" s="45"/>
      <c r="AM67" s="47"/>
      <c r="AN67" s="45">
        <f t="shared" si="2"/>
        <v>10.56</v>
      </c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>
        <f>AC67*AF67%</f>
        <v>10.56</v>
      </c>
      <c r="AZ67" s="47"/>
    </row>
    <row r="68" spans="1:52" s="6" customFormat="1" ht="12.75">
      <c r="A68" s="52"/>
      <c r="B68" s="53"/>
      <c r="C68" s="53"/>
      <c r="D68" s="53"/>
      <c r="E68" s="53"/>
      <c r="F68" s="53">
        <f>Baseline!F68*Fremskrivningsfaktor!I21</f>
        <v>2.7307904971475923</v>
      </c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46"/>
      <c r="X68" s="53"/>
      <c r="Y68" s="53"/>
      <c r="Z68" s="53"/>
      <c r="AA68" s="53"/>
      <c r="AB68" s="53"/>
      <c r="AC68" s="47">
        <f t="shared" si="0"/>
        <v>2.7307904971475923</v>
      </c>
      <c r="AD68" s="54" t="s">
        <v>107</v>
      </c>
      <c r="AE68" s="52"/>
      <c r="AF68" s="46">
        <v>33</v>
      </c>
      <c r="AG68" s="53"/>
      <c r="AH68" s="53"/>
      <c r="AI68" s="55"/>
      <c r="AJ68" s="45">
        <f>-AK68/$K$2%</f>
        <v>0</v>
      </c>
      <c r="AK68" s="55">
        <v>0</v>
      </c>
      <c r="AL68" s="52"/>
      <c r="AM68" s="55"/>
      <c r="AN68" s="52">
        <f t="shared" si="2"/>
        <v>0.9011608640587054</v>
      </c>
      <c r="AO68" s="53"/>
      <c r="AP68" s="53"/>
      <c r="AQ68" s="56"/>
      <c r="AR68" s="53"/>
      <c r="AS68" s="53"/>
      <c r="AT68" s="53"/>
      <c r="AU68" s="53"/>
      <c r="AV68" s="53"/>
      <c r="AW68" s="53"/>
      <c r="AX68" s="53"/>
      <c r="AY68" s="53"/>
      <c r="AZ68" s="47">
        <f>AC68*AF68/100+AK68*AF68%</f>
        <v>0.9011608640587054</v>
      </c>
    </row>
    <row r="69" spans="1:52" s="6" customFormat="1" ht="12.75">
      <c r="A69" s="52"/>
      <c r="B69" s="53"/>
      <c r="C69" s="53"/>
      <c r="D69" s="53"/>
      <c r="E69" s="53"/>
      <c r="F69" s="53"/>
      <c r="G69" s="53">
        <f>Baseline!G69*Fremskrivningsfaktor!L22</f>
        <v>36.14214472531048</v>
      </c>
      <c r="H69" s="53">
        <f>Baseline!H69</f>
        <v>0.1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46"/>
      <c r="X69" s="53"/>
      <c r="Y69" s="53"/>
      <c r="Z69" s="53"/>
      <c r="AA69" s="53"/>
      <c r="AB69" s="53"/>
      <c r="AC69" s="47">
        <f t="shared" si="0"/>
        <v>36.24214472531048</v>
      </c>
      <c r="AD69" s="54" t="s">
        <v>108</v>
      </c>
      <c r="AE69" s="52"/>
      <c r="AF69" s="46">
        <v>33</v>
      </c>
      <c r="AG69" s="53"/>
      <c r="AH69" s="53"/>
      <c r="AI69" s="55"/>
      <c r="AJ69" s="52"/>
      <c r="AK69" s="55"/>
      <c r="AL69" s="52"/>
      <c r="AM69" s="55"/>
      <c r="AN69" s="52">
        <f t="shared" si="2"/>
        <v>11.95990775935246</v>
      </c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47">
        <f t="shared" si="5"/>
        <v>11.95990775935246</v>
      </c>
    </row>
    <row r="70" spans="1:52" s="6" customFormat="1" ht="13.5" thickBot="1">
      <c r="A70" s="52"/>
      <c r="B70" s="53"/>
      <c r="C70" s="53"/>
      <c r="D70" s="53">
        <f>Baseline!D70*Fremskrivningsfaktor!H24</f>
        <v>0.8924589325634203</v>
      </c>
      <c r="E70" s="53"/>
      <c r="F70" s="53">
        <f>Baseline!F70*Fremskrivningsfaktor!I24</f>
        <v>2.5083877850686345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46"/>
      <c r="X70" s="53"/>
      <c r="Y70" s="53"/>
      <c r="Z70" s="53"/>
      <c r="AA70" s="53"/>
      <c r="AB70" s="53"/>
      <c r="AC70" s="55">
        <f t="shared" si="0"/>
        <v>3.4008467176320547</v>
      </c>
      <c r="AD70" s="57" t="s">
        <v>67</v>
      </c>
      <c r="AE70" s="58"/>
      <c r="AF70" s="46">
        <v>33</v>
      </c>
      <c r="AG70" s="59"/>
      <c r="AH70" s="59"/>
      <c r="AI70" s="60"/>
      <c r="AJ70" s="58"/>
      <c r="AK70" s="60"/>
      <c r="AL70" s="58"/>
      <c r="AM70" s="60"/>
      <c r="AN70" s="58">
        <f t="shared" si="2"/>
        <v>1.122279416818578</v>
      </c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47">
        <f t="shared" si="5"/>
        <v>1.122279416818578</v>
      </c>
    </row>
    <row r="71" spans="1:52" ht="13.5" thickBot="1">
      <c r="A71" s="61">
        <f aca="true" t="shared" si="6" ref="A71:AA71">SUM(A8:A70)</f>
        <v>-345.86403390858004</v>
      </c>
      <c r="B71" s="62">
        <f t="shared" si="6"/>
        <v>2.667361105501586</v>
      </c>
      <c r="C71" s="63">
        <f t="shared" si="6"/>
        <v>0</v>
      </c>
      <c r="D71" s="63">
        <f t="shared" si="6"/>
        <v>0.8924589325634203</v>
      </c>
      <c r="E71" s="63">
        <f t="shared" si="6"/>
        <v>0.130846464</v>
      </c>
      <c r="F71" s="63">
        <f t="shared" si="6"/>
        <v>13.864349454422538</v>
      </c>
      <c r="G71" s="62">
        <f t="shared" si="6"/>
        <v>36.14214472531048</v>
      </c>
      <c r="H71" s="63">
        <f t="shared" si="6"/>
        <v>48.17074911434398</v>
      </c>
      <c r="I71" s="63">
        <f t="shared" si="6"/>
        <v>0</v>
      </c>
      <c r="J71" s="63">
        <f t="shared" si="6"/>
        <v>499.84512623691114</v>
      </c>
      <c r="K71" s="63">
        <f t="shared" si="6"/>
        <v>0</v>
      </c>
      <c r="L71" s="63">
        <f t="shared" si="6"/>
        <v>0</v>
      </c>
      <c r="M71" s="63">
        <f t="shared" si="6"/>
        <v>8.60658240177089</v>
      </c>
      <c r="N71" s="63">
        <f t="shared" si="6"/>
        <v>0</v>
      </c>
      <c r="O71" s="62">
        <f t="shared" si="6"/>
        <v>46</v>
      </c>
      <c r="P71" s="62">
        <f t="shared" si="6"/>
        <v>0</v>
      </c>
      <c r="Q71" s="62">
        <f t="shared" si="6"/>
        <v>49</v>
      </c>
      <c r="R71" s="62">
        <f t="shared" si="6"/>
        <v>0</v>
      </c>
      <c r="S71" s="62">
        <f t="shared" si="6"/>
        <v>74.43602459981159</v>
      </c>
      <c r="T71" s="62">
        <f t="shared" si="6"/>
        <v>53.134140566939166</v>
      </c>
      <c r="U71" s="63">
        <f t="shared" si="6"/>
        <v>5.903793396326574</v>
      </c>
      <c r="V71" s="63">
        <f t="shared" si="6"/>
        <v>12.297188002972712</v>
      </c>
      <c r="W71" s="63">
        <f t="shared" si="6"/>
        <v>18.91394906040981</v>
      </c>
      <c r="X71" s="63">
        <f t="shared" si="6"/>
        <v>0</v>
      </c>
      <c r="Y71" s="63">
        <f t="shared" si="6"/>
        <v>0</v>
      </c>
      <c r="Z71" s="62">
        <f t="shared" si="6"/>
        <v>0</v>
      </c>
      <c r="AA71" s="63">
        <f t="shared" si="6"/>
        <v>59.135559102020935</v>
      </c>
      <c r="AB71" s="63">
        <f>SUM(AB8:AB70)</f>
        <v>0</v>
      </c>
      <c r="AC71" s="64">
        <f>SUM(AC8:AC70)</f>
        <v>583.2762392547247</v>
      </c>
      <c r="AD71" s="65" t="s">
        <v>38</v>
      </c>
      <c r="AE71" s="66"/>
      <c r="AF71" s="66"/>
      <c r="AG71" s="66"/>
      <c r="AH71" s="66"/>
      <c r="AI71" s="66"/>
      <c r="AJ71" s="61">
        <f aca="true" t="shared" si="7" ref="AJ71:AZ71">SUM(AJ8:AJ70)</f>
        <v>0</v>
      </c>
      <c r="AK71" s="63">
        <f t="shared" si="7"/>
        <v>142.74657447480456</v>
      </c>
      <c r="AL71" s="63">
        <f t="shared" si="7"/>
        <v>0</v>
      </c>
      <c r="AM71" s="63">
        <f t="shared" si="7"/>
        <v>43.44012358430236</v>
      </c>
      <c r="AN71" s="63">
        <f t="shared" si="7"/>
        <v>348.7912598134243</v>
      </c>
      <c r="AO71" s="63">
        <f t="shared" si="7"/>
        <v>19.37640223082154</v>
      </c>
      <c r="AP71" s="63">
        <f t="shared" si="7"/>
        <v>178.23344772445793</v>
      </c>
      <c r="AQ71" s="63"/>
      <c r="AR71" s="63">
        <f t="shared" si="7"/>
        <v>30.580771235883862</v>
      </c>
      <c r="AS71" s="63">
        <f t="shared" si="7"/>
        <v>7.847078785730061</v>
      </c>
      <c r="AT71" s="63">
        <f t="shared" si="7"/>
        <v>3.8681307276350076</v>
      </c>
      <c r="AU71" s="63">
        <f t="shared" si="7"/>
        <v>11.558870093273615</v>
      </c>
      <c r="AV71" s="63">
        <f t="shared" si="7"/>
        <v>0.7319359122464231</v>
      </c>
      <c r="AW71" s="62">
        <f t="shared" si="7"/>
        <v>5.649403187170978</v>
      </c>
      <c r="AX71" s="63">
        <f t="shared" si="7"/>
        <v>0.4271956928191012</v>
      </c>
      <c r="AY71" s="63">
        <f t="shared" si="7"/>
        <v>33.776500429441036</v>
      </c>
      <c r="AZ71" s="64">
        <f t="shared" si="7"/>
        <v>56.74152379394474</v>
      </c>
    </row>
    <row r="72" spans="1:52" ht="12.75">
      <c r="A72" s="67">
        <f aca="true" t="shared" si="8" ref="A72:Z72">A71*A77/1000</f>
        <v>-42.74879459110049</v>
      </c>
      <c r="B72" s="39">
        <f t="shared" si="8"/>
        <v>0.17337847185760308</v>
      </c>
      <c r="C72" s="68">
        <f t="shared" si="8"/>
        <v>0</v>
      </c>
      <c r="D72" s="68">
        <f t="shared" si="8"/>
        <v>0.06961179673994679</v>
      </c>
      <c r="E72" s="68">
        <f t="shared" si="8"/>
        <v>0.009669553689600001</v>
      </c>
      <c r="F72" s="68">
        <f t="shared" si="8"/>
        <v>1.0245754246818255</v>
      </c>
      <c r="G72" s="39">
        <f t="shared" si="8"/>
        <v>2.6022344202223544</v>
      </c>
      <c r="H72" s="68">
        <f t="shared" si="8"/>
        <v>3.51646468534711</v>
      </c>
      <c r="I72" s="68">
        <f t="shared" si="8"/>
        <v>0</v>
      </c>
      <c r="J72" s="68">
        <f t="shared" si="8"/>
        <v>0</v>
      </c>
      <c r="K72" s="68">
        <f t="shared" si="8"/>
        <v>0</v>
      </c>
      <c r="L72" s="68">
        <f t="shared" si="8"/>
        <v>0</v>
      </c>
      <c r="M72" s="68">
        <f t="shared" si="8"/>
        <v>0</v>
      </c>
      <c r="N72" s="68">
        <f t="shared" si="8"/>
        <v>0</v>
      </c>
      <c r="O72" s="39">
        <f t="shared" si="8"/>
        <v>0</v>
      </c>
      <c r="P72" s="39">
        <f t="shared" si="8"/>
        <v>0</v>
      </c>
      <c r="Q72" s="39">
        <f t="shared" si="8"/>
        <v>0</v>
      </c>
      <c r="R72" s="39">
        <f t="shared" si="8"/>
        <v>0</v>
      </c>
      <c r="S72" s="39">
        <f t="shared" si="8"/>
        <v>0</v>
      </c>
      <c r="T72" s="39">
        <f t="shared" si="8"/>
        <v>0</v>
      </c>
      <c r="U72" s="68">
        <f t="shared" si="8"/>
        <v>0</v>
      </c>
      <c r="V72" s="68">
        <f t="shared" si="8"/>
        <v>0</v>
      </c>
      <c r="W72" s="68">
        <f t="shared" si="8"/>
        <v>0</v>
      </c>
      <c r="X72" s="68">
        <f t="shared" si="8"/>
        <v>0</v>
      </c>
      <c r="Y72" s="68">
        <f t="shared" si="8"/>
        <v>0</v>
      </c>
      <c r="Z72" s="39">
        <f t="shared" si="8"/>
        <v>0</v>
      </c>
      <c r="AA72" s="68">
        <v>0</v>
      </c>
      <c r="AB72" s="68">
        <f>AB71*AB77/1000</f>
        <v>0</v>
      </c>
      <c r="AC72" s="162">
        <f>SUM(A72:AB72)</f>
        <v>-35.35286023856205</v>
      </c>
      <c r="AD72" s="70" t="s">
        <v>68</v>
      </c>
      <c r="AE72" s="163">
        <f>AC72*1000/J1</f>
        <v>-8.560014585608245</v>
      </c>
      <c r="AF72" s="71" t="s">
        <v>71</v>
      </c>
      <c r="AG72" s="71"/>
      <c r="AH72" s="71"/>
      <c r="AI72" s="72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4"/>
      <c r="AV72" s="74"/>
      <c r="AW72" s="49"/>
      <c r="AX72" s="74"/>
      <c r="AY72" s="74"/>
      <c r="AZ72" s="74"/>
    </row>
    <row r="73" spans="1:52" ht="12.75">
      <c r="A73" s="136"/>
      <c r="B73" s="135"/>
      <c r="C73" s="137"/>
      <c r="D73" s="137"/>
      <c r="E73" s="76"/>
      <c r="F73" s="76"/>
      <c r="G73" s="46"/>
      <c r="H73" s="76"/>
      <c r="I73" s="76"/>
      <c r="J73" s="76"/>
      <c r="K73" s="76"/>
      <c r="L73" s="76"/>
      <c r="M73" s="76"/>
      <c r="N73" s="76"/>
      <c r="O73" s="76">
        <v>45.81769913635692</v>
      </c>
      <c r="P73" s="76">
        <v>5.543509869695483</v>
      </c>
      <c r="Q73" s="76">
        <v>132.3414753522414</v>
      </c>
      <c r="R73" s="76"/>
      <c r="S73" s="76">
        <v>73.37376313376939</v>
      </c>
      <c r="T73" s="76">
        <v>66.32378472135842</v>
      </c>
      <c r="U73" s="76"/>
      <c r="V73" s="76"/>
      <c r="W73" s="76"/>
      <c r="X73" s="76"/>
      <c r="Y73" s="46">
        <v>0</v>
      </c>
      <c r="Z73" s="46"/>
      <c r="AA73" s="76"/>
      <c r="AB73" s="46">
        <f>AB71</f>
        <v>0</v>
      </c>
      <c r="AC73" s="77">
        <f>SUM(A73:AB73)</f>
        <v>323.4002322134216</v>
      </c>
      <c r="AD73" s="78" t="s">
        <v>69</v>
      </c>
      <c r="AE73" s="79">
        <f>SUM(J71:Q71,S71:AB71)/SUM(A71:Q71,S71:AB71)*100</f>
        <v>141.83200132139817</v>
      </c>
      <c r="AF73" s="79" t="s">
        <v>121</v>
      </c>
      <c r="AG73" s="79"/>
      <c r="AH73" s="79"/>
      <c r="AI73" s="80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4"/>
      <c r="AV73" s="74"/>
      <c r="AW73" s="49"/>
      <c r="AX73" s="74"/>
      <c r="AY73" s="74"/>
      <c r="AZ73" s="74"/>
    </row>
    <row r="74" spans="1:52" ht="13.5" thickBot="1">
      <c r="A74" s="81"/>
      <c r="B74" s="59"/>
      <c r="C74" s="82"/>
      <c r="D74" s="82"/>
      <c r="E74" s="82"/>
      <c r="F74" s="82"/>
      <c r="G74" s="59"/>
      <c r="H74" s="82"/>
      <c r="I74" s="82"/>
      <c r="J74" s="82">
        <f>IF(J73&gt;0,J71/J73*100,"")</f>
      </c>
      <c r="K74" s="82">
        <f aca="true" t="shared" si="9" ref="K74:AB74">IF(K73&gt;0,K71/K73*100,"")</f>
      </c>
      <c r="L74" s="82">
        <f t="shared" si="9"/>
      </c>
      <c r="M74" s="82">
        <f t="shared" si="9"/>
      </c>
      <c r="N74" s="82">
        <f t="shared" si="9"/>
      </c>
      <c r="O74" s="59">
        <f t="shared" si="9"/>
        <v>100.39788306064985</v>
      </c>
      <c r="P74" s="59">
        <f t="shared" si="9"/>
        <v>0</v>
      </c>
      <c r="Q74" s="59">
        <f t="shared" si="9"/>
        <v>37.02542976008172</v>
      </c>
      <c r="R74" s="59">
        <f t="shared" si="9"/>
      </c>
      <c r="S74" s="59">
        <f t="shared" si="9"/>
        <v>101.44774020122911</v>
      </c>
      <c r="T74" s="59">
        <f t="shared" si="9"/>
        <v>80.11325166404178</v>
      </c>
      <c r="U74" s="82"/>
      <c r="V74" s="82">
        <f t="shared" si="9"/>
      </c>
      <c r="W74" s="82"/>
      <c r="X74" s="82">
        <f t="shared" si="9"/>
      </c>
      <c r="Y74" s="82">
        <f t="shared" si="9"/>
      </c>
      <c r="Z74" s="59">
        <f>IF(Z73&gt;0,Z71/Z73*100,"")</f>
      </c>
      <c r="AA74" s="82">
        <f>IF(AA73&gt;0,AA71/AA73*100,"")</f>
      </c>
      <c r="AB74" s="82">
        <f t="shared" si="9"/>
      </c>
      <c r="AC74" s="83">
        <f>SUMIF(J73:AB73,"&gt;0",J71:AB71)/SUM(J73:AB73)%</f>
        <v>68.82189404857013</v>
      </c>
      <c r="AD74" s="84" t="s">
        <v>70</v>
      </c>
      <c r="AE74" s="85">
        <f>SUM(J71:Q71,S71:T71,V71,X71:AB71,-R71)/SUM(A71:Q71,S71:T71,V71,X71:AB71,-R71)*100</f>
        <v>143.69100398891393</v>
      </c>
      <c r="AF74" s="85" t="s">
        <v>122</v>
      </c>
      <c r="AG74" s="85"/>
      <c r="AH74" s="85"/>
      <c r="AI74" s="86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4"/>
      <c r="AV74" s="74"/>
      <c r="AW74" s="49"/>
      <c r="AX74" s="74"/>
      <c r="AY74" s="74"/>
      <c r="AZ74" s="74"/>
    </row>
    <row r="75" spans="1:52" ht="13.5" thickBot="1">
      <c r="A75" s="8"/>
      <c r="B75" s="11"/>
      <c r="C75" s="8"/>
      <c r="D75" s="8"/>
      <c r="E75" s="8"/>
      <c r="F75" s="8"/>
      <c r="G75" s="11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  <c r="AA75" s="8"/>
      <c r="AB75" s="8"/>
      <c r="AC75" s="8"/>
      <c r="AD75" s="8"/>
      <c r="AE75" s="8"/>
      <c r="AF75" s="13"/>
      <c r="AG75" s="8"/>
      <c r="AH75" s="8"/>
      <c r="AI75" s="8"/>
      <c r="AJ75" s="33"/>
      <c r="AK75" s="13"/>
      <c r="AL75" s="33"/>
      <c r="AM75" s="33"/>
      <c r="AN75" s="33"/>
      <c r="AO75" s="33"/>
      <c r="AP75" s="33"/>
      <c r="AQ75" s="33"/>
      <c r="AR75" s="33"/>
      <c r="AS75" s="33"/>
      <c r="AT75" s="33"/>
      <c r="AU75" s="8"/>
      <c r="AV75" s="8"/>
      <c r="AW75" s="11"/>
      <c r="AX75" s="8"/>
      <c r="AY75" s="8"/>
      <c r="AZ75" s="8"/>
    </row>
    <row r="76" spans="1:52" ht="81.75" customHeight="1" thickBot="1">
      <c r="A76" s="28" t="str">
        <f>A7</f>
        <v>Elimport</v>
      </c>
      <c r="B76" s="24" t="str">
        <f aca="true" t="shared" si="10" ref="B76:AB76">B7</f>
        <v>LPG og petroleum</v>
      </c>
      <c r="C76" s="25" t="str">
        <f t="shared" si="10"/>
        <v>Kul</v>
      </c>
      <c r="D76" s="25" t="str">
        <f t="shared" si="10"/>
        <v>Fuelolie</v>
      </c>
      <c r="E76" s="25" t="str">
        <f t="shared" si="10"/>
        <v>Brændselsolie</v>
      </c>
      <c r="F76" s="25" t="str">
        <f t="shared" si="10"/>
        <v>Dieselolie</v>
      </c>
      <c r="G76" s="24" t="str">
        <f>G7</f>
        <v>JP1</v>
      </c>
      <c r="H76" s="25" t="str">
        <f t="shared" si="10"/>
        <v>Benzin</v>
      </c>
      <c r="I76" s="25" t="str">
        <f t="shared" si="10"/>
        <v>Naturgas</v>
      </c>
      <c r="J76" s="25" t="str">
        <f t="shared" si="10"/>
        <v>Vindenergi</v>
      </c>
      <c r="K76" s="25" t="str">
        <f t="shared" si="10"/>
        <v>Bølgeenergi</v>
      </c>
      <c r="L76" s="25" t="str">
        <f t="shared" si="10"/>
        <v>Vandkraft</v>
      </c>
      <c r="M76" s="25" t="str">
        <f t="shared" si="10"/>
        <v>Solenergi</v>
      </c>
      <c r="N76" s="25" t="str">
        <f t="shared" si="10"/>
        <v>Geotermi</v>
      </c>
      <c r="O76" s="25" t="str">
        <f t="shared" si="10"/>
        <v>Husdyrsgødning</v>
      </c>
      <c r="P76" s="25" t="str">
        <f>P7</f>
        <v>Afgasset fibre</v>
      </c>
      <c r="Q76" s="25" t="str">
        <f t="shared" si="10"/>
        <v>Bioolieog energiafgrøder</v>
      </c>
      <c r="R76" s="25" t="str">
        <f>R7</f>
        <v>Eksport rapsolie</v>
      </c>
      <c r="S76" s="25" t="str">
        <f t="shared" si="10"/>
        <v>Halm</v>
      </c>
      <c r="T76" s="25" t="str">
        <f t="shared" si="10"/>
        <v>Brænde og træflis</v>
      </c>
      <c r="U76" s="25" t="str">
        <f>U7</f>
        <v>Import, Brænde og træflis</v>
      </c>
      <c r="V76" s="25" t="str">
        <f t="shared" si="10"/>
        <v>Træpiller og træaffald</v>
      </c>
      <c r="W76" s="25" t="str">
        <f>W7</f>
        <v>Import, træpiller og træaffald</v>
      </c>
      <c r="X76" s="25" t="str">
        <f t="shared" si="10"/>
        <v>Organisk affald, industri</v>
      </c>
      <c r="Y76" s="25" t="str">
        <f t="shared" si="10"/>
        <v>Organisk affald, husholdninger</v>
      </c>
      <c r="Z76" s="24" t="str">
        <f t="shared" si="10"/>
        <v>Deponi, slam, renseanlæg</v>
      </c>
      <c r="AA76" s="26" t="str">
        <f>AA7</f>
        <v>Varmekilder til varmepumper</v>
      </c>
      <c r="AB76" s="26" t="str">
        <f t="shared" si="10"/>
        <v>Restaffald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11"/>
      <c r="AX76" s="8"/>
      <c r="AY76" s="8"/>
      <c r="AZ76" s="8"/>
    </row>
    <row r="77" spans="1:52" ht="13.5" thickBot="1">
      <c r="A77" s="2">
        <v>123.6</v>
      </c>
      <c r="B77" s="31">
        <v>65</v>
      </c>
      <c r="C77" s="32">
        <v>95</v>
      </c>
      <c r="D77" s="32">
        <v>78</v>
      </c>
      <c r="E77" s="32">
        <v>73.9</v>
      </c>
      <c r="F77" s="32">
        <v>73.9</v>
      </c>
      <c r="G77" s="31">
        <v>72</v>
      </c>
      <c r="H77" s="32">
        <v>73</v>
      </c>
      <c r="I77" s="32">
        <v>56.8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4">
        <v>0</v>
      </c>
      <c r="AA77" s="35">
        <v>0</v>
      </c>
      <c r="AB77" s="35">
        <v>0</v>
      </c>
      <c r="AC77" s="36" t="s">
        <v>72</v>
      </c>
      <c r="AD77" s="37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11"/>
      <c r="AX77" s="8"/>
      <c r="AY77" s="8"/>
      <c r="AZ77" s="8"/>
    </row>
    <row r="79" ht="12.75">
      <c r="AD79" s="3"/>
    </row>
    <row r="80" ht="12.75">
      <c r="AD80" s="5"/>
    </row>
    <row r="81" spans="1:30" ht="12.75" customHeight="1">
      <c r="A81" s="4"/>
      <c r="AD81" s="3"/>
    </row>
    <row r="83" ht="12.75">
      <c r="AD83" s="3"/>
    </row>
    <row r="84" ht="12.75">
      <c r="AD84" s="3"/>
    </row>
  </sheetData>
  <sheetProtection/>
  <mergeCells count="1">
    <mergeCell ref="J1:K1"/>
  </mergeCells>
  <printOptions headings="1"/>
  <pageMargins left="0.75" right="0.75" top="1" bottom="1" header="0" footer="0"/>
  <pageSetup fitToHeight="1" fitToWidth="1" horizontalDpi="600" verticalDpi="600" orientation="landscape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58"/>
  <sheetViews>
    <sheetView zoomScalePageLayoutView="0" workbookViewId="0" topLeftCell="A64">
      <selection activeCell="O27" sqref="O27"/>
    </sheetView>
  </sheetViews>
  <sheetFormatPr defaultColWidth="9.140625" defaultRowHeight="12.75"/>
  <sheetData>
    <row r="2" ht="12.75">
      <c r="B2" t="s">
        <v>191</v>
      </c>
    </row>
    <row r="30" ht="12.75">
      <c r="B30" t="s">
        <v>192</v>
      </c>
    </row>
    <row r="58" ht="12.75">
      <c r="B58" t="s">
        <v>193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">
      <pane xSplit="3" topLeftCell="J1" activePane="topRight" state="frozen"/>
      <selection pane="topLeft" activeCell="A1" sqref="A1"/>
      <selection pane="topRight" activeCell="AA26" sqref="AA26"/>
    </sheetView>
  </sheetViews>
  <sheetFormatPr defaultColWidth="9.140625" defaultRowHeight="12.75"/>
  <sheetData>
    <row r="1" spans="1:31" ht="12.75">
      <c r="A1" s="87" t="s">
        <v>128</v>
      </c>
      <c r="B1" s="88">
        <v>2025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4.25">
      <c r="A3" s="89" t="s">
        <v>129</v>
      </c>
      <c r="B3" s="90"/>
      <c r="C3" s="90"/>
      <c r="D3" s="91" t="s">
        <v>130</v>
      </c>
      <c r="E3" s="92" t="s">
        <v>131</v>
      </c>
      <c r="F3" s="92" t="s">
        <v>132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</row>
    <row r="4" spans="1:31" ht="14.25">
      <c r="A4" s="95"/>
      <c r="B4" s="96"/>
      <c r="C4" s="96"/>
      <c r="D4" s="97" t="s">
        <v>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7" t="s">
        <v>133</v>
      </c>
      <c r="AA4" s="97" t="s">
        <v>134</v>
      </c>
      <c r="AB4" s="97" t="s">
        <v>135</v>
      </c>
      <c r="AC4" s="97" t="s">
        <v>136</v>
      </c>
      <c r="AD4" s="97" t="s">
        <v>137</v>
      </c>
      <c r="AE4" s="98" t="s">
        <v>138</v>
      </c>
    </row>
    <row r="5" spans="1:31" ht="14.25">
      <c r="A5" s="95"/>
      <c r="B5" s="96"/>
      <c r="C5" s="96"/>
      <c r="D5" s="97" t="s">
        <v>139</v>
      </c>
      <c r="E5" s="97" t="s">
        <v>140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7" t="s">
        <v>13</v>
      </c>
      <c r="Q5" s="97" t="s">
        <v>141</v>
      </c>
      <c r="R5" s="93"/>
      <c r="S5" s="93"/>
      <c r="T5" s="93"/>
      <c r="U5" s="93"/>
      <c r="V5" s="93"/>
      <c r="W5" s="93"/>
      <c r="X5" s="93"/>
      <c r="Y5" s="93"/>
      <c r="Z5" s="99"/>
      <c r="AA5" s="99"/>
      <c r="AB5" s="99"/>
      <c r="AC5" s="99"/>
      <c r="AD5" s="99"/>
      <c r="AE5" s="100"/>
    </row>
    <row r="6" spans="1:31" ht="14.25">
      <c r="A6" s="101" t="s">
        <v>142</v>
      </c>
      <c r="B6" s="101" t="s">
        <v>143</v>
      </c>
      <c r="C6" s="91" t="s">
        <v>144</v>
      </c>
      <c r="D6" s="99"/>
      <c r="E6" s="97" t="s">
        <v>145</v>
      </c>
      <c r="F6" s="102" t="s">
        <v>146</v>
      </c>
      <c r="G6" s="102" t="s">
        <v>147</v>
      </c>
      <c r="H6" s="102" t="s">
        <v>148</v>
      </c>
      <c r="I6" s="102" t="s">
        <v>149</v>
      </c>
      <c r="J6" s="102" t="s">
        <v>150</v>
      </c>
      <c r="K6" s="102" t="s">
        <v>151</v>
      </c>
      <c r="L6" s="102" t="s">
        <v>152</v>
      </c>
      <c r="M6" s="102" t="s">
        <v>153</v>
      </c>
      <c r="N6" s="102" t="s">
        <v>154</v>
      </c>
      <c r="O6" s="102" t="s">
        <v>155</v>
      </c>
      <c r="P6" s="99"/>
      <c r="Q6" s="97" t="s">
        <v>21</v>
      </c>
      <c r="R6" s="102" t="s">
        <v>156</v>
      </c>
      <c r="S6" s="102" t="s">
        <v>20</v>
      </c>
      <c r="T6" s="102" t="s">
        <v>157</v>
      </c>
      <c r="U6" s="102" t="s">
        <v>158</v>
      </c>
      <c r="V6" s="102" t="s">
        <v>17</v>
      </c>
      <c r="W6" s="102" t="s">
        <v>159</v>
      </c>
      <c r="X6" s="102" t="s">
        <v>14</v>
      </c>
      <c r="Y6" s="102" t="s">
        <v>160</v>
      </c>
      <c r="Z6" s="99"/>
      <c r="AA6" s="99"/>
      <c r="AB6" s="99"/>
      <c r="AC6" s="99"/>
      <c r="AD6" s="99"/>
      <c r="AE6" s="100"/>
    </row>
    <row r="7" spans="1:31" ht="12.75">
      <c r="A7" s="103" t="s">
        <v>161</v>
      </c>
      <c r="B7" s="103" t="s">
        <v>162</v>
      </c>
      <c r="C7" s="104"/>
      <c r="D7" s="105">
        <v>0</v>
      </c>
      <c r="E7" s="105">
        <v>1</v>
      </c>
      <c r="F7" s="105"/>
      <c r="G7" s="105"/>
      <c r="H7" s="105">
        <v>1</v>
      </c>
      <c r="I7" s="105">
        <v>1</v>
      </c>
      <c r="J7" s="105"/>
      <c r="K7" s="105">
        <v>1</v>
      </c>
      <c r="L7" s="105">
        <v>1</v>
      </c>
      <c r="M7" s="105"/>
      <c r="N7" s="105">
        <v>1</v>
      </c>
      <c r="O7" s="105">
        <v>1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>
        <v>1</v>
      </c>
      <c r="AA7" s="105"/>
      <c r="AB7" s="105"/>
      <c r="AC7" s="105"/>
      <c r="AD7" s="105"/>
      <c r="AE7" s="105">
        <v>1</v>
      </c>
    </row>
    <row r="8" spans="1:31" ht="12.75">
      <c r="A8" s="106"/>
      <c r="B8" s="103" t="s">
        <v>163</v>
      </c>
      <c r="C8" s="104"/>
      <c r="D8" s="105">
        <v>0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>
        <v>1.4710328613663664</v>
      </c>
      <c r="Q8" s="105"/>
      <c r="R8" s="105"/>
      <c r="S8" s="105"/>
      <c r="T8" s="105"/>
      <c r="U8" s="105"/>
      <c r="V8" s="105"/>
      <c r="W8" s="105"/>
      <c r="X8" s="105"/>
      <c r="Y8" s="105"/>
      <c r="Z8" s="105">
        <v>1.4710328613663664</v>
      </c>
      <c r="AA8" s="105"/>
      <c r="AB8" s="105"/>
      <c r="AC8" s="105"/>
      <c r="AD8" s="105"/>
      <c r="AE8" s="105">
        <v>1.4710328613663664</v>
      </c>
    </row>
    <row r="9" spans="1:31" ht="12.75">
      <c r="A9" s="106"/>
      <c r="B9" s="103" t="s">
        <v>164</v>
      </c>
      <c r="C9" s="104"/>
      <c r="D9" s="105">
        <v>0</v>
      </c>
      <c r="E9" s="105"/>
      <c r="F9" s="105"/>
      <c r="G9" s="105"/>
      <c r="H9" s="105">
        <v>1</v>
      </c>
      <c r="I9" s="105">
        <v>1</v>
      </c>
      <c r="J9" s="105"/>
      <c r="K9" s="105"/>
      <c r="L9" s="105"/>
      <c r="M9" s="105"/>
      <c r="N9" s="105"/>
      <c r="O9" s="105">
        <v>1</v>
      </c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>
        <v>1</v>
      </c>
      <c r="AA9" s="105">
        <v>1</v>
      </c>
      <c r="AB9" s="105">
        <v>1</v>
      </c>
      <c r="AC9" s="105"/>
      <c r="AD9" s="105"/>
      <c r="AE9" s="105">
        <v>1</v>
      </c>
    </row>
    <row r="10" spans="1:31" ht="12.75">
      <c r="A10" s="106"/>
      <c r="B10" s="103" t="s">
        <v>165</v>
      </c>
      <c r="C10" s="104"/>
      <c r="D10" s="105">
        <v>0</v>
      </c>
      <c r="E10" s="105"/>
      <c r="F10" s="105"/>
      <c r="G10" s="105"/>
      <c r="H10" s="105"/>
      <c r="I10" s="105">
        <v>0.8043912175648704</v>
      </c>
      <c r="J10" s="105"/>
      <c r="K10" s="105"/>
      <c r="L10" s="105"/>
      <c r="M10" s="105"/>
      <c r="N10" s="105">
        <v>0.8043912175648703</v>
      </c>
      <c r="O10" s="105"/>
      <c r="P10" s="105">
        <v>0.8043912175648704</v>
      </c>
      <c r="Q10" s="105"/>
      <c r="R10" s="105"/>
      <c r="S10" s="105"/>
      <c r="T10" s="105"/>
      <c r="U10" s="105"/>
      <c r="V10" s="105"/>
      <c r="W10" s="105"/>
      <c r="X10" s="105"/>
      <c r="Y10" s="105"/>
      <c r="Z10" s="105">
        <v>0.8043912175648703</v>
      </c>
      <c r="AA10" s="105">
        <v>0.8043912175648706</v>
      </c>
      <c r="AB10" s="105"/>
      <c r="AC10" s="105"/>
      <c r="AD10" s="105">
        <v>0.8043912175648704</v>
      </c>
      <c r="AE10" s="105">
        <v>0.8043912175648699</v>
      </c>
    </row>
    <row r="11" spans="1:31" ht="12.75">
      <c r="A11" s="103" t="s">
        <v>166</v>
      </c>
      <c r="B11" s="103" t="s">
        <v>167</v>
      </c>
      <c r="C11" s="104"/>
      <c r="D11" s="105">
        <v>0</v>
      </c>
      <c r="E11" s="105"/>
      <c r="F11" s="105"/>
      <c r="G11" s="105"/>
      <c r="H11" s="105">
        <v>1.3863581373883245</v>
      </c>
      <c r="I11" s="105">
        <v>0.9750571076066139</v>
      </c>
      <c r="J11" s="105"/>
      <c r="K11" s="105"/>
      <c r="L11" s="105"/>
      <c r="M11" s="105"/>
      <c r="N11" s="105"/>
      <c r="O11" s="105"/>
      <c r="P11" s="107">
        <v>1.1760183733236347</v>
      </c>
      <c r="Q11" s="107">
        <v>0.9156814584131517</v>
      </c>
      <c r="R11" s="107">
        <v>0.9238102710526067</v>
      </c>
      <c r="S11" s="105"/>
      <c r="T11" s="107">
        <v>0.6874648519177675</v>
      </c>
      <c r="U11" s="105">
        <v>1</v>
      </c>
      <c r="V11" s="107">
        <v>0.7488696836818448</v>
      </c>
      <c r="W11" s="105"/>
      <c r="X11" s="105"/>
      <c r="Y11" s="105"/>
      <c r="Z11" s="105">
        <v>1.0369726531715124</v>
      </c>
      <c r="AA11" s="105">
        <v>1</v>
      </c>
      <c r="AB11" s="105">
        <v>1.0518768069750044</v>
      </c>
      <c r="AC11" s="105"/>
      <c r="AD11" s="105"/>
      <c r="AE11" s="105">
        <v>0.9330013489007619</v>
      </c>
    </row>
    <row r="12" spans="1:31" ht="12.75">
      <c r="A12" s="106"/>
      <c r="B12" s="103" t="s">
        <v>168</v>
      </c>
      <c r="C12" s="104"/>
      <c r="D12" s="105">
        <v>0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>
        <v>0.6105397952765127</v>
      </c>
      <c r="X12" s="105"/>
      <c r="Y12" s="105"/>
      <c r="Z12" s="105">
        <v>0.6105397952765127</v>
      </c>
      <c r="AA12" s="105">
        <v>0.08427854845745293</v>
      </c>
      <c r="AB12" s="105">
        <v>0.17426471406450592</v>
      </c>
      <c r="AC12" s="105"/>
      <c r="AD12" s="105"/>
      <c r="AE12" s="105"/>
    </row>
    <row r="13" spans="1:31" ht="12.75">
      <c r="A13" s="106"/>
      <c r="B13" s="103" t="s">
        <v>169</v>
      </c>
      <c r="C13" s="104"/>
      <c r="D13" s="107">
        <v>1.2711870746238236</v>
      </c>
      <c r="E13" s="105"/>
      <c r="F13" s="105"/>
      <c r="G13" s="105"/>
      <c r="H13" s="107">
        <v>1.7543941352747385</v>
      </c>
      <c r="I13" s="105"/>
      <c r="J13" s="105"/>
      <c r="K13" s="105"/>
      <c r="L13" s="105"/>
      <c r="M13" s="105"/>
      <c r="N13" s="105"/>
      <c r="O13" s="105"/>
      <c r="P13" s="107">
        <v>2.7469200553450706</v>
      </c>
      <c r="Q13" s="107">
        <v>0.09612811294911673</v>
      </c>
      <c r="R13" s="107">
        <v>2.202959369089754</v>
      </c>
      <c r="S13" s="105"/>
      <c r="T13" s="105"/>
      <c r="U13" s="105"/>
      <c r="V13" s="105"/>
      <c r="W13" s="105"/>
      <c r="X13" s="105"/>
      <c r="Y13" s="105"/>
      <c r="Z13" s="105">
        <v>1.3237946318872593</v>
      </c>
      <c r="AA13" s="105">
        <v>1.4484307361593223</v>
      </c>
      <c r="AB13" s="105"/>
      <c r="AC13" s="105"/>
      <c r="AD13" s="105"/>
      <c r="AE13" s="105">
        <v>1.2421932468464847</v>
      </c>
    </row>
    <row r="14" spans="1:31" ht="12.75">
      <c r="A14" s="106"/>
      <c r="B14" s="103" t="s">
        <v>170</v>
      </c>
      <c r="C14" s="104"/>
      <c r="D14" s="105">
        <v>0.7426961351316452</v>
      </c>
      <c r="E14" s="105"/>
      <c r="F14" s="105"/>
      <c r="G14" s="105"/>
      <c r="H14" s="105">
        <v>0.8598891432300727</v>
      </c>
      <c r="I14" s="105">
        <v>1.0489763696583305</v>
      </c>
      <c r="J14" s="105"/>
      <c r="K14" s="105"/>
      <c r="L14" s="105"/>
      <c r="M14" s="105"/>
      <c r="N14" s="105"/>
      <c r="O14" s="105"/>
      <c r="P14" s="107">
        <v>0.6374821141164916</v>
      </c>
      <c r="Q14" s="107">
        <v>1.1163245042331191</v>
      </c>
      <c r="R14" s="107">
        <v>3.3181362774664636</v>
      </c>
      <c r="S14" s="105"/>
      <c r="T14" s="107">
        <v>1.043683836617016</v>
      </c>
      <c r="U14" s="105">
        <v>1.0420325938790855</v>
      </c>
      <c r="V14" s="105"/>
      <c r="W14" s="105"/>
      <c r="X14" s="105"/>
      <c r="Y14" s="105"/>
      <c r="Z14" s="105">
        <v>0.9626445987568628</v>
      </c>
      <c r="AA14" s="105">
        <v>1.0607383122291878</v>
      </c>
      <c r="AB14" s="105">
        <v>0.9394266033200177</v>
      </c>
      <c r="AC14" s="105"/>
      <c r="AD14" s="105"/>
      <c r="AE14" s="105">
        <v>0.6918857036824587</v>
      </c>
    </row>
    <row r="15" spans="1:31" ht="12.75">
      <c r="A15" s="106"/>
      <c r="B15" s="103" t="s">
        <v>171</v>
      </c>
      <c r="C15" s="104" t="s">
        <v>172</v>
      </c>
      <c r="D15" s="105"/>
      <c r="E15" s="105"/>
      <c r="F15" s="105"/>
      <c r="G15" s="105"/>
      <c r="H15" s="105">
        <v>1</v>
      </c>
      <c r="I15" s="105">
        <v>1</v>
      </c>
      <c r="J15" s="105"/>
      <c r="K15" s="105"/>
      <c r="L15" s="105"/>
      <c r="M15" s="105"/>
      <c r="N15" s="105"/>
      <c r="O15" s="105"/>
      <c r="P15" s="105">
        <v>1</v>
      </c>
      <c r="Q15" s="105"/>
      <c r="R15" s="105">
        <v>1</v>
      </c>
      <c r="S15" s="105"/>
      <c r="T15" s="105"/>
      <c r="U15" s="105">
        <v>1</v>
      </c>
      <c r="V15" s="105"/>
      <c r="W15" s="105"/>
      <c r="X15" s="105"/>
      <c r="Y15" s="105"/>
      <c r="Z15" s="105">
        <v>1</v>
      </c>
      <c r="AA15" s="105">
        <v>1</v>
      </c>
      <c r="AB15" s="105">
        <v>1</v>
      </c>
      <c r="AC15" s="105"/>
      <c r="AD15" s="105"/>
      <c r="AE15" s="105">
        <v>1</v>
      </c>
    </row>
    <row r="16" spans="1:31" ht="12.75">
      <c r="A16" s="106"/>
      <c r="B16" s="106"/>
      <c r="C16" s="104" t="s">
        <v>173</v>
      </c>
      <c r="D16" s="105">
        <v>1</v>
      </c>
      <c r="E16" s="105"/>
      <c r="F16" s="105"/>
      <c r="G16" s="105"/>
      <c r="H16" s="105">
        <v>1</v>
      </c>
      <c r="I16" s="105">
        <v>1</v>
      </c>
      <c r="J16" s="105"/>
      <c r="K16" s="105"/>
      <c r="L16" s="105"/>
      <c r="M16" s="105"/>
      <c r="N16" s="105"/>
      <c r="O16" s="105">
        <v>1</v>
      </c>
      <c r="P16" s="105">
        <v>1</v>
      </c>
      <c r="Q16" s="105"/>
      <c r="R16" s="105">
        <v>1</v>
      </c>
      <c r="S16" s="105"/>
      <c r="T16" s="105">
        <v>1</v>
      </c>
      <c r="U16" s="105">
        <v>1.0194858587024591</v>
      </c>
      <c r="V16" s="105"/>
      <c r="W16" s="105"/>
      <c r="X16" s="105"/>
      <c r="Y16" s="105"/>
      <c r="Z16" s="105">
        <v>1.001245213511644</v>
      </c>
      <c r="AA16" s="105">
        <v>1.0011494619664374</v>
      </c>
      <c r="AB16" s="105">
        <v>1</v>
      </c>
      <c r="AC16" s="105"/>
      <c r="AD16" s="105"/>
      <c r="AE16" s="105">
        <v>1.0015855384668106</v>
      </c>
    </row>
    <row r="17" spans="1:31" ht="12.75">
      <c r="A17" s="106"/>
      <c r="B17" s="103" t="s">
        <v>174</v>
      </c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7">
        <v>0.46097881221075787</v>
      </c>
      <c r="Y17" s="105">
        <v>1</v>
      </c>
      <c r="Z17" s="105">
        <v>0.4633696523082031</v>
      </c>
      <c r="AA17" s="105">
        <v>0.4633696523082031</v>
      </c>
      <c r="AB17" s="105"/>
      <c r="AC17" s="105"/>
      <c r="AD17" s="105"/>
      <c r="AE17" s="105"/>
    </row>
    <row r="18" spans="1:31" ht="12.75">
      <c r="A18" s="106"/>
      <c r="B18" s="103" t="s">
        <v>175</v>
      </c>
      <c r="C18" s="10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>
        <v>0.9411190090492326</v>
      </c>
      <c r="Q18" s="105"/>
      <c r="R18" s="105"/>
      <c r="S18" s="105"/>
      <c r="T18" s="105"/>
      <c r="U18" s="105"/>
      <c r="V18" s="105"/>
      <c r="W18" s="105"/>
      <c r="X18" s="105"/>
      <c r="Y18" s="105"/>
      <c r="Z18" s="105">
        <v>0.9411190090492326</v>
      </c>
      <c r="AA18" s="105">
        <v>1.1346700016136826</v>
      </c>
      <c r="AB18" s="105">
        <v>0.9999999999999994</v>
      </c>
      <c r="AC18" s="105"/>
      <c r="AD18" s="105">
        <v>0.8043912175648704</v>
      </c>
      <c r="AE18" s="105">
        <v>1.0340340145081335</v>
      </c>
    </row>
    <row r="19" spans="1:31" ht="12.75">
      <c r="A19" s="103" t="s">
        <v>176</v>
      </c>
      <c r="B19" s="103" t="s">
        <v>177</v>
      </c>
      <c r="C19" s="104"/>
      <c r="D19" s="105"/>
      <c r="E19" s="105"/>
      <c r="F19" s="105"/>
      <c r="G19" s="105"/>
      <c r="H19" s="105">
        <v>1</v>
      </c>
      <c r="I19" s="105"/>
      <c r="J19" s="105">
        <v>1</v>
      </c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>
        <v>1</v>
      </c>
      <c r="AA19" s="105"/>
      <c r="AB19" s="105"/>
      <c r="AC19" s="105"/>
      <c r="AD19" s="105"/>
      <c r="AE19" s="105">
        <v>1</v>
      </c>
    </row>
    <row r="20" spans="1:31" ht="12.75">
      <c r="A20" s="106"/>
      <c r="B20" s="103" t="s">
        <v>41</v>
      </c>
      <c r="C20" s="104" t="s">
        <v>178</v>
      </c>
      <c r="D20" s="105"/>
      <c r="E20" s="105"/>
      <c r="F20" s="105"/>
      <c r="G20" s="105"/>
      <c r="H20" s="105"/>
      <c r="I20" s="107">
        <v>1.1990127228198912</v>
      </c>
      <c r="J20" s="105"/>
      <c r="K20" s="107">
        <v>1.0800090754662035</v>
      </c>
      <c r="L20" s="105"/>
      <c r="M20" s="105"/>
      <c r="N20" s="105"/>
      <c r="O20" s="105"/>
      <c r="P20" s="105"/>
      <c r="Q20" s="105"/>
      <c r="R20" s="105"/>
      <c r="S20" s="107">
        <v>77.8933977457237</v>
      </c>
      <c r="T20" s="105"/>
      <c r="U20" s="105"/>
      <c r="V20" s="105"/>
      <c r="W20" s="105"/>
      <c r="X20" s="105"/>
      <c r="Y20" s="105"/>
      <c r="Z20" s="105">
        <v>1.2009119985685974</v>
      </c>
      <c r="AA20" s="105"/>
      <c r="AB20" s="105"/>
      <c r="AC20" s="105"/>
      <c r="AD20" s="105"/>
      <c r="AE20" s="105">
        <v>1.2009119985685974</v>
      </c>
    </row>
    <row r="21" spans="1:31" ht="12.75">
      <c r="A21" s="106"/>
      <c r="B21" s="106"/>
      <c r="C21" s="104" t="s">
        <v>179</v>
      </c>
      <c r="D21" s="105"/>
      <c r="E21" s="105"/>
      <c r="F21" s="105"/>
      <c r="G21" s="105"/>
      <c r="H21" s="105"/>
      <c r="I21" s="107">
        <v>1.1729446446118572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>
        <v>1.1729446446118572</v>
      </c>
      <c r="AA21" s="105">
        <v>1.0339985218033998</v>
      </c>
      <c r="AB21" s="105"/>
      <c r="AC21" s="105"/>
      <c r="AD21" s="105"/>
      <c r="AE21" s="105">
        <v>1.130276895142987</v>
      </c>
    </row>
    <row r="22" spans="1:31" ht="12.75">
      <c r="A22" s="106"/>
      <c r="B22" s="106"/>
      <c r="C22" s="104" t="s">
        <v>180</v>
      </c>
      <c r="D22" s="105"/>
      <c r="E22" s="105"/>
      <c r="F22" s="105"/>
      <c r="G22" s="105"/>
      <c r="H22" s="105"/>
      <c r="I22" s="105"/>
      <c r="J22" s="105">
        <v>1.2258740120503286</v>
      </c>
      <c r="K22" s="105">
        <v>1.2258740120503284</v>
      </c>
      <c r="L22" s="107">
        <v>1.2258740120503286</v>
      </c>
      <c r="M22" s="105">
        <v>1.2258740120503286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>
        <v>1.2258740120503286</v>
      </c>
      <c r="AA22" s="105"/>
      <c r="AB22" s="105"/>
      <c r="AC22" s="105"/>
      <c r="AD22" s="105"/>
      <c r="AE22" s="105">
        <v>1.2258740120503286</v>
      </c>
    </row>
    <row r="23" spans="1:31" ht="12.75">
      <c r="A23" s="106"/>
      <c r="B23" s="106"/>
      <c r="C23" s="104" t="s">
        <v>181</v>
      </c>
      <c r="D23" s="105"/>
      <c r="E23" s="105"/>
      <c r="F23" s="105"/>
      <c r="G23" s="105"/>
      <c r="H23" s="105"/>
      <c r="I23" s="105"/>
      <c r="J23" s="105"/>
      <c r="K23" s="105"/>
      <c r="L23" s="105">
        <v>1.2258740120503284</v>
      </c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>
        <v>1.2258740120503284</v>
      </c>
      <c r="AA23" s="105"/>
      <c r="AB23" s="105"/>
      <c r="AC23" s="105"/>
      <c r="AD23" s="105"/>
      <c r="AE23" s="105">
        <v>1.2258740120503284</v>
      </c>
    </row>
    <row r="24" spans="1:31" ht="12.75">
      <c r="A24" s="106"/>
      <c r="B24" s="106"/>
      <c r="C24" s="104" t="s">
        <v>182</v>
      </c>
      <c r="D24" s="105"/>
      <c r="E24" s="105"/>
      <c r="F24" s="105"/>
      <c r="G24" s="105"/>
      <c r="H24" s="107">
        <v>0.8924589325634203</v>
      </c>
      <c r="I24" s="107">
        <v>0.8924589325634202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>
        <v>0.8924589325634202</v>
      </c>
      <c r="AA24" s="105"/>
      <c r="AB24" s="105"/>
      <c r="AC24" s="105"/>
      <c r="AD24" s="105"/>
      <c r="AE24" s="105">
        <v>0.8924589325634202</v>
      </c>
    </row>
    <row r="25" spans="1:31" ht="12.75">
      <c r="A25" s="106"/>
      <c r="B25" s="106"/>
      <c r="C25" s="104" t="s">
        <v>183</v>
      </c>
      <c r="D25" s="105"/>
      <c r="E25" s="105"/>
      <c r="F25" s="105"/>
      <c r="G25" s="105"/>
      <c r="H25" s="105"/>
      <c r="I25" s="105">
        <v>1</v>
      </c>
      <c r="J25" s="105"/>
      <c r="K25" s="105">
        <v>1</v>
      </c>
      <c r="L25" s="105">
        <v>1</v>
      </c>
      <c r="M25" s="105">
        <v>1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>
        <v>1</v>
      </c>
      <c r="AA25" s="105"/>
      <c r="AB25" s="105"/>
      <c r="AC25" s="105"/>
      <c r="AD25" s="105"/>
      <c r="AE25" s="105">
        <v>1</v>
      </c>
    </row>
    <row r="26" spans="1:31" ht="12.75">
      <c r="A26" s="106"/>
      <c r="B26" s="103" t="s">
        <v>184</v>
      </c>
      <c r="C26" s="104" t="s">
        <v>185</v>
      </c>
      <c r="D26" s="105">
        <v>1.3584990958408678</v>
      </c>
      <c r="E26" s="105"/>
      <c r="F26" s="105"/>
      <c r="G26" s="105"/>
      <c r="H26" s="105">
        <v>1.1201117318435754</v>
      </c>
      <c r="I26" s="105">
        <v>1.1201447863009886</v>
      </c>
      <c r="J26" s="105">
        <v>1.1428571428571428</v>
      </c>
      <c r="K26" s="105">
        <v>1.1304347826086956</v>
      </c>
      <c r="L26" s="105"/>
      <c r="M26" s="105"/>
      <c r="N26" s="105">
        <v>1.1320754716981132</v>
      </c>
      <c r="O26" s="105"/>
      <c r="P26" s="105">
        <v>1.135</v>
      </c>
      <c r="Q26" s="107">
        <v>1.2188861985472155</v>
      </c>
      <c r="R26" s="107">
        <v>1.2242990654205608</v>
      </c>
      <c r="S26" s="105"/>
      <c r="T26" s="105"/>
      <c r="U26" s="105">
        <v>1.2194444444444446</v>
      </c>
      <c r="V26" s="105"/>
      <c r="W26" s="105">
        <v>1.218918918918919</v>
      </c>
      <c r="X26" s="105"/>
      <c r="Y26" s="105"/>
      <c r="Z26" s="105">
        <v>1.1483436234481843</v>
      </c>
      <c r="AA26" s="107">
        <v>1.3700842696629214</v>
      </c>
      <c r="AB26" s="105">
        <v>1.1892758936755272</v>
      </c>
      <c r="AC26" s="105"/>
      <c r="AD26" s="105"/>
      <c r="AE26" s="105">
        <v>1.1906513137871562</v>
      </c>
    </row>
    <row r="27" spans="1:31" ht="12.75">
      <c r="A27" s="106"/>
      <c r="B27" s="106"/>
      <c r="C27" s="104" t="s">
        <v>47</v>
      </c>
      <c r="D27" s="105">
        <v>1.067955861466186</v>
      </c>
      <c r="E27" s="105"/>
      <c r="F27" s="105"/>
      <c r="G27" s="105">
        <v>0.9488894196321948</v>
      </c>
      <c r="H27" s="105">
        <v>0.9489651928504235</v>
      </c>
      <c r="I27" s="107">
        <v>0.9488869677977092</v>
      </c>
      <c r="J27" s="105">
        <v>0.9444444444444445</v>
      </c>
      <c r="K27" s="105">
        <v>0.948207171314741</v>
      </c>
      <c r="L27" s="105"/>
      <c r="M27" s="105"/>
      <c r="N27" s="105">
        <v>0.9927440633245381</v>
      </c>
      <c r="O27" s="105"/>
      <c r="P27" s="105">
        <v>0.9928540850265091</v>
      </c>
      <c r="Q27" s="105"/>
      <c r="R27" s="105">
        <v>0.8497321680293205</v>
      </c>
      <c r="S27" s="105"/>
      <c r="T27" s="105">
        <v>1</v>
      </c>
      <c r="U27" s="105">
        <v>0.8444444444444444</v>
      </c>
      <c r="V27" s="105"/>
      <c r="W27" s="105">
        <v>0.849956634865568</v>
      </c>
      <c r="X27" s="105"/>
      <c r="Y27" s="105"/>
      <c r="Z27" s="105">
        <v>0.9774127588121387</v>
      </c>
      <c r="AA27" s="107">
        <v>1.0915419813042138</v>
      </c>
      <c r="AB27" s="105">
        <v>0.9592928242460258</v>
      </c>
      <c r="AC27" s="105"/>
      <c r="AD27" s="105">
        <v>1</v>
      </c>
      <c r="AE27" s="105">
        <v>1.0113492630292809</v>
      </c>
    </row>
    <row r="28" spans="1:31" ht="12.75">
      <c r="A28" s="106"/>
      <c r="B28" s="106"/>
      <c r="C28" s="104" t="s">
        <v>186</v>
      </c>
      <c r="D28" s="105"/>
      <c r="E28" s="105"/>
      <c r="F28" s="105"/>
      <c r="G28" s="105"/>
      <c r="H28" s="105"/>
      <c r="I28" s="105">
        <v>1.1071658097686374</v>
      </c>
      <c r="J28" s="105">
        <v>1</v>
      </c>
      <c r="K28" s="105">
        <v>1.1111111111111112</v>
      </c>
      <c r="L28" s="105"/>
      <c r="M28" s="105"/>
      <c r="N28" s="105">
        <v>1.2301587301587302</v>
      </c>
      <c r="O28" s="105"/>
      <c r="P28" s="105">
        <v>1.2305699481865284</v>
      </c>
      <c r="Q28" s="105"/>
      <c r="R28" s="105"/>
      <c r="S28" s="105"/>
      <c r="T28" s="105"/>
      <c r="U28" s="105"/>
      <c r="V28" s="105"/>
      <c r="W28" s="105"/>
      <c r="X28" s="105"/>
      <c r="Y28" s="105"/>
      <c r="Z28" s="105">
        <v>1.1185776487663281</v>
      </c>
      <c r="AA28" s="107">
        <v>1.1591240875912407</v>
      </c>
      <c r="AB28" s="105"/>
      <c r="AC28" s="105"/>
      <c r="AD28" s="105"/>
      <c r="AE28" s="105">
        <v>1.1253026634382566</v>
      </c>
    </row>
    <row r="29" spans="1:31" ht="12.75">
      <c r="A29" s="106"/>
      <c r="B29" s="103" t="s">
        <v>187</v>
      </c>
      <c r="C29" s="104" t="s">
        <v>188</v>
      </c>
      <c r="D29" s="105"/>
      <c r="E29" s="105"/>
      <c r="F29" s="105"/>
      <c r="G29" s="105">
        <v>0.6</v>
      </c>
      <c r="H29" s="105">
        <v>0.609375</v>
      </c>
      <c r="I29" s="105">
        <v>0.6078191814294441</v>
      </c>
      <c r="J29" s="105">
        <v>0.59375</v>
      </c>
      <c r="K29" s="105"/>
      <c r="L29" s="105"/>
      <c r="M29" s="105"/>
      <c r="N29" s="105">
        <v>0.7111111111111111</v>
      </c>
      <c r="O29" s="105"/>
      <c r="P29" s="105">
        <v>0.7146233382570163</v>
      </c>
      <c r="Q29" s="105"/>
      <c r="R29" s="105">
        <v>1</v>
      </c>
      <c r="S29" s="105"/>
      <c r="T29" s="105"/>
      <c r="U29" s="105"/>
      <c r="V29" s="105">
        <v>1</v>
      </c>
      <c r="W29" s="105"/>
      <c r="X29" s="105"/>
      <c r="Y29" s="105"/>
      <c r="Z29" s="105">
        <v>0.7339015151515152</v>
      </c>
      <c r="AA29" s="107">
        <v>1.100204498977505</v>
      </c>
      <c r="AB29" s="105">
        <v>0.7642607132721597</v>
      </c>
      <c r="AC29" s="105"/>
      <c r="AD29" s="105">
        <v>0.7083333333333334</v>
      </c>
      <c r="AE29" s="105">
        <v>0.8759057280146442</v>
      </c>
    </row>
    <row r="30" spans="1:31" ht="12.75">
      <c r="A30" s="106"/>
      <c r="B30" s="106"/>
      <c r="C30" s="104" t="s">
        <v>189</v>
      </c>
      <c r="D30" s="105"/>
      <c r="E30" s="105"/>
      <c r="F30" s="105"/>
      <c r="G30" s="105">
        <v>1</v>
      </c>
      <c r="H30" s="105">
        <v>0.8560606060606062</v>
      </c>
      <c r="I30" s="105">
        <v>0.8572381587725149</v>
      </c>
      <c r="J30" s="105">
        <v>0.8333333333333334</v>
      </c>
      <c r="K30" s="105"/>
      <c r="L30" s="105"/>
      <c r="M30" s="105"/>
      <c r="N30" s="105">
        <v>0.9826589595375724</v>
      </c>
      <c r="O30" s="105"/>
      <c r="P30" s="105">
        <v>0.9842020151760169</v>
      </c>
      <c r="Q30" s="105"/>
      <c r="R30" s="105"/>
      <c r="S30" s="105"/>
      <c r="T30" s="105">
        <v>1</v>
      </c>
      <c r="U30" s="105">
        <v>1</v>
      </c>
      <c r="V30" s="105"/>
      <c r="W30" s="105"/>
      <c r="X30" s="105"/>
      <c r="Y30" s="105"/>
      <c r="Z30" s="105">
        <v>0.9695036048727935</v>
      </c>
      <c r="AA30" s="107">
        <v>1.2430884269740001</v>
      </c>
      <c r="AB30" s="105">
        <v>0.9985205732778548</v>
      </c>
      <c r="AC30" s="105"/>
      <c r="AD30" s="105">
        <v>1</v>
      </c>
      <c r="AE30" s="105">
        <v>1.1063691025355518</v>
      </c>
    </row>
    <row r="31" spans="1:31" ht="12.75">
      <c r="A31" s="106"/>
      <c r="B31" s="103" t="s">
        <v>190</v>
      </c>
      <c r="C31" s="104"/>
      <c r="D31" s="105">
        <v>0.8</v>
      </c>
      <c r="E31" s="105"/>
      <c r="F31" s="105"/>
      <c r="G31" s="105">
        <v>0.4664586583463338</v>
      </c>
      <c r="H31" s="105">
        <v>0.46700507614213194</v>
      </c>
      <c r="I31" s="107">
        <v>0.46617667712185756</v>
      </c>
      <c r="J31" s="105">
        <v>0.46969696969696967</v>
      </c>
      <c r="K31" s="105">
        <v>0.466152527849186</v>
      </c>
      <c r="L31" s="105"/>
      <c r="M31" s="105"/>
      <c r="N31" s="105">
        <v>0.7939142461964038</v>
      </c>
      <c r="O31" s="105"/>
      <c r="P31" s="107">
        <v>0.7944889779559118</v>
      </c>
      <c r="Q31" s="107">
        <v>1.253525641025641</v>
      </c>
      <c r="R31" s="107">
        <v>1.2534593198145592</v>
      </c>
      <c r="S31" s="105"/>
      <c r="T31" s="105"/>
      <c r="U31" s="105"/>
      <c r="V31" s="107">
        <v>1.2517241379310344</v>
      </c>
      <c r="W31" s="105">
        <v>1.2536299042323138</v>
      </c>
      <c r="X31" s="105"/>
      <c r="Y31" s="105"/>
      <c r="Z31" s="105">
        <v>0.8877399797911755</v>
      </c>
      <c r="AA31" s="107">
        <v>1.0678622113275704</v>
      </c>
      <c r="AB31" s="105">
        <v>0.9292524707214072</v>
      </c>
      <c r="AC31" s="105"/>
      <c r="AD31" s="105">
        <v>0.795045045045045</v>
      </c>
      <c r="AE31" s="105">
        <v>0.9374416764717816</v>
      </c>
    </row>
    <row r="32" spans="1:31" ht="12.75">
      <c r="A32" s="108" t="s">
        <v>138</v>
      </c>
      <c r="B32" s="109"/>
      <c r="C32" s="109"/>
      <c r="D32" s="105">
        <v>1.099878007410471</v>
      </c>
      <c r="E32" s="105">
        <v>1</v>
      </c>
      <c r="F32" s="105"/>
      <c r="G32" s="105">
        <v>0.9144503546099289</v>
      </c>
      <c r="H32" s="105">
        <v>0.8992274831817244</v>
      </c>
      <c r="I32" s="105">
        <v>1.9004480349079764</v>
      </c>
      <c r="J32" s="105">
        <v>0.9087111194133887</v>
      </c>
      <c r="K32" s="105">
        <v>1.8743163636484257</v>
      </c>
      <c r="L32" s="105">
        <v>1.669662592861626</v>
      </c>
      <c r="M32" s="105">
        <v>1.2179345669686605</v>
      </c>
      <c r="N32" s="105">
        <v>1.0205644725547953</v>
      </c>
      <c r="O32" s="105">
        <v>1</v>
      </c>
      <c r="P32" s="105">
        <v>1.0408085632534934</v>
      </c>
      <c r="Q32" s="105">
        <v>0.9059172707920419</v>
      </c>
      <c r="R32" s="105">
        <v>1.5350255432636113</v>
      </c>
      <c r="S32" s="105">
        <v>77.8933977457237</v>
      </c>
      <c r="T32" s="105">
        <v>1.0010909104851513</v>
      </c>
      <c r="U32" s="105">
        <v>1.0393920064886746</v>
      </c>
      <c r="V32" s="105">
        <v>1.1231074453595924</v>
      </c>
      <c r="W32" s="105">
        <v>1.0762324887644443</v>
      </c>
      <c r="X32" s="105">
        <v>0.46097881221075787</v>
      </c>
      <c r="Y32" s="105">
        <v>1</v>
      </c>
      <c r="Z32" s="105">
        <v>1.0873470672827128</v>
      </c>
      <c r="AA32" s="105">
        <v>1.0812406080064978</v>
      </c>
      <c r="AB32" s="105">
        <v>1.674012803821175</v>
      </c>
      <c r="AC32" s="105"/>
      <c r="AD32" s="105"/>
      <c r="AE32" s="105">
        <v>1.0874987619186638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PlanEnergi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Holm Tambjerg</dc:creator>
  <cp:keywords/>
  <dc:description/>
  <cp:lastModifiedBy>auss</cp:lastModifiedBy>
  <cp:lastPrinted>2008-09-19T10:54:18Z</cp:lastPrinted>
  <dcterms:created xsi:type="dcterms:W3CDTF">2007-01-15T14:25:48Z</dcterms:created>
  <dcterms:modified xsi:type="dcterms:W3CDTF">2010-04-20T08:32:45Z</dcterms:modified>
  <cp:category/>
  <cp:version/>
  <cp:contentType/>
  <cp:contentStatus/>
</cp:coreProperties>
</file>