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60" windowWidth="15570" windowHeight="8970" tabRatio="1000" activeTab="1"/>
  </bookViews>
  <sheets>
    <sheet name="grafer" sheetId="17" r:id="rId1"/>
    <sheet name="Total " sheetId="14" r:id="rId2"/>
    <sheet name="Ejendomme samlet beregning" sheetId="11" r:id="rId3"/>
    <sheet name="CO2 fjernvarme" sheetId="12" r:id="rId4"/>
    <sheet name="Elforbrug ejendomme" sheetId="10" r:id="rId5"/>
    <sheet name="Varmeforbrug ejendomme" sheetId="6" r:id="rId6"/>
    <sheet name="graddage" sheetId="15" r:id="rId7"/>
    <sheet name="El til gadebelysning" sheetId="13" r:id="rId8"/>
    <sheet name="egne og leasede køretøjer" sheetId="16" r:id="rId9"/>
    <sheet name="Vand KMD" sheetId="18" r:id="rId10"/>
    <sheet name="Gadebelysning fra vand" sheetId="7" state="hidden" r:id="rId11"/>
    <sheet name="Plejehjem" sheetId="19" r:id="rId12"/>
    <sheet name="Børnehaver" sheetId="20" r:id="rId13"/>
    <sheet name="Skoler" sheetId="21" r:id="rId14"/>
  </sheets>
  <externalReferences>
    <externalReference r:id="rId15"/>
  </externalReferences>
  <definedNames>
    <definedName name="_xlnm._FilterDatabase" localSheetId="5" hidden="1">'Varmeforbrug ejendomme'!$A$1:$O$263</definedName>
    <definedName name="_xlnm.Print_Titles" localSheetId="4">'Elforbrug ejendomme'!$1:$2</definedName>
  </definedNames>
  <calcPr calcId="125725"/>
</workbook>
</file>

<file path=xl/calcChain.xml><?xml version="1.0" encoding="utf-8"?>
<calcChain xmlns="http://schemas.openxmlformats.org/spreadsheetml/2006/main">
  <c r="F30" i="16"/>
  <c r="E14" i="14" s="1"/>
  <c r="E17" i="17" s="1"/>
  <c r="E30" i="16"/>
  <c r="D14" i="14" s="1"/>
  <c r="D17" i="17" s="1"/>
  <c r="D30" i="16"/>
  <c r="C14" i="14" s="1"/>
  <c r="C30" i="16"/>
  <c r="B14" i="14" s="1"/>
  <c r="M13" i="16"/>
  <c r="E28"/>
  <c r="I13" i="14" s="1"/>
  <c r="D6" i="17" s="1"/>
  <c r="C28" i="16"/>
  <c r="G13" i="14" s="1"/>
  <c r="F27" i="16"/>
  <c r="E13" i="14" s="1"/>
  <c r="D28" i="16"/>
  <c r="H13" i="14"/>
  <c r="F26" i="16"/>
  <c r="F28" s="1"/>
  <c r="J13" i="14" s="1"/>
  <c r="E6" i="17" s="1"/>
  <c r="C21" i="16"/>
  <c r="G12" i="14" s="1"/>
  <c r="F19" i="16"/>
  <c r="E19"/>
  <c r="H12"/>
  <c r="F11"/>
  <c r="E11"/>
  <c r="D11"/>
  <c r="C11"/>
  <c r="F10"/>
  <c r="F12" s="1"/>
  <c r="E10"/>
  <c r="E12" s="1"/>
  <c r="E20" s="1"/>
  <c r="D10"/>
  <c r="D12" s="1"/>
  <c r="D20" s="1"/>
  <c r="C10"/>
  <c r="C12" s="1"/>
  <c r="D13" i="14"/>
  <c r="D16" i="17" s="1"/>
  <c r="C13" i="14"/>
  <c r="B13"/>
  <c r="B12"/>
  <c r="E16" i="17"/>
  <c r="K179" i="6"/>
  <c r="J179"/>
  <c r="I179"/>
  <c r="H179"/>
  <c r="Q262"/>
  <c r="P262"/>
  <c r="O262"/>
  <c r="N262"/>
  <c r="Q261"/>
  <c r="P261"/>
  <c r="O261"/>
  <c r="N261"/>
  <c r="O260"/>
  <c r="N260"/>
  <c r="Q259"/>
  <c r="P259"/>
  <c r="O259"/>
  <c r="N259"/>
  <c r="Q258"/>
  <c r="P258"/>
  <c r="O258"/>
  <c r="N258"/>
  <c r="Q257"/>
  <c r="P257"/>
  <c r="O257"/>
  <c r="N257"/>
  <c r="Q256"/>
  <c r="P256"/>
  <c r="O256"/>
  <c r="N256"/>
  <c r="Q255"/>
  <c r="P255"/>
  <c r="O255"/>
  <c r="N255"/>
  <c r="Q254"/>
  <c r="P254"/>
  <c r="O254"/>
  <c r="N254"/>
  <c r="Q253"/>
  <c r="P253"/>
  <c r="O253"/>
  <c r="N253"/>
  <c r="Q252"/>
  <c r="P252"/>
  <c r="O252"/>
  <c r="N252"/>
  <c r="Q251"/>
  <c r="P251"/>
  <c r="O251"/>
  <c r="N251"/>
  <c r="Q250"/>
  <c r="O250"/>
  <c r="N250"/>
  <c r="Q249"/>
  <c r="P249"/>
  <c r="O249"/>
  <c r="N249"/>
  <c r="Q248"/>
  <c r="P248"/>
  <c r="O248"/>
  <c r="N248"/>
  <c r="Q247"/>
  <c r="P247"/>
  <c r="O247"/>
  <c r="N247"/>
  <c r="Q246"/>
  <c r="P246"/>
  <c r="O246"/>
  <c r="N246"/>
  <c r="Q131"/>
  <c r="P131"/>
  <c r="O131"/>
  <c r="N131"/>
  <c r="Q148"/>
  <c r="P148"/>
  <c r="O148"/>
  <c r="N148"/>
  <c r="Q240"/>
  <c r="P240"/>
  <c r="O240"/>
  <c r="Q239"/>
  <c r="P239"/>
  <c r="O239"/>
  <c r="Q238"/>
  <c r="P238"/>
  <c r="O238"/>
  <c r="Q237"/>
  <c r="P237"/>
  <c r="O237"/>
  <c r="Q236"/>
  <c r="P236"/>
  <c r="O236"/>
  <c r="Q235"/>
  <c r="P235"/>
  <c r="O235"/>
  <c r="Q234"/>
  <c r="P234"/>
  <c r="O234"/>
  <c r="Q233"/>
  <c r="P233"/>
  <c r="O233"/>
  <c r="Q232"/>
  <c r="P232"/>
  <c r="O232"/>
  <c r="Q231"/>
  <c r="P231"/>
  <c r="O231"/>
  <c r="Q230"/>
  <c r="P230"/>
  <c r="O230"/>
  <c r="Q229"/>
  <c r="P229"/>
  <c r="O229"/>
  <c r="Q228"/>
  <c r="P228"/>
  <c r="O228"/>
  <c r="Q227"/>
  <c r="P227"/>
  <c r="O227"/>
  <c r="Q226"/>
  <c r="P226"/>
  <c r="O226"/>
  <c r="Q225"/>
  <c r="P225"/>
  <c r="O225"/>
  <c r="Q224"/>
  <c r="P224"/>
  <c r="O224"/>
  <c r="Q223"/>
  <c r="P223"/>
  <c r="O223"/>
  <c r="O222"/>
  <c r="O221"/>
  <c r="Q220"/>
  <c r="P220"/>
  <c r="O220"/>
  <c r="Q219"/>
  <c r="P219"/>
  <c r="O219"/>
  <c r="Q218"/>
  <c r="P218"/>
  <c r="O218"/>
  <c r="Q217"/>
  <c r="P217"/>
  <c r="O217"/>
  <c r="Q216"/>
  <c r="P216"/>
  <c r="O216"/>
  <c r="Q215"/>
  <c r="P215"/>
  <c r="O215"/>
  <c r="Q214"/>
  <c r="P214"/>
  <c r="O214"/>
  <c r="O213"/>
  <c r="Q212"/>
  <c r="P212"/>
  <c r="O212"/>
  <c r="Q211"/>
  <c r="P211"/>
  <c r="O211"/>
  <c r="Q210"/>
  <c r="P210"/>
  <c r="O210"/>
  <c r="Q209"/>
  <c r="P209"/>
  <c r="O209"/>
  <c r="Q208"/>
  <c r="P208"/>
  <c r="O208"/>
  <c r="Q207"/>
  <c r="P207"/>
  <c r="O207"/>
  <c r="Q206"/>
  <c r="P206"/>
  <c r="O206"/>
  <c r="Q205"/>
  <c r="P205"/>
  <c r="O205"/>
  <c r="Q204"/>
  <c r="P204"/>
  <c r="O204"/>
  <c r="Q203"/>
  <c r="P203"/>
  <c r="O203"/>
  <c r="Q202"/>
  <c r="P202"/>
  <c r="O202"/>
  <c r="Q201"/>
  <c r="P201"/>
  <c r="O201"/>
  <c r="Q200"/>
  <c r="P200"/>
  <c r="O200"/>
  <c r="Q199"/>
  <c r="P199"/>
  <c r="O199"/>
  <c r="Q198"/>
  <c r="P198"/>
  <c r="O198"/>
  <c r="Q197"/>
  <c r="P197"/>
  <c r="O197"/>
  <c r="Q196"/>
  <c r="P196"/>
  <c r="O196"/>
  <c r="Q195"/>
  <c r="P195"/>
  <c r="O195"/>
  <c r="Q194"/>
  <c r="P194"/>
  <c r="O194"/>
  <c r="Q193"/>
  <c r="P193"/>
  <c r="O193"/>
  <c r="Q192"/>
  <c r="P192"/>
  <c r="O192"/>
  <c r="Q191"/>
  <c r="P191"/>
  <c r="O191"/>
  <c r="Q190"/>
  <c r="P190"/>
  <c r="O190"/>
  <c r="Q189"/>
  <c r="O189"/>
  <c r="Q188"/>
  <c r="P188"/>
  <c r="O188"/>
  <c r="Q187"/>
  <c r="P187"/>
  <c r="O187"/>
  <c r="Q186"/>
  <c r="P186"/>
  <c r="O186"/>
  <c r="Q185"/>
  <c r="P185"/>
  <c r="O185"/>
  <c r="Q184"/>
  <c r="P184"/>
  <c r="O184"/>
  <c r="Q183"/>
  <c r="P183"/>
  <c r="O183"/>
  <c r="Q182"/>
  <c r="P182"/>
  <c r="O182"/>
  <c r="Q181"/>
  <c r="P181"/>
  <c r="O181"/>
  <c r="Q180"/>
  <c r="P180"/>
  <c r="O180"/>
  <c r="O179"/>
  <c r="O178"/>
  <c r="Q177"/>
  <c r="P177"/>
  <c r="O177"/>
  <c r="O176"/>
  <c r="Q175"/>
  <c r="P175"/>
  <c r="O175"/>
  <c r="Q174"/>
  <c r="P174"/>
  <c r="O174"/>
  <c r="O173"/>
  <c r="O172"/>
  <c r="Q171"/>
  <c r="P171"/>
  <c r="O171"/>
  <c r="P170"/>
  <c r="O170"/>
  <c r="Q169"/>
  <c r="P169"/>
  <c r="O169"/>
  <c r="Q168"/>
  <c r="P168"/>
  <c r="O168"/>
  <c r="Q167"/>
  <c r="P167"/>
  <c r="O167"/>
  <c r="Q166"/>
  <c r="P166"/>
  <c r="O166"/>
  <c r="Q165"/>
  <c r="P165"/>
  <c r="O165"/>
  <c r="Q164"/>
  <c r="P164"/>
  <c r="O164"/>
  <c r="Q163"/>
  <c r="P163"/>
  <c r="O163"/>
  <c r="Q162"/>
  <c r="P162"/>
  <c r="O162"/>
  <c r="Q161"/>
  <c r="P161"/>
  <c r="O161"/>
  <c r="O160"/>
  <c r="Q159"/>
  <c r="P159"/>
  <c r="O159"/>
  <c r="O158"/>
  <c r="Q157"/>
  <c r="P157"/>
  <c r="O157"/>
  <c r="Q156"/>
  <c r="P156"/>
  <c r="O156"/>
  <c r="Q155"/>
  <c r="P155"/>
  <c r="O155"/>
  <c r="Q154"/>
  <c r="P154"/>
  <c r="O154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Q117"/>
  <c r="P117"/>
  <c r="O117"/>
  <c r="Q116"/>
  <c r="P116"/>
  <c r="O116"/>
  <c r="Q115"/>
  <c r="P115"/>
  <c r="O115"/>
  <c r="Q114"/>
  <c r="P114"/>
  <c r="O114"/>
  <c r="Q113"/>
  <c r="P113"/>
  <c r="O113"/>
  <c r="Q112"/>
  <c r="P112"/>
  <c r="O112"/>
  <c r="Q111"/>
  <c r="P111"/>
  <c r="O111"/>
  <c r="Q110"/>
  <c r="P110"/>
  <c r="O110"/>
  <c r="Q109"/>
  <c r="P109"/>
  <c r="O109"/>
  <c r="Q108"/>
  <c r="P108"/>
  <c r="O108"/>
  <c r="Q107"/>
  <c r="P107"/>
  <c r="O107"/>
  <c r="Q106"/>
  <c r="P106"/>
  <c r="O106"/>
  <c r="Q105"/>
  <c r="P105"/>
  <c r="O105"/>
  <c r="Q104"/>
  <c r="P104"/>
  <c r="O104"/>
  <c r="Q103"/>
  <c r="P103"/>
  <c r="O103"/>
  <c r="Q102"/>
  <c r="P102"/>
  <c r="O102"/>
  <c r="Q101"/>
  <c r="P101"/>
  <c r="O101"/>
  <c r="Q100"/>
  <c r="P100"/>
  <c r="O100"/>
  <c r="Q99"/>
  <c r="P99"/>
  <c r="O99"/>
  <c r="Q98"/>
  <c r="P98"/>
  <c r="O98"/>
  <c r="Q97"/>
  <c r="P97"/>
  <c r="O97"/>
  <c r="Q96"/>
  <c r="P96"/>
  <c r="O96"/>
  <c r="Q95"/>
  <c r="P95"/>
  <c r="O95"/>
  <c r="Q94"/>
  <c r="P94"/>
  <c r="O94"/>
  <c r="Q93"/>
  <c r="P93"/>
  <c r="O93"/>
  <c r="Q92"/>
  <c r="P92"/>
  <c r="O92"/>
  <c r="Q91"/>
  <c r="P91"/>
  <c r="O91"/>
  <c r="Q90"/>
  <c r="P90"/>
  <c r="O90"/>
  <c r="Q89"/>
  <c r="P89"/>
  <c r="O89"/>
  <c r="Q88"/>
  <c r="P88"/>
  <c r="O88"/>
  <c r="Q87"/>
  <c r="P87"/>
  <c r="O87"/>
  <c r="Q86"/>
  <c r="P86"/>
  <c r="O86"/>
  <c r="Q85"/>
  <c r="P85"/>
  <c r="O85"/>
  <c r="Q84"/>
  <c r="P84"/>
  <c r="O84"/>
  <c r="Q83"/>
  <c r="P83"/>
  <c r="O83"/>
  <c r="Q82"/>
  <c r="P82"/>
  <c r="O82"/>
  <c r="Q81"/>
  <c r="P81"/>
  <c r="O81"/>
  <c r="Q80"/>
  <c r="P80"/>
  <c r="O80"/>
  <c r="Q79"/>
  <c r="P79"/>
  <c r="O79"/>
  <c r="Q78"/>
  <c r="P78"/>
  <c r="O78"/>
  <c r="Q77"/>
  <c r="P77"/>
  <c r="O77"/>
  <c r="Q76"/>
  <c r="P76"/>
  <c r="O76"/>
  <c r="Q75"/>
  <c r="P75"/>
  <c r="O75"/>
  <c r="Q74"/>
  <c r="P74"/>
  <c r="O74"/>
  <c r="Q73"/>
  <c r="P73"/>
  <c r="O73"/>
  <c r="Q72"/>
  <c r="P72"/>
  <c r="O72"/>
  <c r="Q71"/>
  <c r="P71"/>
  <c r="O71"/>
  <c r="Q70"/>
  <c r="P70"/>
  <c r="O70"/>
  <c r="Q69"/>
  <c r="P69"/>
  <c r="O69"/>
  <c r="Q68"/>
  <c r="P68"/>
  <c r="O68"/>
  <c r="Q67"/>
  <c r="P67"/>
  <c r="O67"/>
  <c r="Q66"/>
  <c r="P66"/>
  <c r="O66"/>
  <c r="Q65"/>
  <c r="P65"/>
  <c r="O65"/>
  <c r="Q64"/>
  <c r="P64"/>
  <c r="O64"/>
  <c r="Q63"/>
  <c r="P63"/>
  <c r="O63"/>
  <c r="Q62"/>
  <c r="P62"/>
  <c r="O62"/>
  <c r="Q61"/>
  <c r="P61"/>
  <c r="O61"/>
  <c r="Q60"/>
  <c r="P60"/>
  <c r="O60"/>
  <c r="Q59"/>
  <c r="P59"/>
  <c r="O59"/>
  <c r="Q58"/>
  <c r="P58"/>
  <c r="O58"/>
  <c r="Q57"/>
  <c r="P57"/>
  <c r="O57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Q53"/>
  <c r="P53"/>
  <c r="O53"/>
  <c r="N53"/>
  <c r="Q38"/>
  <c r="P33"/>
  <c r="O33"/>
  <c r="N33"/>
  <c r="P32"/>
  <c r="O32"/>
  <c r="N32"/>
  <c r="P31"/>
  <c r="O31"/>
  <c r="N31"/>
  <c r="P30"/>
  <c r="P38" s="1"/>
  <c r="O30"/>
  <c r="N30"/>
  <c r="P29"/>
  <c r="O29"/>
  <c r="O38" s="1"/>
  <c r="N29"/>
  <c r="P28"/>
  <c r="O28"/>
  <c r="N28"/>
  <c r="N38" s="1"/>
  <c r="K263"/>
  <c r="E5" i="11" s="1"/>
  <c r="J263" i="6"/>
  <c r="D5" i="11" s="1"/>
  <c r="P263" i="6"/>
  <c r="J5" i="11" s="1"/>
  <c r="D22" s="1"/>
  <c r="Q263" i="6"/>
  <c r="K5" i="11" s="1"/>
  <c r="E22" s="1"/>
  <c r="N263" i="6"/>
  <c r="H5" i="11"/>
  <c r="B22" s="1"/>
  <c r="O263" i="6"/>
  <c r="I5" i="11" s="1"/>
  <c r="C22"/>
  <c r="N241" i="6"/>
  <c r="P118"/>
  <c r="D6" i="12"/>
  <c r="N6" s="1"/>
  <c r="Q118" i="6"/>
  <c r="O118"/>
  <c r="C6" i="12" s="1"/>
  <c r="M6" s="1"/>
  <c r="I241" i="6"/>
  <c r="C3" i="11" s="1"/>
  <c r="H241" i="6"/>
  <c r="B3" i="11" s="1"/>
  <c r="K148" i="6"/>
  <c r="E5" i="12" s="1"/>
  <c r="O5" s="1"/>
  <c r="J148" i="6"/>
  <c r="D5" i="12" s="1"/>
  <c r="N5" s="1"/>
  <c r="I148" i="6"/>
  <c r="C5" i="12" s="1"/>
  <c r="M5" s="1"/>
  <c r="H148" i="6"/>
  <c r="B5" i="12"/>
  <c r="L5" s="1"/>
  <c r="K131" i="6"/>
  <c r="E7" i="12" s="1"/>
  <c r="O7" s="1"/>
  <c r="J131" i="6"/>
  <c r="D7" i="12"/>
  <c r="N7" s="1"/>
  <c r="I131" i="6"/>
  <c r="C7" i="12" s="1"/>
  <c r="M7" s="1"/>
  <c r="H131" i="6"/>
  <c r="B7" i="12"/>
  <c r="L7" s="1"/>
  <c r="K118" i="6"/>
  <c r="J118"/>
  <c r="I118"/>
  <c r="H118"/>
  <c r="K53"/>
  <c r="E4" i="12" s="1"/>
  <c r="O4" s="1"/>
  <c r="J53" i="6"/>
  <c r="D4" i="12"/>
  <c r="N4" s="1"/>
  <c r="K38" i="6"/>
  <c r="E3" i="12" s="1"/>
  <c r="O3" s="1"/>
  <c r="B10" i="11"/>
  <c r="H3"/>
  <c r="B20"/>
  <c r="P151" i="6"/>
  <c r="O151"/>
  <c r="I263"/>
  <c r="C5" i="11" s="1"/>
  <c r="H263" i="6"/>
  <c r="B5" i="11" s="1"/>
  <c r="K222" i="6"/>
  <c r="Q222" s="1"/>
  <c r="J222"/>
  <c r="P222"/>
  <c r="AA221"/>
  <c r="Z221"/>
  <c r="K221"/>
  <c r="Q221" s="1"/>
  <c r="J221"/>
  <c r="P221"/>
  <c r="Z216"/>
  <c r="AA216" s="1"/>
  <c r="Z215"/>
  <c r="AA215" s="1"/>
  <c r="Z214"/>
  <c r="AA214" s="1"/>
  <c r="Z213"/>
  <c r="AA213" s="1"/>
  <c r="K213"/>
  <c r="Q213" s="1"/>
  <c r="J213"/>
  <c r="P213"/>
  <c r="AA212"/>
  <c r="Z212"/>
  <c r="Z211"/>
  <c r="AA211" s="1"/>
  <c r="Z210"/>
  <c r="AA210" s="1"/>
  <c r="AA209"/>
  <c r="Z209"/>
  <c r="Z208"/>
  <c r="AA208" s="1"/>
  <c r="Z207"/>
  <c r="AA207" s="1"/>
  <c r="Z206"/>
  <c r="AA206" s="1"/>
  <c r="Z205"/>
  <c r="AA205" s="1"/>
  <c r="AA204"/>
  <c r="Z204"/>
  <c r="Z203"/>
  <c r="AA203" s="1"/>
  <c r="AA202"/>
  <c r="Z202"/>
  <c r="Z201"/>
  <c r="AA201" s="1"/>
  <c r="AA199"/>
  <c r="Z199"/>
  <c r="AA198"/>
  <c r="Z198"/>
  <c r="Z197"/>
  <c r="AA197" s="1"/>
  <c r="AA196"/>
  <c r="Z196"/>
  <c r="Z195"/>
  <c r="AA195" s="1"/>
  <c r="Z194"/>
  <c r="AA194" s="1"/>
  <c r="AA193"/>
  <c r="Z193"/>
  <c r="AA192"/>
  <c r="Z192"/>
  <c r="AA191"/>
  <c r="Z191"/>
  <c r="AA190"/>
  <c r="Z190"/>
  <c r="Z189"/>
  <c r="AA189" s="1"/>
  <c r="Z188"/>
  <c r="AA188" s="1"/>
  <c r="AA187"/>
  <c r="Z187"/>
  <c r="AA185"/>
  <c r="Z185"/>
  <c r="Z184"/>
  <c r="AA184" s="1"/>
  <c r="Z183"/>
  <c r="AA183" s="1"/>
  <c r="Z182"/>
  <c r="AA182" s="1"/>
  <c r="Z181"/>
  <c r="AA181" s="1"/>
  <c r="Z180"/>
  <c r="AA180" s="1"/>
  <c r="Z179"/>
  <c r="AA179" s="1"/>
  <c r="Q179"/>
  <c r="P179"/>
  <c r="Z178"/>
  <c r="AA178" s="1"/>
  <c r="K178"/>
  <c r="Q178" s="1"/>
  <c r="J178"/>
  <c r="P178"/>
  <c r="Z177"/>
  <c r="AA177" s="1"/>
  <c r="Z176"/>
  <c r="AA176" s="1"/>
  <c r="K176"/>
  <c r="Q176" s="1"/>
  <c r="J176"/>
  <c r="P176"/>
  <c r="Z175"/>
  <c r="AA175" s="1"/>
  <c r="Z174"/>
  <c r="AA174" s="1"/>
  <c r="Z173"/>
  <c r="AA173" s="1"/>
  <c r="K173"/>
  <c r="Q173" s="1"/>
  <c r="J173"/>
  <c r="P173"/>
  <c r="Z172"/>
  <c r="AA172" s="1"/>
  <c r="K172"/>
  <c r="Q172" s="1"/>
  <c r="J172"/>
  <c r="P172"/>
  <c r="Z171"/>
  <c r="AA171" s="1"/>
  <c r="Z170"/>
  <c r="AA170" s="1"/>
  <c r="K170"/>
  <c r="Q170" s="1"/>
  <c r="Z169"/>
  <c r="AA169"/>
  <c r="Z168"/>
  <c r="AA168"/>
  <c r="Z167"/>
  <c r="AA167"/>
  <c r="Z166"/>
  <c r="AA166"/>
  <c r="Z165"/>
  <c r="AA165"/>
  <c r="Z164"/>
  <c r="AA164"/>
  <c r="Z163"/>
  <c r="AA163"/>
  <c r="Z162"/>
  <c r="AA162"/>
  <c r="Z161"/>
  <c r="AA161"/>
  <c r="Z160"/>
  <c r="AA160"/>
  <c r="K160"/>
  <c r="Q160"/>
  <c r="J160"/>
  <c r="Z159"/>
  <c r="AA159"/>
  <c r="Z158"/>
  <c r="AA158"/>
  <c r="K158"/>
  <c r="Q158"/>
  <c r="J158"/>
  <c r="P158"/>
  <c r="Z157"/>
  <c r="AA157"/>
  <c r="Z156"/>
  <c r="AA156"/>
  <c r="Z155"/>
  <c r="AA155"/>
  <c r="Z154"/>
  <c r="AA154"/>
  <c r="I53"/>
  <c r="C4" i="12"/>
  <c r="M4" s="1"/>
  <c r="H53" i="6"/>
  <c r="B4" i="12" s="1"/>
  <c r="L4" s="1"/>
  <c r="J33" i="6"/>
  <c r="I33"/>
  <c r="H33"/>
  <c r="J32"/>
  <c r="I32"/>
  <c r="H32"/>
  <c r="J31"/>
  <c r="I31"/>
  <c r="H31"/>
  <c r="J30"/>
  <c r="I30"/>
  <c r="H30"/>
  <c r="H38" s="1"/>
  <c r="B3" i="12" s="1"/>
  <c r="J29" i="6"/>
  <c r="I29"/>
  <c r="H29"/>
  <c r="J28"/>
  <c r="J38" s="1"/>
  <c r="D3" i="12" s="1"/>
  <c r="I28" i="6"/>
  <c r="H28"/>
  <c r="C31" i="15"/>
  <c r="D31" s="1"/>
  <c r="Q119" i="6" s="1"/>
  <c r="D34" i="15"/>
  <c r="C30"/>
  <c r="D30" s="1"/>
  <c r="P119" i="6" s="1"/>
  <c r="U95" s="1"/>
  <c r="D27" i="15"/>
  <c r="C27"/>
  <c r="C26"/>
  <c r="D26" s="1"/>
  <c r="O17"/>
  <c r="D35" s="1"/>
  <c r="F284" i="13"/>
  <c r="E7" i="14" s="1"/>
  <c r="J7" s="1"/>
  <c r="E4" i="17" s="1"/>
  <c r="D21"/>
  <c r="B21"/>
  <c r="M148" i="18"/>
  <c r="Q249"/>
  <c r="E21" i="17" s="1"/>
  <c r="P249" i="18"/>
  <c r="O249"/>
  <c r="C21" i="17" s="1"/>
  <c r="N249" i="18"/>
  <c r="N251" s="1"/>
  <c r="N252"/>
  <c r="J11" i="10"/>
  <c r="J20"/>
  <c r="J23"/>
  <c r="J29"/>
  <c r="J32"/>
  <c r="J47"/>
  <c r="J48"/>
  <c r="J83"/>
  <c r="J104"/>
  <c r="J108"/>
  <c r="J141"/>
  <c r="J146"/>
  <c r="J148"/>
  <c r="G13"/>
  <c r="G20"/>
  <c r="G29"/>
  <c r="H13"/>
  <c r="H20"/>
  <c r="H29"/>
  <c r="H327" s="1"/>
  <c r="D3" i="14" s="1"/>
  <c r="D12" i="17" s="1"/>
  <c r="M195" i="18"/>
  <c r="M5"/>
  <c r="M261"/>
  <c r="M161"/>
  <c r="M160"/>
  <c r="M159"/>
  <c r="M181"/>
  <c r="M53"/>
  <c r="M72"/>
  <c r="M49"/>
  <c r="M48"/>
  <c r="M125"/>
  <c r="M194"/>
  <c r="M22"/>
  <c r="M21"/>
  <c r="M189"/>
  <c r="M225"/>
  <c r="M224"/>
  <c r="M20"/>
  <c r="M112"/>
  <c r="M111"/>
  <c r="M45"/>
  <c r="M44"/>
  <c r="M43"/>
  <c r="M42"/>
  <c r="M41"/>
  <c r="M40"/>
  <c r="M60"/>
  <c r="M163"/>
  <c r="M14"/>
  <c r="M240"/>
  <c r="M162"/>
  <c r="M193"/>
  <c r="M171"/>
  <c r="M170"/>
  <c r="M4"/>
  <c r="M3"/>
  <c r="M127"/>
  <c r="M31"/>
  <c r="M246"/>
  <c r="M126"/>
  <c r="M39"/>
  <c r="M38"/>
  <c r="M64"/>
  <c r="M220"/>
  <c r="M218"/>
  <c r="M151"/>
  <c r="M200"/>
  <c r="M199"/>
  <c r="M182"/>
  <c r="M167"/>
  <c r="M96"/>
  <c r="M19"/>
  <c r="M131"/>
  <c r="M121"/>
  <c r="M120"/>
  <c r="M247"/>
  <c r="M73"/>
  <c r="M212"/>
  <c r="M211"/>
  <c r="M210"/>
  <c r="M206"/>
  <c r="M205"/>
  <c r="M204"/>
  <c r="M203"/>
  <c r="M209"/>
  <c r="M12"/>
  <c r="M169"/>
  <c r="M198"/>
  <c r="M197"/>
  <c r="M196"/>
  <c r="M100"/>
  <c r="M155"/>
  <c r="M147"/>
  <c r="M176"/>
  <c r="M175"/>
  <c r="M174"/>
  <c r="M165"/>
  <c r="M67"/>
  <c r="M221"/>
  <c r="M254"/>
  <c r="M55"/>
  <c r="M192"/>
  <c r="M7"/>
  <c r="M6"/>
  <c r="M132"/>
  <c r="M117"/>
  <c r="M144"/>
  <c r="M66"/>
  <c r="M138"/>
  <c r="M139"/>
  <c r="M99"/>
  <c r="M146"/>
  <c r="M262"/>
  <c r="M47"/>
  <c r="M46"/>
  <c r="M180"/>
  <c r="M164"/>
  <c r="M134"/>
  <c r="M172"/>
  <c r="M201"/>
  <c r="M57"/>
  <c r="M113"/>
  <c r="M82"/>
  <c r="M81"/>
  <c r="M154"/>
  <c r="M153"/>
  <c r="M152"/>
  <c r="M178"/>
  <c r="M177"/>
  <c r="M257"/>
  <c r="M260"/>
  <c r="M59"/>
  <c r="M184"/>
  <c r="M150"/>
  <c r="M27"/>
  <c r="M26"/>
  <c r="M54"/>
  <c r="M52"/>
  <c r="M51"/>
  <c r="M105"/>
  <c r="M104"/>
  <c r="M63"/>
  <c r="M110"/>
  <c r="M124"/>
  <c r="M217"/>
  <c r="M208"/>
  <c r="M18"/>
  <c r="M17"/>
  <c r="M88"/>
  <c r="M87"/>
  <c r="M256"/>
  <c r="M80"/>
  <c r="M79"/>
  <c r="M85"/>
  <c r="M84"/>
  <c r="M83"/>
  <c r="M9"/>
  <c r="M166"/>
  <c r="M179"/>
  <c r="M188"/>
  <c r="M61"/>
  <c r="M216"/>
  <c r="M186"/>
  <c r="M25"/>
  <c r="M24"/>
  <c r="M75"/>
  <c r="M23"/>
  <c r="M8"/>
  <c r="M215"/>
  <c r="M158"/>
  <c r="M191"/>
  <c r="M157"/>
  <c r="M2"/>
  <c r="M107"/>
  <c r="M62"/>
  <c r="M133"/>
  <c r="M34"/>
  <c r="M149"/>
  <c r="M245"/>
  <c r="M128"/>
  <c r="M29"/>
  <c r="M145"/>
  <c r="M30"/>
  <c r="M11"/>
  <c r="M259"/>
  <c r="M258"/>
  <c r="M68"/>
  <c r="M214"/>
  <c r="M94"/>
  <c r="M93"/>
  <c r="M239"/>
  <c r="M36"/>
  <c r="M35"/>
  <c r="M156"/>
  <c r="M213"/>
  <c r="M70"/>
  <c r="M69"/>
  <c r="M50"/>
  <c r="M207"/>
  <c r="M222"/>
  <c r="M244"/>
  <c r="M232"/>
  <c r="M10"/>
  <c r="I148" i="10"/>
  <c r="I146"/>
  <c r="I141"/>
  <c r="I108"/>
  <c r="I104"/>
  <c r="I83"/>
  <c r="I48"/>
  <c r="I47"/>
  <c r="I32"/>
  <c r="I29"/>
  <c r="I20"/>
  <c r="I23"/>
  <c r="I11"/>
  <c r="C17" i="17"/>
  <c r="C16"/>
  <c r="H284" i="13"/>
  <c r="C7" i="14" s="1"/>
  <c r="B17" i="17"/>
  <c r="I284" i="13"/>
  <c r="B7" i="14" s="1"/>
  <c r="C6" i="17"/>
  <c r="B6"/>
  <c r="B5"/>
  <c r="B16"/>
  <c r="B15"/>
  <c r="C25" i="15"/>
  <c r="D25" s="1"/>
  <c r="C29"/>
  <c r="D29" s="1"/>
  <c r="O119" i="6" s="1"/>
  <c r="D33" i="15"/>
  <c r="D32"/>
  <c r="C28"/>
  <c r="D28" s="1"/>
  <c r="N119" i="6" s="1"/>
  <c r="C24" i="15"/>
  <c r="D24" s="1"/>
  <c r="C23"/>
  <c r="D23" s="1"/>
  <c r="G284" i="13"/>
  <c r="D7" i="14" s="1"/>
  <c r="D14" i="17" s="1"/>
  <c r="U94" i="6" l="1"/>
  <c r="I327" i="10"/>
  <c r="C2" i="11" s="1"/>
  <c r="I2" s="1"/>
  <c r="C27" s="1"/>
  <c r="G327" i="10"/>
  <c r="E3" i="14" s="1"/>
  <c r="E12" i="17" s="1"/>
  <c r="N243" i="6"/>
  <c r="N54"/>
  <c r="N149"/>
  <c r="O54"/>
  <c r="O149"/>
  <c r="O243"/>
  <c r="T110"/>
  <c r="T98"/>
  <c r="T60"/>
  <c r="T65"/>
  <c r="T77"/>
  <c r="T97"/>
  <c r="T59"/>
  <c r="T90"/>
  <c r="T63"/>
  <c r="T71"/>
  <c r="T79"/>
  <c r="T87"/>
  <c r="T95"/>
  <c r="T82"/>
  <c r="T114"/>
  <c r="T86"/>
  <c r="T61"/>
  <c r="T81"/>
  <c r="T93"/>
  <c r="T113"/>
  <c r="T76"/>
  <c r="T88"/>
  <c r="T108"/>
  <c r="T106"/>
  <c r="T91"/>
  <c r="T111"/>
  <c r="T58"/>
  <c r="T101"/>
  <c r="T78"/>
  <c r="T104"/>
  <c r="T116"/>
  <c r="T74"/>
  <c r="T67"/>
  <c r="T99"/>
  <c r="T115"/>
  <c r="T85"/>
  <c r="T105"/>
  <c r="T117"/>
  <c r="T94"/>
  <c r="T64"/>
  <c r="T80"/>
  <c r="T92"/>
  <c r="T75"/>
  <c r="T103"/>
  <c r="T70"/>
  <c r="T69"/>
  <c r="T89"/>
  <c r="T109"/>
  <c r="T68"/>
  <c r="T96"/>
  <c r="T112"/>
  <c r="T102"/>
  <c r="T57"/>
  <c r="T83"/>
  <c r="T72"/>
  <c r="T107"/>
  <c r="T73"/>
  <c r="T84"/>
  <c r="T100"/>
  <c r="G7" i="14"/>
  <c r="B4" i="17" s="1"/>
  <c r="B14"/>
  <c r="S113" i="6"/>
  <c r="S66"/>
  <c r="S90"/>
  <c r="S110"/>
  <c r="S72"/>
  <c r="S97"/>
  <c r="S117"/>
  <c r="S74"/>
  <c r="S94"/>
  <c r="S114"/>
  <c r="S59"/>
  <c r="S104"/>
  <c r="S101"/>
  <c r="S96"/>
  <c r="S78"/>
  <c r="S98"/>
  <c r="S82"/>
  <c r="S60"/>
  <c r="S91"/>
  <c r="S105"/>
  <c r="S106"/>
  <c r="S64"/>
  <c r="S67"/>
  <c r="S99"/>
  <c r="S75"/>
  <c r="S107"/>
  <c r="S111"/>
  <c r="S68"/>
  <c r="S100"/>
  <c r="S79"/>
  <c r="S115"/>
  <c r="S108"/>
  <c r="S87"/>
  <c r="S62"/>
  <c r="S76"/>
  <c r="S116"/>
  <c r="S95"/>
  <c r="S65"/>
  <c r="S84"/>
  <c r="S63"/>
  <c r="S103"/>
  <c r="S80"/>
  <c r="S83"/>
  <c r="S71"/>
  <c r="S57"/>
  <c r="S92"/>
  <c r="S112"/>
  <c r="C14" i="17"/>
  <c r="H7" i="14"/>
  <c r="C4" i="17" s="1"/>
  <c r="P243" i="6"/>
  <c r="P54"/>
  <c r="P149"/>
  <c r="L3" i="12"/>
  <c r="E2" i="11"/>
  <c r="K2" s="1"/>
  <c r="V105" i="6"/>
  <c r="V89"/>
  <c r="V73"/>
  <c r="V57"/>
  <c r="V63"/>
  <c r="V79"/>
  <c r="V103"/>
  <c r="V62"/>
  <c r="V78"/>
  <c r="V94"/>
  <c r="V110"/>
  <c r="V80"/>
  <c r="V104"/>
  <c r="V115"/>
  <c r="V68"/>
  <c r="V58"/>
  <c r="V93"/>
  <c r="V69"/>
  <c r="V88"/>
  <c r="V75"/>
  <c r="V111"/>
  <c r="V108"/>
  <c r="V74"/>
  <c r="V98"/>
  <c r="V112"/>
  <c r="V107"/>
  <c r="V100"/>
  <c r="V109"/>
  <c r="V85"/>
  <c r="V65"/>
  <c r="V60"/>
  <c r="V87"/>
  <c r="V59"/>
  <c r="V82"/>
  <c r="V102"/>
  <c r="V117"/>
  <c r="V92"/>
  <c r="V116"/>
  <c r="V101"/>
  <c r="V81"/>
  <c r="V61"/>
  <c r="V67"/>
  <c r="V95"/>
  <c r="V66"/>
  <c r="V86"/>
  <c r="V106"/>
  <c r="V64"/>
  <c r="V83"/>
  <c r="V91"/>
  <c r="V114"/>
  <c r="V99"/>
  <c r="V97"/>
  <c r="N244"/>
  <c r="N39"/>
  <c r="N132"/>
  <c r="E14" i="17"/>
  <c r="D2" i="11"/>
  <c r="J2" s="1"/>
  <c r="K241" i="6"/>
  <c r="E3" i="11" s="1"/>
  <c r="U178" i="6"/>
  <c r="V96"/>
  <c r="V90"/>
  <c r="V71"/>
  <c r="V113"/>
  <c r="O132"/>
  <c r="O244"/>
  <c r="O39"/>
  <c r="I7" i="14"/>
  <c r="D4" i="17" s="1"/>
  <c r="Q244" i="6"/>
  <c r="V204" s="1"/>
  <c r="Q132"/>
  <c r="Q39"/>
  <c r="U98"/>
  <c r="U82"/>
  <c r="U75"/>
  <c r="U87"/>
  <c r="U107"/>
  <c r="U68"/>
  <c r="U76"/>
  <c r="U84"/>
  <c r="U92"/>
  <c r="U100"/>
  <c r="U108"/>
  <c r="U116"/>
  <c r="U109"/>
  <c r="U86"/>
  <c r="U67"/>
  <c r="U79"/>
  <c r="U99"/>
  <c r="U111"/>
  <c r="U69"/>
  <c r="U93"/>
  <c r="U60"/>
  <c r="U71"/>
  <c r="U91"/>
  <c r="U103"/>
  <c r="U85"/>
  <c r="U64"/>
  <c r="U72"/>
  <c r="U80"/>
  <c r="U88"/>
  <c r="U96"/>
  <c r="U104"/>
  <c r="U112"/>
  <c r="U74"/>
  <c r="U70"/>
  <c r="U102"/>
  <c r="U65"/>
  <c r="U97"/>
  <c r="U117"/>
  <c r="U63"/>
  <c r="U106"/>
  <c r="U78"/>
  <c r="U114"/>
  <c r="U58"/>
  <c r="U73"/>
  <c r="U89"/>
  <c r="U115"/>
  <c r="U101"/>
  <c r="U77"/>
  <c r="U62"/>
  <c r="U105"/>
  <c r="U57"/>
  <c r="U83"/>
  <c r="U61"/>
  <c r="U81"/>
  <c r="I38"/>
  <c r="C3" i="12" s="1"/>
  <c r="U172" i="6"/>
  <c r="U173"/>
  <c r="U179"/>
  <c r="V84"/>
  <c r="V70"/>
  <c r="V72"/>
  <c r="U176"/>
  <c r="J327" i="10"/>
  <c r="Q243" i="6"/>
  <c r="V160" s="1"/>
  <c r="Q149"/>
  <c r="Q54"/>
  <c r="Q241"/>
  <c r="D8" i="12"/>
  <c r="D4" i="11" s="1"/>
  <c r="J4" s="1"/>
  <c r="N3" i="12"/>
  <c r="N8" s="1"/>
  <c r="D21" i="11" s="1"/>
  <c r="P160" i="6"/>
  <c r="J241"/>
  <c r="D3" i="11" s="1"/>
  <c r="V179" i="6"/>
  <c r="V221"/>
  <c r="E6" i="12"/>
  <c r="O6" s="1"/>
  <c r="O8" s="1"/>
  <c r="E21" i="11" s="1"/>
  <c r="Q151" i="6"/>
  <c r="V76"/>
  <c r="V77"/>
  <c r="U113"/>
  <c r="U110"/>
  <c r="S61"/>
  <c r="N118"/>
  <c r="S69"/>
  <c r="S73"/>
  <c r="S77"/>
  <c r="S81"/>
  <c r="S85"/>
  <c r="S89"/>
  <c r="S93"/>
  <c r="S109"/>
  <c r="U59"/>
  <c r="T62"/>
  <c r="T66"/>
  <c r="U163"/>
  <c r="V164"/>
  <c r="U180"/>
  <c r="V181"/>
  <c r="V192"/>
  <c r="T206"/>
  <c r="O241"/>
  <c r="D21" i="16"/>
  <c r="H12" i="14" s="1"/>
  <c r="C12"/>
  <c r="C15" i="17" s="1"/>
  <c r="V217" i="6"/>
  <c r="T219"/>
  <c r="T223"/>
  <c r="P244"/>
  <c r="U213" s="1"/>
  <c r="P39"/>
  <c r="P132"/>
  <c r="T38"/>
  <c r="C15" i="12" s="1"/>
  <c r="S58" i="6"/>
  <c r="V174"/>
  <c r="U211"/>
  <c r="V212"/>
  <c r="V216"/>
  <c r="S156"/>
  <c r="T156" s="1"/>
  <c r="S160"/>
  <c r="T160" s="1"/>
  <c r="S164"/>
  <c r="T164" s="1"/>
  <c r="S168"/>
  <c r="T168" s="1"/>
  <c r="S172"/>
  <c r="T172" s="1"/>
  <c r="S176"/>
  <c r="T176" s="1"/>
  <c r="T200"/>
  <c r="V227"/>
  <c r="T233"/>
  <c r="V235"/>
  <c r="V169"/>
  <c r="V186"/>
  <c r="V197"/>
  <c r="T232"/>
  <c r="C31" i="16"/>
  <c r="G14" i="14" s="1"/>
  <c r="B7" i="17" s="1"/>
  <c r="S70" i="6"/>
  <c r="S86"/>
  <c r="S102"/>
  <c r="U66"/>
  <c r="V157"/>
  <c r="V163"/>
  <c r="U167"/>
  <c r="V168"/>
  <c r="V180"/>
  <c r="U184"/>
  <c r="V185"/>
  <c r="V191"/>
  <c r="U195"/>
  <c r="V196"/>
  <c r="T198"/>
  <c r="V203"/>
  <c r="U206"/>
  <c r="V211"/>
  <c r="V220"/>
  <c r="U225"/>
  <c r="V226"/>
  <c r="T228"/>
  <c r="U233"/>
  <c r="V234"/>
  <c r="T236"/>
  <c r="V239"/>
  <c r="U90"/>
  <c r="U155"/>
  <c r="V156"/>
  <c r="V161"/>
  <c r="V167"/>
  <c r="V184"/>
  <c r="U188"/>
  <c r="V195"/>
  <c r="U198"/>
  <c r="V206"/>
  <c r="V210"/>
  <c r="V219"/>
  <c r="V223"/>
  <c r="V225"/>
  <c r="U228"/>
  <c r="V233"/>
  <c r="U236"/>
  <c r="V238"/>
  <c r="E21" i="16"/>
  <c r="I12" i="14" s="1"/>
  <c r="D12"/>
  <c r="D15" i="17" s="1"/>
  <c r="F20" i="16"/>
  <c r="S88" i="6"/>
  <c r="V155"/>
  <c r="V165"/>
  <c r="U174"/>
  <c r="V175"/>
  <c r="V182"/>
  <c r="V188"/>
  <c r="V193"/>
  <c r="V198"/>
  <c r="V205"/>
  <c r="T210"/>
  <c r="U216"/>
  <c r="V218"/>
  <c r="T222"/>
  <c r="V228"/>
  <c r="V232"/>
  <c r="V236"/>
  <c r="V237"/>
  <c r="T239"/>
  <c r="U240"/>
  <c r="D31" i="16"/>
  <c r="H14" i="14" s="1"/>
  <c r="C7" i="17" s="1"/>
  <c r="E31" i="16"/>
  <c r="I14" i="14" s="1"/>
  <c r="D7" i="17" s="1"/>
  <c r="F31" i="16"/>
  <c r="J14" i="14" s="1"/>
  <c r="E7" i="17" s="1"/>
  <c r="D5" l="1"/>
  <c r="I16" i="14"/>
  <c r="U207" i="6"/>
  <c r="U222"/>
  <c r="V176"/>
  <c r="E8" i="12"/>
  <c r="E4" i="11" s="1"/>
  <c r="K4" s="1"/>
  <c r="V222" i="6"/>
  <c r="C5" i="17"/>
  <c r="H16" i="14"/>
  <c r="U203" i="6"/>
  <c r="U191"/>
  <c r="V173"/>
  <c r="G16" i="14"/>
  <c r="C3"/>
  <c r="C12" i="17" s="1"/>
  <c r="C19" i="11"/>
  <c r="V145" i="6"/>
  <c r="V146"/>
  <c r="V135"/>
  <c r="V136"/>
  <c r="V142"/>
  <c r="V137"/>
  <c r="V139"/>
  <c r="V140"/>
  <c r="V141"/>
  <c r="V134"/>
  <c r="V143"/>
  <c r="V144"/>
  <c r="V138"/>
  <c r="V147"/>
  <c r="V36"/>
  <c r="V31"/>
  <c r="V34"/>
  <c r="V28"/>
  <c r="V33"/>
  <c r="V29"/>
  <c r="V38"/>
  <c r="E15" i="12" s="1"/>
  <c r="V32" i="6"/>
  <c r="V27"/>
  <c r="V37"/>
  <c r="V35"/>
  <c r="V30"/>
  <c r="T35"/>
  <c r="T34"/>
  <c r="T28"/>
  <c r="T36"/>
  <c r="T32"/>
  <c r="T30"/>
  <c r="T29"/>
  <c r="T27"/>
  <c r="T33"/>
  <c r="T31"/>
  <c r="T37"/>
  <c r="S129"/>
  <c r="S127"/>
  <c r="S122"/>
  <c r="S128"/>
  <c r="S130"/>
  <c r="S126"/>
  <c r="S124"/>
  <c r="S121"/>
  <c r="S125"/>
  <c r="S123"/>
  <c r="U46"/>
  <c r="U45"/>
  <c r="U53"/>
  <c r="D16" i="12" s="1"/>
  <c r="N16" s="1"/>
  <c r="U52" i="6"/>
  <c r="U50"/>
  <c r="U51"/>
  <c r="U49"/>
  <c r="U48"/>
  <c r="U43"/>
  <c r="U42"/>
  <c r="U41"/>
  <c r="U47"/>
  <c r="U44"/>
  <c r="H3" i="14"/>
  <c r="T50" i="6"/>
  <c r="T53"/>
  <c r="C16" i="12" s="1"/>
  <c r="M16" s="1"/>
  <c r="T47" i="6"/>
  <c r="T49"/>
  <c r="T48"/>
  <c r="T42"/>
  <c r="T41"/>
  <c r="T52"/>
  <c r="T43"/>
  <c r="T46"/>
  <c r="T44"/>
  <c r="T45"/>
  <c r="T51"/>
  <c r="U229"/>
  <c r="U224"/>
  <c r="U226"/>
  <c r="V240"/>
  <c r="U129"/>
  <c r="U130"/>
  <c r="U126"/>
  <c r="U123"/>
  <c r="U124"/>
  <c r="U122"/>
  <c r="U128"/>
  <c r="U121"/>
  <c r="U125"/>
  <c r="U127"/>
  <c r="U220"/>
  <c r="V162"/>
  <c r="V154"/>
  <c r="V177"/>
  <c r="V183"/>
  <c r="V171"/>
  <c r="V166"/>
  <c r="V159"/>
  <c r="M3" i="12"/>
  <c r="M8" s="1"/>
  <c r="C21" i="11" s="1"/>
  <c r="C8" i="12"/>
  <c r="C4" i="11" s="1"/>
  <c r="I4" s="1"/>
  <c r="U118" i="6"/>
  <c r="D18" i="12" s="1"/>
  <c r="N18" s="1"/>
  <c r="V128" i="6"/>
  <c r="V125"/>
  <c r="V122"/>
  <c r="V126"/>
  <c r="V124"/>
  <c r="V129"/>
  <c r="V130"/>
  <c r="V123"/>
  <c r="V121"/>
  <c r="V127"/>
  <c r="T179"/>
  <c r="T193"/>
  <c r="T224"/>
  <c r="T218"/>
  <c r="T191"/>
  <c r="T221"/>
  <c r="T202"/>
  <c r="T190"/>
  <c r="T235"/>
  <c r="T185"/>
  <c r="T204"/>
  <c r="T230"/>
  <c r="T199"/>
  <c r="T229"/>
  <c r="T186"/>
  <c r="T192"/>
  <c r="T208"/>
  <c r="T234"/>
  <c r="T211"/>
  <c r="T212"/>
  <c r="T225"/>
  <c r="T238"/>
  <c r="T217"/>
  <c r="T237"/>
  <c r="T207"/>
  <c r="T196"/>
  <c r="U221"/>
  <c r="V158"/>
  <c r="S35"/>
  <c r="S38"/>
  <c r="B15" i="12" s="1"/>
  <c r="S28" i="6"/>
  <c r="S37"/>
  <c r="S34"/>
  <c r="S31"/>
  <c r="S36"/>
  <c r="S33"/>
  <c r="S27"/>
  <c r="S30"/>
  <c r="S29"/>
  <c r="S32"/>
  <c r="V172"/>
  <c r="U183"/>
  <c r="U166"/>
  <c r="U159"/>
  <c r="U164"/>
  <c r="U177"/>
  <c r="U161"/>
  <c r="U171"/>
  <c r="U170"/>
  <c r="U154"/>
  <c r="U165"/>
  <c r="U175"/>
  <c r="U169"/>
  <c r="U156"/>
  <c r="U181"/>
  <c r="U157"/>
  <c r="U168"/>
  <c r="U182"/>
  <c r="U158"/>
  <c r="U162"/>
  <c r="V178"/>
  <c r="T118"/>
  <c r="C18" i="12" s="1"/>
  <c r="M18" s="1"/>
  <c r="S142" i="6"/>
  <c r="S134"/>
  <c r="S146"/>
  <c r="S145"/>
  <c r="S138"/>
  <c r="S139"/>
  <c r="S136"/>
  <c r="S143"/>
  <c r="S144"/>
  <c r="S135"/>
  <c r="S137"/>
  <c r="S140"/>
  <c r="S147"/>
  <c r="S141"/>
  <c r="U35"/>
  <c r="U32"/>
  <c r="U29"/>
  <c r="U31"/>
  <c r="U33"/>
  <c r="U28"/>
  <c r="U37"/>
  <c r="U30"/>
  <c r="U27"/>
  <c r="U34"/>
  <c r="E10" i="11"/>
  <c r="K3"/>
  <c r="E20" s="1"/>
  <c r="B3" i="14"/>
  <c r="B12" i="17" s="1"/>
  <c r="B2" i="11"/>
  <c r="H2" s="1"/>
  <c r="V201" i="6"/>
  <c r="V200"/>
  <c r="V199"/>
  <c r="V194"/>
  <c r="V189"/>
  <c r="V187"/>
  <c r="V231"/>
  <c r="V230"/>
  <c r="V229"/>
  <c r="V224"/>
  <c r="V209"/>
  <c r="V208"/>
  <c r="V207"/>
  <c r="V202"/>
  <c r="V190"/>
  <c r="V215"/>
  <c r="V214"/>
  <c r="T126"/>
  <c r="T127"/>
  <c r="T128"/>
  <c r="T123"/>
  <c r="T124"/>
  <c r="T130"/>
  <c r="T129"/>
  <c r="T122"/>
  <c r="T121"/>
  <c r="T125"/>
  <c r="D27" i="11"/>
  <c r="D19"/>
  <c r="S213" i="6"/>
  <c r="T213" s="1"/>
  <c r="S237"/>
  <c r="S190"/>
  <c r="S214"/>
  <c r="T214" s="1"/>
  <c r="S206"/>
  <c r="S221"/>
  <c r="S194"/>
  <c r="T194" s="1"/>
  <c r="S234"/>
  <c r="S218"/>
  <c r="V247"/>
  <c r="V260"/>
  <c r="T249"/>
  <c r="T253"/>
  <c r="V251"/>
  <c r="S217"/>
  <c r="S229"/>
  <c r="S225"/>
  <c r="S222"/>
  <c r="S186"/>
  <c r="S230"/>
  <c r="S252"/>
  <c r="U260"/>
  <c r="U250"/>
  <c r="V255"/>
  <c r="U246"/>
  <c r="S191"/>
  <c r="S203"/>
  <c r="T203" s="1"/>
  <c r="S215"/>
  <c r="T215" s="1"/>
  <c r="S227"/>
  <c r="T227" s="1"/>
  <c r="S235"/>
  <c r="U247"/>
  <c r="V252"/>
  <c r="V257"/>
  <c r="T250"/>
  <c r="S188"/>
  <c r="T188" s="1"/>
  <c r="S200"/>
  <c r="S216"/>
  <c r="T216" s="1"/>
  <c r="S224"/>
  <c r="S240"/>
  <c r="T240" s="1"/>
  <c r="S238"/>
  <c r="U262"/>
  <c r="U258"/>
  <c r="T261"/>
  <c r="S195"/>
  <c r="T195" s="1"/>
  <c r="S207"/>
  <c r="S223"/>
  <c r="S239"/>
  <c r="U249"/>
  <c r="V256"/>
  <c r="U252"/>
  <c r="S192"/>
  <c r="S212"/>
  <c r="S228"/>
  <c r="V246"/>
  <c r="V249"/>
  <c r="S255"/>
  <c r="U261"/>
  <c r="U253"/>
  <c r="S262"/>
  <c r="S193"/>
  <c r="S246"/>
  <c r="T251"/>
  <c r="T256"/>
  <c r="V261"/>
  <c r="S202"/>
  <c r="V259"/>
  <c r="S260"/>
  <c r="S211"/>
  <c r="V250"/>
  <c r="V258"/>
  <c r="U255"/>
  <c r="S196"/>
  <c r="S232"/>
  <c r="S251"/>
  <c r="S257"/>
  <c r="T246"/>
  <c r="U256"/>
  <c r="S185"/>
  <c r="S197"/>
  <c r="T197" s="1"/>
  <c r="S205"/>
  <c r="T205" s="1"/>
  <c r="S247"/>
  <c r="T252"/>
  <c r="T258"/>
  <c r="V262"/>
  <c r="S210"/>
  <c r="S226"/>
  <c r="T226" s="1"/>
  <c r="U254"/>
  <c r="T257"/>
  <c r="S187"/>
  <c r="T187" s="1"/>
  <c r="S199"/>
  <c r="S231"/>
  <c r="T231" s="1"/>
  <c r="V253"/>
  <c r="T262"/>
  <c r="U257"/>
  <c r="S204"/>
  <c r="S220"/>
  <c r="T220" s="1"/>
  <c r="S236"/>
  <c r="S253"/>
  <c r="S258"/>
  <c r="T248"/>
  <c r="U259"/>
  <c r="S189"/>
  <c r="T189" s="1"/>
  <c r="S249"/>
  <c r="T254"/>
  <c r="T259"/>
  <c r="S233"/>
  <c r="V254"/>
  <c r="S254"/>
  <c r="S250"/>
  <c r="S198"/>
  <c r="S248"/>
  <c r="S219"/>
  <c r="T247"/>
  <c r="S259"/>
  <c r="S201"/>
  <c r="T201" s="1"/>
  <c r="T255"/>
  <c r="U251"/>
  <c r="S209"/>
  <c r="T209" s="1"/>
  <c r="T260"/>
  <c r="U248"/>
  <c r="S261"/>
  <c r="S208"/>
  <c r="S256"/>
  <c r="V248"/>
  <c r="V213"/>
  <c r="S118"/>
  <c r="B18" i="12" s="1"/>
  <c r="L18" s="1"/>
  <c r="V170" i="6"/>
  <c r="S46"/>
  <c r="S53"/>
  <c r="B16" i="12" s="1"/>
  <c r="L16" s="1"/>
  <c r="S42" i="6"/>
  <c r="S45"/>
  <c r="S48"/>
  <c r="S44"/>
  <c r="S47"/>
  <c r="S50"/>
  <c r="S51"/>
  <c r="S52"/>
  <c r="S41"/>
  <c r="S49"/>
  <c r="S43"/>
  <c r="E12" i="14"/>
  <c r="E15" i="17" s="1"/>
  <c r="F21" i="16"/>
  <c r="J12" i="14" s="1"/>
  <c r="M15" i="12"/>
  <c r="B6"/>
  <c r="N151" i="6"/>
  <c r="U38"/>
  <c r="D15" i="12" s="1"/>
  <c r="U202" i="6"/>
  <c r="U190"/>
  <c r="U189"/>
  <c r="U197"/>
  <c r="U215"/>
  <c r="U231"/>
  <c r="U196"/>
  <c r="U212"/>
  <c r="U230"/>
  <c r="U186"/>
  <c r="U209"/>
  <c r="U235"/>
  <c r="U192"/>
  <c r="U214"/>
  <c r="U238"/>
  <c r="U217"/>
  <c r="U187"/>
  <c r="U193"/>
  <c r="U219"/>
  <c r="U239"/>
  <c r="U200"/>
  <c r="U218"/>
  <c r="U237"/>
  <c r="U232"/>
  <c r="U199"/>
  <c r="U194"/>
  <c r="U201"/>
  <c r="U223"/>
  <c r="U204"/>
  <c r="U227"/>
  <c r="U234"/>
  <c r="U210"/>
  <c r="U185"/>
  <c r="U205"/>
  <c r="U208"/>
  <c r="C10" i="11"/>
  <c r="I3"/>
  <c r="P241" i="6"/>
  <c r="U160"/>
  <c r="V42"/>
  <c r="V43"/>
  <c r="V47"/>
  <c r="V51"/>
  <c r="V41"/>
  <c r="V44"/>
  <c r="V45"/>
  <c r="V53"/>
  <c r="E16" i="12" s="1"/>
  <c r="O16" s="1"/>
  <c r="V48" i="6"/>
  <c r="V52"/>
  <c r="V46"/>
  <c r="V49"/>
  <c r="V50"/>
  <c r="G331" i="10"/>
  <c r="V118" i="6"/>
  <c r="E18" i="12" s="1"/>
  <c r="O18" s="1"/>
  <c r="K6" i="11"/>
  <c r="E19"/>
  <c r="E23" s="1"/>
  <c r="E27"/>
  <c r="U146" i="6"/>
  <c r="U140"/>
  <c r="U139"/>
  <c r="U135"/>
  <c r="U147"/>
  <c r="U143"/>
  <c r="U137"/>
  <c r="U134"/>
  <c r="U136"/>
  <c r="U141"/>
  <c r="U138"/>
  <c r="U144"/>
  <c r="U145"/>
  <c r="U142"/>
  <c r="T143"/>
  <c r="T145"/>
  <c r="T146"/>
  <c r="T139"/>
  <c r="T134"/>
  <c r="T137"/>
  <c r="T136"/>
  <c r="T138"/>
  <c r="T147"/>
  <c r="T141"/>
  <c r="T142"/>
  <c r="T144"/>
  <c r="T135"/>
  <c r="T140"/>
  <c r="S169"/>
  <c r="T169" s="1"/>
  <c r="S157"/>
  <c r="T157" s="1"/>
  <c r="S181"/>
  <c r="T181" s="1"/>
  <c r="S162"/>
  <c r="T162" s="1"/>
  <c r="S174"/>
  <c r="T174" s="1"/>
  <c r="S159"/>
  <c r="T159" s="1"/>
  <c r="S167"/>
  <c r="T167" s="1"/>
  <c r="S175"/>
  <c r="T175" s="1"/>
  <c r="S158"/>
  <c r="T158" s="1"/>
  <c r="S178"/>
  <c r="T178" s="1"/>
  <c r="S180"/>
  <c r="T180" s="1"/>
  <c r="S165"/>
  <c r="T165" s="1"/>
  <c r="S177"/>
  <c r="T177" s="1"/>
  <c r="S154"/>
  <c r="S170"/>
  <c r="T170" s="1"/>
  <c r="S182"/>
  <c r="T182" s="1"/>
  <c r="S155"/>
  <c r="T155" s="1"/>
  <c r="S163"/>
  <c r="T163" s="1"/>
  <c r="S171"/>
  <c r="T171" s="1"/>
  <c r="S179"/>
  <c r="S166"/>
  <c r="T166" s="1"/>
  <c r="S184"/>
  <c r="T184" s="1"/>
  <c r="S173"/>
  <c r="T173" s="1"/>
  <c r="S161"/>
  <c r="T161" s="1"/>
  <c r="S183"/>
  <c r="T183" s="1"/>
  <c r="E5" i="17" l="1"/>
  <c r="J16" i="14"/>
  <c r="L6" i="12"/>
  <c r="L8" s="1"/>
  <c r="B21" i="11" s="1"/>
  <c r="B8" i="12"/>
  <c r="B4" i="11" s="1"/>
  <c r="H4" s="1"/>
  <c r="H6" s="1"/>
  <c r="I3" i="14"/>
  <c r="B19" i="11"/>
  <c r="B23" s="1"/>
  <c r="B27"/>
  <c r="U241" i="6"/>
  <c r="J10" i="11" s="1"/>
  <c r="L15" i="12"/>
  <c r="V241" i="6"/>
  <c r="K10" i="11" s="1"/>
  <c r="T148" i="6"/>
  <c r="U148"/>
  <c r="J3" i="14"/>
  <c r="C20" i="11"/>
  <c r="C23" s="1"/>
  <c r="I6"/>
  <c r="S263" i="6"/>
  <c r="H12" i="11" s="1"/>
  <c r="U263" i="6"/>
  <c r="J12" i="11" s="1"/>
  <c r="U131" i="6"/>
  <c r="D19" i="12" s="1"/>
  <c r="N19" s="1"/>
  <c r="T154" i="6"/>
  <c r="T241" s="1"/>
  <c r="I10" i="11" s="1"/>
  <c r="S241" i="6"/>
  <c r="H10" i="11" s="1"/>
  <c r="N15" i="12"/>
  <c r="T263" i="6"/>
  <c r="I12" i="11" s="1"/>
  <c r="T131" i="6"/>
  <c r="C19" i="12" s="1"/>
  <c r="M19" s="1"/>
  <c r="S148" i="6"/>
  <c r="C2" i="17"/>
  <c r="V148" i="6"/>
  <c r="J3" i="11"/>
  <c r="D10"/>
  <c r="V263" i="6"/>
  <c r="K12" i="11" s="1"/>
  <c r="V131" i="6"/>
  <c r="E19" i="12" s="1"/>
  <c r="O19" s="1"/>
  <c r="S131" i="6"/>
  <c r="B19" i="12" s="1"/>
  <c r="L19" s="1"/>
  <c r="O15"/>
  <c r="D12" i="11" l="1"/>
  <c r="D30"/>
  <c r="D28"/>
  <c r="C12"/>
  <c r="C30"/>
  <c r="B28"/>
  <c r="B12"/>
  <c r="B30"/>
  <c r="E28"/>
  <c r="G3" i="14"/>
  <c r="D2" i="17"/>
  <c r="D20" i="11"/>
  <c r="D23" s="1"/>
  <c r="J6"/>
  <c r="B17" i="12"/>
  <c r="S151" i="6"/>
  <c r="H11" i="11" s="1"/>
  <c r="H13" s="1"/>
  <c r="B4" i="14" s="1"/>
  <c r="B13" i="17" s="1"/>
  <c r="C28" i="11"/>
  <c r="E2" i="17"/>
  <c r="E30" i="11"/>
  <c r="E12"/>
  <c r="T151" i="6"/>
  <c r="I11" i="11" s="1"/>
  <c r="I13" s="1"/>
  <c r="C4" i="14" s="1"/>
  <c r="C13" i="17" s="1"/>
  <c r="C17" i="12"/>
  <c r="E17"/>
  <c r="V151" i="6"/>
  <c r="K11" i="11" s="1"/>
  <c r="K13" s="1"/>
  <c r="E4" i="14" s="1"/>
  <c r="E13" i="17" s="1"/>
  <c r="D17" i="12"/>
  <c r="U151" i="6"/>
  <c r="J11" i="11" s="1"/>
  <c r="J13" s="1"/>
  <c r="D4" i="14" s="1"/>
  <c r="D13" i="17" s="1"/>
  <c r="M17" i="12" l="1"/>
  <c r="M20" s="1"/>
  <c r="C29" i="11" s="1"/>
  <c r="C20" i="12"/>
  <c r="C11" i="11" s="1"/>
  <c r="B2" i="17"/>
  <c r="N17" i="12"/>
  <c r="N20" s="1"/>
  <c r="D29" i="11" s="1"/>
  <c r="D32" s="1"/>
  <c r="I4" i="14" s="1"/>
  <c r="D20" i="12"/>
  <c r="D11" i="11" s="1"/>
  <c r="C32"/>
  <c r="H4" i="14" s="1"/>
  <c r="C31" i="11"/>
  <c r="O17" i="12"/>
  <c r="O20" s="1"/>
  <c r="E29" i="11" s="1"/>
  <c r="E32" s="1"/>
  <c r="J4" i="14" s="1"/>
  <c r="E20" i="12"/>
  <c r="E11" i="11" s="1"/>
  <c r="L17" i="12"/>
  <c r="L20" s="1"/>
  <c r="B29" i="11" s="1"/>
  <c r="B31" s="1"/>
  <c r="B20" i="12"/>
  <c r="B11" i="11" s="1"/>
  <c r="B32" l="1"/>
  <c r="G4" i="14" s="1"/>
  <c r="B3" i="17" s="1"/>
  <c r="E3"/>
  <c r="E8" s="1"/>
  <c r="J5" i="14"/>
  <c r="J17" s="1"/>
  <c r="D3" i="17"/>
  <c r="D8" s="1"/>
  <c r="I5" i="14"/>
  <c r="I17" s="1"/>
  <c r="E31" i="11"/>
  <c r="D31"/>
  <c r="C3" i="17"/>
  <c r="C8" s="1"/>
  <c r="H5" i="14"/>
  <c r="H17" s="1"/>
  <c r="B8" i="17"/>
  <c r="G5" i="14" l="1"/>
  <c r="G17" s="1"/>
</calcChain>
</file>

<file path=xl/comments1.xml><?xml version="1.0" encoding="utf-8"?>
<comments xmlns="http://schemas.openxmlformats.org/spreadsheetml/2006/main">
  <authors>
    <author>dkasto</author>
  </authors>
  <commentList>
    <comment ref="F125" authorId="0">
      <text>
        <r>
          <rPr>
            <b/>
            <sz val="8"/>
            <color indexed="81"/>
            <rFont val="Tahoma"/>
            <family val="2"/>
          </rPr>
          <t>dkasto:</t>
        </r>
        <r>
          <rPr>
            <sz val="8"/>
            <color indexed="81"/>
            <rFont val="Tahoma"/>
            <family val="2"/>
          </rPr>
          <t xml:space="preserve">
selvejende muligvis driftsaftale</t>
        </r>
      </text>
    </comment>
  </commentList>
</comments>
</file>

<file path=xl/comments2.xml><?xml version="1.0" encoding="utf-8"?>
<comments xmlns="http://schemas.openxmlformats.org/spreadsheetml/2006/main">
  <authors>
    <author>dkmsic</author>
  </authors>
  <commentList>
    <comment ref="H139" authorId="0">
      <text>
        <r>
          <rPr>
            <b/>
            <sz val="8"/>
            <color indexed="81"/>
            <rFont val="Tahoma"/>
            <family val="2"/>
          </rPr>
          <t>dkmsic:</t>
        </r>
        <r>
          <rPr>
            <sz val="8"/>
            <color indexed="81"/>
            <rFont val="Tahoma"/>
            <family val="2"/>
          </rPr>
          <t xml:space="preserve">
Måler nr2:
2007: 221
2008: 200</t>
        </r>
      </text>
    </comment>
    <comment ref="N139" authorId="0">
      <text>
        <r>
          <rPr>
            <b/>
            <sz val="8"/>
            <color indexed="81"/>
            <rFont val="Tahoma"/>
            <family val="2"/>
          </rPr>
          <t>dkmsic:</t>
        </r>
        <r>
          <rPr>
            <sz val="8"/>
            <color indexed="81"/>
            <rFont val="Tahoma"/>
            <family val="2"/>
          </rPr>
          <t xml:space="preserve">
Måler nr2:
2007: 221
2008: 200</t>
        </r>
      </text>
    </comment>
    <comment ref="H141" authorId="0">
      <text>
        <r>
          <rPr>
            <b/>
            <sz val="8"/>
            <color indexed="81"/>
            <rFont val="Tahoma"/>
            <family val="2"/>
          </rPr>
          <t>dkmsic:</t>
        </r>
        <r>
          <rPr>
            <sz val="8"/>
            <color indexed="81"/>
            <rFont val="Tahoma"/>
            <family val="2"/>
          </rPr>
          <t xml:space="preserve">
Afdeling 3 har:
2007: 202
2008: 198
Afdeling 4 har: 
2007: 102
2008: 78</t>
        </r>
      </text>
    </comment>
    <comment ref="N141" authorId="0">
      <text>
        <r>
          <rPr>
            <b/>
            <sz val="8"/>
            <color indexed="81"/>
            <rFont val="Tahoma"/>
            <family val="2"/>
          </rPr>
          <t>dkmsic:</t>
        </r>
        <r>
          <rPr>
            <sz val="8"/>
            <color indexed="81"/>
            <rFont val="Tahoma"/>
            <family val="2"/>
          </rPr>
          <t xml:space="preserve">
Afdeling 3 har:
2007: 202
2008: 198
Afdeling 4 har: 
2007: 102
2008: 78</t>
        </r>
      </text>
    </comment>
  </commentList>
</comments>
</file>

<file path=xl/comments3.xml><?xml version="1.0" encoding="utf-8"?>
<comments xmlns="http://schemas.openxmlformats.org/spreadsheetml/2006/main">
  <authors>
    <author>dkasto</author>
  </authors>
  <commentList>
    <comment ref="C244" authorId="0">
      <text>
        <r>
          <rPr>
            <b/>
            <sz val="8"/>
            <color indexed="81"/>
            <rFont val="Tahoma"/>
          </rPr>
          <t>dkasto:</t>
        </r>
        <r>
          <rPr>
            <sz val="8"/>
            <color indexed="81"/>
            <rFont val="Tahoma"/>
          </rPr>
          <t xml:space="preserve">
Tidl. lejrskole</t>
        </r>
      </text>
    </comment>
  </commentList>
</comments>
</file>

<file path=xl/sharedStrings.xml><?xml version="1.0" encoding="utf-8"?>
<sst xmlns="http://schemas.openxmlformats.org/spreadsheetml/2006/main" count="6574" uniqueCount="1529">
  <si>
    <t>CO2-faktor 2008</t>
  </si>
  <si>
    <t>CO2-faktor 2010</t>
  </si>
  <si>
    <t>FAKTISK FJERNVARME FORBRUG</t>
  </si>
  <si>
    <t>GRADDAGSKORRIGERET FJERNVARME FORBRUG</t>
  </si>
  <si>
    <t>Emissionsfaktorer, beregninger, se: Energianvendelse FJV 09-10.xlsx</t>
  </si>
  <si>
    <t>Emissioner er inkl. tab i fjernvarmenettet - dvs. pr. solgt energienhed.</t>
  </si>
  <si>
    <t>El  (MWh)</t>
  </si>
  <si>
    <t>Ukorr. MWh</t>
  </si>
  <si>
    <t>Ukorrigeret  CO2</t>
  </si>
  <si>
    <t xml:space="preserve">El  </t>
  </si>
  <si>
    <t>Naturgas</t>
  </si>
  <si>
    <t xml:space="preserve">Olie </t>
  </si>
  <si>
    <t>Graddagskorr.</t>
  </si>
  <si>
    <t>el</t>
  </si>
  <si>
    <t>naturgas</t>
  </si>
  <si>
    <t>fyringsgasolie</t>
  </si>
  <si>
    <t>fjernvarme</t>
  </si>
  <si>
    <t>kg CO2/Mwh</t>
  </si>
  <si>
    <t>Olie regnes uændret, pånær bygninger konverteret. Faktisk forbrug kendes ikke.</t>
  </si>
  <si>
    <t>Heraf varme:</t>
  </si>
  <si>
    <t>TRANSPORTBRÆNDSLER OG DRIVMIDLER</t>
  </si>
  <si>
    <t>JF. Mikkel Vestergaard består bilparken af 30 % dieselkøretøjer og 70 % benzinkøretøjer</t>
  </si>
  <si>
    <t>Til CO2 beregningen tager vi udgangspunkt i denne fordeling, idet brændselsudgifterne</t>
  </si>
  <si>
    <t>antages at være ligeligt fordelt over året og med den beregnede gennemsnitspris.</t>
  </si>
  <si>
    <t>gns. Pris</t>
  </si>
  <si>
    <t>fordeling</t>
  </si>
  <si>
    <t>kg CO2/liter</t>
  </si>
  <si>
    <t>Benzin</t>
  </si>
  <si>
    <t>Diesel</t>
  </si>
  <si>
    <t>Mix</t>
  </si>
  <si>
    <t>Kilde: energistyrelsen</t>
  </si>
  <si>
    <t>FORBRUG AF BRÆNDSLER OG DRIVMIDLER</t>
  </si>
  <si>
    <t>Egne og leasede køretøjer</t>
  </si>
  <si>
    <t>Kroner</t>
  </si>
  <si>
    <t>Liter mix</t>
  </si>
  <si>
    <t>CO2, ton</t>
  </si>
  <si>
    <t>Benzin, liter</t>
  </si>
  <si>
    <t>Diesel, liter</t>
  </si>
  <si>
    <t>LPG (Kg)</t>
  </si>
  <si>
    <t>CO2, ton i alt</t>
  </si>
  <si>
    <t>CO2 beregning for transportbrændsler.xlsx</t>
  </si>
  <si>
    <t>kg</t>
  </si>
  <si>
    <t>Transportbrændsler</t>
  </si>
  <si>
    <t>inkl. ringbakkens børnehave - ny bygning ca 2010</t>
  </si>
  <si>
    <t>ændret brug</t>
  </si>
  <si>
    <t>kg/m3</t>
  </si>
  <si>
    <t xml:space="preserve">LPG tank- og flaskegas </t>
  </si>
  <si>
    <t xml:space="preserve"> LPG</t>
  </si>
  <si>
    <t>Vej og park: oplysninger er fra Q8 og Kosan gas</t>
  </si>
  <si>
    <t>Egne og leasede køretøjer: Oplysninger stammer fra Sdb. Kommune økonomisystem. Skønnnet brændstofmængde på baggrund af gennemsnitspris for oplyst brændselsmix</t>
  </si>
  <si>
    <t>Vandforbrug i bygninger</t>
  </si>
  <si>
    <t>LPG tank- og flaskegas (udkrudtsafbrænding mm)</t>
  </si>
  <si>
    <t>Brændstof til Vej og Park</t>
  </si>
  <si>
    <t>Vej og park</t>
  </si>
  <si>
    <t>lpg (liter)</t>
  </si>
  <si>
    <t>Oplyst af Henrik Thykjær, Vej og Park. Bruges ikke - vi anvender oplysningerne ovenfor fra leverandørerne.</t>
  </si>
  <si>
    <t xml:space="preserve"> gas (liter)</t>
  </si>
  <si>
    <t>Oplysninger fra Q8 (07-08) og Kosan(07-10)</t>
  </si>
  <si>
    <t>NB. Varmeforbrug er graddagskorrigeret</t>
  </si>
  <si>
    <t>1301</t>
  </si>
  <si>
    <t>1302</t>
  </si>
  <si>
    <t>1308</t>
  </si>
  <si>
    <t>1310</t>
  </si>
  <si>
    <t>1311</t>
  </si>
  <si>
    <t>1314</t>
  </si>
  <si>
    <t>1315</t>
  </si>
  <si>
    <t>1318</t>
  </si>
  <si>
    <t>1320</t>
  </si>
  <si>
    <t>1321</t>
  </si>
  <si>
    <t>1319/1325</t>
  </si>
  <si>
    <t>1333</t>
  </si>
  <si>
    <t>1403</t>
  </si>
  <si>
    <t>1306/1416</t>
  </si>
  <si>
    <t>1420</t>
  </si>
  <si>
    <t>1424</t>
  </si>
  <si>
    <t>1426</t>
  </si>
  <si>
    <t>1427</t>
  </si>
  <si>
    <t>1433</t>
  </si>
  <si>
    <t>1501</t>
  </si>
  <si>
    <t>1502</t>
  </si>
  <si>
    <t>1504</t>
  </si>
  <si>
    <t>1014/1507</t>
  </si>
  <si>
    <t>1508</t>
  </si>
  <si>
    <t>1514</t>
  </si>
  <si>
    <t>1520</t>
  </si>
  <si>
    <t>1522</t>
  </si>
  <si>
    <t>1530</t>
  </si>
  <si>
    <t>1536</t>
  </si>
  <si>
    <t>1601</t>
  </si>
  <si>
    <t>1602</t>
  </si>
  <si>
    <t>1603</t>
  </si>
  <si>
    <t>1605</t>
  </si>
  <si>
    <t>1606</t>
  </si>
  <si>
    <t>1608</t>
  </si>
  <si>
    <t>1610</t>
  </si>
  <si>
    <t>1611</t>
  </si>
  <si>
    <t>1612</t>
  </si>
  <si>
    <t>1613</t>
  </si>
  <si>
    <t>1615</t>
  </si>
  <si>
    <t>1616</t>
  </si>
  <si>
    <t>1617</t>
  </si>
  <si>
    <t>1005</t>
  </si>
  <si>
    <t>1015</t>
  </si>
  <si>
    <t>1016</t>
  </si>
  <si>
    <t>1017</t>
  </si>
  <si>
    <t>1019</t>
  </si>
  <si>
    <t>1020</t>
  </si>
  <si>
    <t>1022</t>
  </si>
  <si>
    <t>1024</t>
  </si>
  <si>
    <t>1025</t>
  </si>
  <si>
    <t>1026</t>
  </si>
  <si>
    <t>1027</t>
  </si>
  <si>
    <t>831/1805</t>
  </si>
  <si>
    <t>1810</t>
  </si>
  <si>
    <t>1816</t>
  </si>
  <si>
    <t>1818</t>
  </si>
  <si>
    <t>305</t>
  </si>
  <si>
    <t>308</t>
  </si>
  <si>
    <t>Ahlmannskolen</t>
  </si>
  <si>
    <t>Sønderborg Kommune Idrætshal</t>
  </si>
  <si>
    <t>Den Tyske Børnehave</t>
  </si>
  <si>
    <t>Sønderborghus</t>
  </si>
  <si>
    <t>Vaskeriet Tandsbjerg</t>
  </si>
  <si>
    <t>Teknisk Forvaltning Værksted</t>
  </si>
  <si>
    <t>Børne- &amp; Ungdomscentret</t>
  </si>
  <si>
    <t>Mølleparkens Plejehjem</t>
  </si>
  <si>
    <t>Løvenskjoldsgade</t>
  </si>
  <si>
    <t>Engelshøjgade</t>
  </si>
  <si>
    <t>Ringbakken</t>
  </si>
  <si>
    <t>Friheds Alle</t>
  </si>
  <si>
    <t>Porsgrunngade</t>
  </si>
  <si>
    <t>Ved Skellet</t>
  </si>
  <si>
    <t>Tangshave</t>
  </si>
  <si>
    <t>KONGEVEJ</t>
  </si>
  <si>
    <t>Vølundsgade</t>
  </si>
  <si>
    <t>Hørmarken</t>
  </si>
  <si>
    <t>Ribesvej</t>
  </si>
  <si>
    <t>Kirketorvet</t>
  </si>
  <si>
    <t>Løkken</t>
  </si>
  <si>
    <t>Jernbanesti</t>
  </si>
  <si>
    <t>Scharffenbergsgade</t>
  </si>
  <si>
    <t>Hilmar Finsens Gade</t>
  </si>
  <si>
    <t>Rojumvej</t>
  </si>
  <si>
    <t>Ørstedsgade</t>
  </si>
  <si>
    <t>Søndre Landevej</t>
  </si>
  <si>
    <t>Hertug Hans Vej</t>
  </si>
  <si>
    <t>Thorsvej</t>
  </si>
  <si>
    <t>Brogade</t>
  </si>
  <si>
    <t>Lynghaven</t>
  </si>
  <si>
    <t>Nørrekobbel</t>
  </si>
  <si>
    <t>Udsigten</t>
  </si>
  <si>
    <t>Vesterkobbel</t>
  </si>
  <si>
    <t>Sydals Kommune</t>
  </si>
  <si>
    <t>Ungdomsskolen</t>
  </si>
  <si>
    <t>Vandværk</t>
  </si>
  <si>
    <t>Belysning 2111052304</t>
  </si>
  <si>
    <t>Søvangsskolen</t>
  </si>
  <si>
    <t>Nordborg Friv. Brandværn</t>
  </si>
  <si>
    <t>Egernsund Skole</t>
  </si>
  <si>
    <t>310</t>
  </si>
  <si>
    <t>311</t>
  </si>
  <si>
    <t>312</t>
  </si>
  <si>
    <t>318</t>
  </si>
  <si>
    <t>319</t>
  </si>
  <si>
    <t>321</t>
  </si>
  <si>
    <t>307</t>
  </si>
  <si>
    <t>324</t>
  </si>
  <si>
    <t>314</t>
  </si>
  <si>
    <t>402</t>
  </si>
  <si>
    <t>403</t>
  </si>
  <si>
    <t>406</t>
  </si>
  <si>
    <t>410</t>
  </si>
  <si>
    <t>411</t>
  </si>
  <si>
    <t>413</t>
  </si>
  <si>
    <t>414</t>
  </si>
  <si>
    <t>415</t>
  </si>
  <si>
    <t>416</t>
  </si>
  <si>
    <t>417</t>
  </si>
  <si>
    <t>418</t>
  </si>
  <si>
    <t>421</t>
  </si>
  <si>
    <t>422</t>
  </si>
  <si>
    <t>423</t>
  </si>
  <si>
    <t>424</t>
  </si>
  <si>
    <t>425</t>
  </si>
  <si>
    <t>Rosenvej</t>
  </si>
  <si>
    <t>Engvej</t>
  </si>
  <si>
    <t>Mågevænget</t>
  </si>
  <si>
    <t>Thomhavevej</t>
  </si>
  <si>
    <t>Gammel Aabenraavej</t>
  </si>
  <si>
    <t>Nørregade</t>
  </si>
  <si>
    <t>Sandbjergvej</t>
  </si>
  <si>
    <t>Allegade</t>
  </si>
  <si>
    <t>Sandmarken</t>
  </si>
  <si>
    <t>Kundenr</t>
  </si>
  <si>
    <t>PersonnrSEnr</t>
  </si>
  <si>
    <t>ForbrStVejNavn</t>
  </si>
  <si>
    <t>Husnr</t>
  </si>
  <si>
    <t>Bogstav</t>
  </si>
  <si>
    <t>Etage</t>
  </si>
  <si>
    <t>SideDørNr</t>
  </si>
  <si>
    <t>Løbenr</t>
  </si>
  <si>
    <t>Postnr</t>
  </si>
  <si>
    <t>Postdistrikt</t>
  </si>
  <si>
    <t>Målernr</t>
  </si>
  <si>
    <t>I alt Forbrug</t>
  </si>
  <si>
    <t>2011</t>
  </si>
  <si>
    <t>6300</t>
  </si>
  <si>
    <t>22235578</t>
  </si>
  <si>
    <t>15419</t>
  </si>
  <si>
    <t>6400</t>
  </si>
  <si>
    <t>06415887</t>
  </si>
  <si>
    <t>6430</t>
  </si>
  <si>
    <t>21014169</t>
  </si>
  <si>
    <t>15772</t>
  </si>
  <si>
    <t>A</t>
  </si>
  <si>
    <t>06416143</t>
  </si>
  <si>
    <t>14726</t>
  </si>
  <si>
    <t>7387</t>
  </si>
  <si>
    <t>7193</t>
  </si>
  <si>
    <t>9299</t>
  </si>
  <si>
    <t>14303</t>
  </si>
  <si>
    <t>16730</t>
  </si>
  <si>
    <t>12762</t>
  </si>
  <si>
    <t>16030</t>
  </si>
  <si>
    <t>N</t>
  </si>
  <si>
    <t>65976673</t>
  </si>
  <si>
    <t>6774</t>
  </si>
  <si>
    <t>10569</t>
  </si>
  <si>
    <t>16807</t>
  </si>
  <si>
    <t>0</t>
  </si>
  <si>
    <t>29041230</t>
  </si>
  <si>
    <t>15567</t>
  </si>
  <si>
    <t>65976667</t>
  </si>
  <si>
    <t>65976672</t>
  </si>
  <si>
    <t>6470</t>
  </si>
  <si>
    <t>3667</t>
  </si>
  <si>
    <t>9290</t>
  </si>
  <si>
    <t>16735</t>
  </si>
  <si>
    <t>20114897</t>
  </si>
  <si>
    <t>15126</t>
  </si>
  <si>
    <t>16096</t>
  </si>
  <si>
    <t>ST</t>
  </si>
  <si>
    <t>TV</t>
  </si>
  <si>
    <t>16067</t>
  </si>
  <si>
    <t>6440</t>
  </si>
  <si>
    <t>Augustenborg</t>
  </si>
  <si>
    <t>8357</t>
  </si>
  <si>
    <t>8253</t>
  </si>
  <si>
    <t>8356</t>
  </si>
  <si>
    <t>8393</t>
  </si>
  <si>
    <t>61070703</t>
  </si>
  <si>
    <t>61070691</t>
  </si>
  <si>
    <t>9604785</t>
  </si>
  <si>
    <t>9616240</t>
  </si>
  <si>
    <t>9616241</t>
  </si>
  <si>
    <t>9415013</t>
  </si>
  <si>
    <t>14270</t>
  </si>
  <si>
    <t>8369</t>
  </si>
  <si>
    <t>22309542</t>
  </si>
  <si>
    <t>Jægerpladsen</t>
  </si>
  <si>
    <t>9415062</t>
  </si>
  <si>
    <t>8600</t>
  </si>
  <si>
    <t>- 28</t>
  </si>
  <si>
    <t>65976662</t>
  </si>
  <si>
    <t>454528</t>
  </si>
  <si>
    <t>38083178a</t>
  </si>
  <si>
    <t>9414995</t>
  </si>
  <si>
    <t>38083024</t>
  </si>
  <si>
    <t>16085</t>
  </si>
  <si>
    <t>16091</t>
  </si>
  <si>
    <t>9414987</t>
  </si>
  <si>
    <t>9414990</t>
  </si>
  <si>
    <t>9415015</t>
  </si>
  <si>
    <t>16089</t>
  </si>
  <si>
    <t>16090</t>
  </si>
  <si>
    <t>8678</t>
  </si>
  <si>
    <t>9785</t>
  </si>
  <si>
    <t>60316379</t>
  </si>
  <si>
    <t>14280</t>
  </si>
  <si>
    <t>29041062</t>
  </si>
  <si>
    <t>15771</t>
  </si>
  <si>
    <t>16738</t>
  </si>
  <si>
    <t>15107</t>
  </si>
  <si>
    <t>11166</t>
  </si>
  <si>
    <t>10752</t>
  </si>
  <si>
    <t>8791</t>
  </si>
  <si>
    <t>15897</t>
  </si>
  <si>
    <t>29193918</t>
  </si>
  <si>
    <t>- 25</t>
  </si>
  <si>
    <t>8979</t>
  </si>
  <si>
    <t>15105</t>
  </si>
  <si>
    <t>8277</t>
  </si>
  <si>
    <t>Købingsmarkvej</t>
  </si>
  <si>
    <t>02825763</t>
  </si>
  <si>
    <t>9414832</t>
  </si>
  <si>
    <t>16092</t>
  </si>
  <si>
    <t>9186</t>
  </si>
  <si>
    <t>9144</t>
  </si>
  <si>
    <t>9145</t>
  </si>
  <si>
    <t>9001</t>
  </si>
  <si>
    <t>9414791</t>
  </si>
  <si>
    <t>9414885</t>
  </si>
  <si>
    <t>92355876</t>
  </si>
  <si>
    <t>24073877</t>
  </si>
  <si>
    <t>24073954</t>
  </si>
  <si>
    <t>23168596</t>
  </si>
  <si>
    <t>24048090</t>
  </si>
  <si>
    <t>30193412</t>
  </si>
  <si>
    <t>9682</t>
  </si>
  <si>
    <t>10622</t>
  </si>
  <si>
    <t>10247</t>
  </si>
  <si>
    <t>10034</t>
  </si>
  <si>
    <t>10033</t>
  </si>
  <si>
    <t>Nørrebro skøjtebane</t>
  </si>
  <si>
    <t>14278</t>
  </si>
  <si>
    <t>14339</t>
  </si>
  <si>
    <t>16727</t>
  </si>
  <si>
    <t>24073963</t>
  </si>
  <si>
    <t>10311</t>
  </si>
  <si>
    <t>22210919</t>
  </si>
  <si>
    <t>23122388</t>
  </si>
  <si>
    <t>C</t>
  </si>
  <si>
    <t>23122390</t>
  </si>
  <si>
    <t>23122389</t>
  </si>
  <si>
    <t>10177</t>
  </si>
  <si>
    <t>30295635</t>
  </si>
  <si>
    <t>16672</t>
  </si>
  <si>
    <t>10598</t>
  </si>
  <si>
    <t>10755</t>
  </si>
  <si>
    <t>10613</t>
  </si>
  <si>
    <t>29040247</t>
  </si>
  <si>
    <t>8976</t>
  </si>
  <si>
    <t>14838956</t>
  </si>
  <si>
    <t>11051</t>
  </si>
  <si>
    <t>28042517</t>
  </si>
  <si>
    <t>10739</t>
  </si>
  <si>
    <t>10745</t>
  </si>
  <si>
    <t>10861</t>
  </si>
  <si>
    <t>10917</t>
  </si>
  <si>
    <t>15938</t>
  </si>
  <si>
    <t>14258</t>
  </si>
  <si>
    <t>26824850</t>
  </si>
  <si>
    <t>02774850</t>
  </si>
  <si>
    <t>1951783</t>
  </si>
  <si>
    <t>23162613</t>
  </si>
  <si>
    <t>61070785</t>
  </si>
  <si>
    <t>10635</t>
  </si>
  <si>
    <t>14205</t>
  </si>
  <si>
    <t>10376</t>
  </si>
  <si>
    <t>10497</t>
  </si>
  <si>
    <t>15415</t>
  </si>
  <si>
    <t>14285</t>
  </si>
  <si>
    <t>14286</t>
  </si>
  <si>
    <t>10693</t>
  </si>
  <si>
    <t>10661</t>
  </si>
  <si>
    <t>10695</t>
  </si>
  <si>
    <t>38083161</t>
  </si>
  <si>
    <t>30295983</t>
  </si>
  <si>
    <t>24227941</t>
  </si>
  <si>
    <t>29147546</t>
  </si>
  <si>
    <t>38083156</t>
  </si>
  <si>
    <t>21360337</t>
  </si>
  <si>
    <t>00013088</t>
  </si>
  <si>
    <t>22210917</t>
  </si>
  <si>
    <t>027370496</t>
  </si>
  <si>
    <t>23122323</t>
  </si>
  <si>
    <t>21360411</t>
  </si>
  <si>
    <t>11983</t>
  </si>
  <si>
    <t>12216</t>
  </si>
  <si>
    <t>21013416</t>
  </si>
  <si>
    <t>14292</t>
  </si>
  <si>
    <t>14213</t>
  </si>
  <si>
    <t>459854</t>
  </si>
  <si>
    <t>459590</t>
  </si>
  <si>
    <t>22316985</t>
  </si>
  <si>
    <t>61070534</t>
  </si>
  <si>
    <t>BRO</t>
  </si>
  <si>
    <t>29044064</t>
  </si>
  <si>
    <t>NY</t>
  </si>
  <si>
    <t>15683</t>
  </si>
  <si>
    <t>15349</t>
  </si>
  <si>
    <t>29164737</t>
  </si>
  <si>
    <t>15341</t>
  </si>
  <si>
    <t>13304</t>
  </si>
  <si>
    <t>13319</t>
  </si>
  <si>
    <t>8981</t>
  </si>
  <si>
    <t>12961</t>
  </si>
  <si>
    <t>61072924</t>
  </si>
  <si>
    <t>6224212</t>
  </si>
  <si>
    <t>27171764</t>
  </si>
  <si>
    <t>99294179</t>
  </si>
  <si>
    <t>30193394</t>
  </si>
  <si>
    <t>30335881</t>
  </si>
  <si>
    <t>63074467</t>
  </si>
  <si>
    <t>10560</t>
  </si>
  <si>
    <t>10570</t>
  </si>
  <si>
    <t>12218</t>
  </si>
  <si>
    <t>14210</t>
  </si>
  <si>
    <t>14211</t>
  </si>
  <si>
    <t>39175095</t>
  </si>
  <si>
    <t>2637973</t>
  </si>
  <si>
    <t>13634</t>
  </si>
  <si>
    <t>24131126</t>
  </si>
  <si>
    <t>14881831</t>
  </si>
  <si>
    <t>61070548</t>
  </si>
  <si>
    <t>6660</t>
  </si>
  <si>
    <t>6661</t>
  </si>
  <si>
    <t>Nydam Sfo (ikke aktiv)</t>
  </si>
  <si>
    <t>Pedelbolig (selvejende Diamanten)</t>
  </si>
  <si>
    <t>Biblioteket Hørup Knøs Gård( El opvarmet ?)</t>
  </si>
  <si>
    <t>Sønderborg Kommune - Teknisk Afd.</t>
  </si>
  <si>
    <t>Vandforsyningen</t>
  </si>
  <si>
    <t>Kultur og Fritid Att. Inga Christensen</t>
  </si>
  <si>
    <t xml:space="preserve">Sønderborg Havnekontor </t>
  </si>
  <si>
    <t xml:space="preserve">Passagerkaj </t>
  </si>
  <si>
    <t>MWh</t>
  </si>
  <si>
    <t>Liter</t>
  </si>
  <si>
    <t>31.12</t>
  </si>
  <si>
    <t>B.S.Ingemanns Vej Botilbud</t>
  </si>
  <si>
    <t>Musikhuset</t>
  </si>
  <si>
    <t>Børnehaven Grundtvigs Alle</t>
  </si>
  <si>
    <t>Børnehaven Løven</t>
  </si>
  <si>
    <t>Regnbuen Børnegården</t>
  </si>
  <si>
    <t>Børnehaven Ved Skellet</t>
  </si>
  <si>
    <t>Sønderborg Teater</t>
  </si>
  <si>
    <t>Sottrup Børnehave</t>
  </si>
  <si>
    <t>Ullerup Børnegård</t>
  </si>
  <si>
    <t>Børnegården Mågevænget</t>
  </si>
  <si>
    <t>Dam Værket Mjang</t>
  </si>
  <si>
    <t>Nybøl Børnehus</t>
  </si>
  <si>
    <t>Områdecenter Ulkebøl</t>
  </si>
  <si>
    <t>Tandslet Børnehave</t>
  </si>
  <si>
    <t>Biblioteket</t>
  </si>
  <si>
    <t>Mariegård SFO</t>
  </si>
  <si>
    <t>Ny leder LENE</t>
  </si>
  <si>
    <t>100</t>
  </si>
  <si>
    <t>1500</t>
  </si>
  <si>
    <t>700</t>
  </si>
  <si>
    <t>1400</t>
  </si>
  <si>
    <t>13000</t>
  </si>
  <si>
    <t>Forvaltningen</t>
  </si>
  <si>
    <t>Reimar skolen</t>
  </si>
  <si>
    <t>Børnehaven Himmelblå</t>
  </si>
  <si>
    <t>Skole</t>
  </si>
  <si>
    <t>Brændstation</t>
  </si>
  <si>
    <t>Feriekoloni</t>
  </si>
  <si>
    <t>gl. skole</t>
  </si>
  <si>
    <t>Havn</t>
  </si>
  <si>
    <t>Kommunale Ejdomme Egernsund Havn/Skur</t>
  </si>
  <si>
    <t>Langgade</t>
  </si>
  <si>
    <t>Brunsnæs-Fjordvejen</t>
  </si>
  <si>
    <t>Markbæk</t>
  </si>
  <si>
    <t>Nørre Havnegade</t>
  </si>
  <si>
    <t>Banegårdsgade</t>
  </si>
  <si>
    <t>Johan Hansens Vej</t>
  </si>
  <si>
    <t>Dyrkobbelgård Allé</t>
  </si>
  <si>
    <t>Vemmingbundstrandvej</t>
  </si>
  <si>
    <t>Elmbjergvej</t>
  </si>
  <si>
    <t>Dybbølgade</t>
  </si>
  <si>
    <t>Kløverlykke</t>
  </si>
  <si>
    <t>Vøl-Bo</t>
  </si>
  <si>
    <t>Verdens Ende</t>
  </si>
  <si>
    <t>Nejs Bjerg</t>
  </si>
  <si>
    <t>Peerløkke</t>
  </si>
  <si>
    <t>Planetvej</t>
  </si>
  <si>
    <t>Dyrhøj</t>
  </si>
  <si>
    <t>Helgolandsgade</t>
  </si>
  <si>
    <t>Påkjær</t>
  </si>
  <si>
    <t>Gammeldam</t>
  </si>
  <si>
    <t>Mariegade</t>
  </si>
  <si>
    <t>Voldgade</t>
  </si>
  <si>
    <t>Grundtvigs Alle</t>
  </si>
  <si>
    <t>Kærvej</t>
  </si>
  <si>
    <t>STRANDVEJ</t>
  </si>
  <si>
    <t>Goethesgade</t>
  </si>
  <si>
    <t>Ved Mølledammen</t>
  </si>
  <si>
    <t>Løngang</t>
  </si>
  <si>
    <t>Møllevang</t>
  </si>
  <si>
    <t>Kirke Alle</t>
  </si>
  <si>
    <t>Nørrebro</t>
  </si>
  <si>
    <t>Havbogade</t>
  </si>
  <si>
    <t>Perlegade</t>
  </si>
  <si>
    <t>Lindevang</t>
  </si>
  <si>
    <t>Højvang</t>
  </si>
  <si>
    <t>Jernbanegade</t>
  </si>
  <si>
    <t>Tandsbjerg</t>
  </si>
  <si>
    <t>Kastanie Alle</t>
  </si>
  <si>
    <t>Rådhustorvet</t>
  </si>
  <si>
    <t>Lille Rådhusgade</t>
  </si>
  <si>
    <t>Rosengade</t>
  </si>
  <si>
    <t>Sønderbro</t>
  </si>
  <si>
    <t>Bjerggade</t>
  </si>
  <si>
    <t>Asylvej</t>
  </si>
  <si>
    <t>Brorsonsvej</t>
  </si>
  <si>
    <t>Arnkilgade</t>
  </si>
  <si>
    <t>BOSAGERGÅRDEN</t>
  </si>
  <si>
    <t>DYBBØLGADE</t>
  </si>
  <si>
    <t>Redstedsgade</t>
  </si>
  <si>
    <t>B.S.Ingemanns Vej</t>
  </si>
  <si>
    <t>Sundquistsgade</t>
  </si>
  <si>
    <t>258/508</t>
  </si>
  <si>
    <t>9999</t>
  </si>
  <si>
    <t>109/110</t>
  </si>
  <si>
    <t>Lysabild Skole</t>
  </si>
  <si>
    <t>Sydalshallen</t>
  </si>
  <si>
    <t>Sfo Augustenborg Skole 3210334903</t>
  </si>
  <si>
    <t>Dybbøl Børnehave</t>
  </si>
  <si>
    <t>Nejs Børnegården</t>
  </si>
  <si>
    <t>Jan Matzen</t>
  </si>
  <si>
    <t>Materialegård Industrivej</t>
  </si>
  <si>
    <t>Idrætshuset</t>
  </si>
  <si>
    <t>Skelde Gymnastikfor</t>
  </si>
  <si>
    <t>Augustenborg Ny Børnehave</t>
  </si>
  <si>
    <t>Kto Nr 5131854902</t>
  </si>
  <si>
    <t xml:space="preserve">Kærnehuset </t>
  </si>
  <si>
    <t>Kegnæs Brandværn</t>
  </si>
  <si>
    <t>110 502 49-04</t>
  </si>
  <si>
    <t>Kompetancecentret Sønderborg kommune</t>
  </si>
  <si>
    <t>Brugerstedet Søndervang</t>
  </si>
  <si>
    <t>Rensningsanlæg Baså</t>
  </si>
  <si>
    <t>Nr 5133204905 Kto</t>
  </si>
  <si>
    <t>Nordborg Bibliotek</t>
  </si>
  <si>
    <t>010221 02 17</t>
  </si>
  <si>
    <t>Att. Inga Christensen</t>
  </si>
  <si>
    <t xml:space="preserve">Brandstation </t>
  </si>
  <si>
    <t>høruphal</t>
  </si>
  <si>
    <t>sfo</t>
  </si>
  <si>
    <t>Allé gade</t>
  </si>
  <si>
    <t>Broager</t>
  </si>
  <si>
    <t>Bosager</t>
  </si>
  <si>
    <t xml:space="preserve">Bækvej </t>
  </si>
  <si>
    <t>Mellemvej</t>
  </si>
  <si>
    <t xml:space="preserve">Palævej </t>
  </si>
  <si>
    <t xml:space="preserve">Bygaden </t>
  </si>
  <si>
    <t xml:space="preserve">Skolevænget </t>
  </si>
  <si>
    <t>Gl. Aabenraavej</t>
  </si>
  <si>
    <t xml:space="preserve">Gyden </t>
  </si>
  <si>
    <t>Eckersbergsvej</t>
  </si>
  <si>
    <t>Egernsund</t>
  </si>
  <si>
    <r>
      <t>19</t>
    </r>
    <r>
      <rPr>
        <sz val="11"/>
        <color indexed="10"/>
        <rFont val="Calibri"/>
        <family val="2"/>
      </rPr>
      <t xml:space="preserve"> A+B</t>
    </r>
  </si>
  <si>
    <t>18--20</t>
  </si>
  <si>
    <t>Arnkilsgade</t>
  </si>
  <si>
    <t>Rendbjergevj</t>
  </si>
  <si>
    <t>Flindtholmvej</t>
  </si>
  <si>
    <t>Gammelguderup</t>
  </si>
  <si>
    <r>
      <t xml:space="preserve">(19) </t>
    </r>
    <r>
      <rPr>
        <sz val="11"/>
        <color indexed="10"/>
        <rFont val="Calibri"/>
        <family val="2"/>
      </rPr>
      <t>21</t>
    </r>
  </si>
  <si>
    <t>Løngangen</t>
  </si>
  <si>
    <t>Dalsmark</t>
  </si>
  <si>
    <t>5--13</t>
  </si>
  <si>
    <t>Katforde</t>
  </si>
  <si>
    <t>20-22</t>
  </si>
  <si>
    <r>
      <t xml:space="preserve">Bakkensbro </t>
    </r>
    <r>
      <rPr>
        <sz val="11"/>
        <color indexed="10"/>
        <rFont val="Calibri"/>
        <family val="2"/>
      </rPr>
      <t>(</t>
    </r>
    <r>
      <rPr>
        <sz val="11"/>
        <color indexed="8"/>
        <rFont val="Calibri"/>
      </rPr>
      <t>Skole</t>
    </r>
    <r>
      <rPr>
        <sz val="11"/>
        <color indexed="10"/>
        <rFont val="Calibri"/>
        <family val="2"/>
      </rPr>
      <t>)</t>
    </r>
  </si>
  <si>
    <t>Hedder Bakkensbro 6-12</t>
  </si>
  <si>
    <t>21-23</t>
  </si>
  <si>
    <t>Nordborgevj</t>
  </si>
  <si>
    <r>
      <t xml:space="preserve">(A) </t>
    </r>
    <r>
      <rPr>
        <sz val="10"/>
        <color indexed="10"/>
        <rFont val="Arial"/>
        <family val="2"/>
      </rPr>
      <t>B</t>
    </r>
  </si>
  <si>
    <t>Nybøl Skole hører under Videnvej 2</t>
  </si>
  <si>
    <t>Overgår til sfo - Kværs skole (10)</t>
  </si>
  <si>
    <t>427</t>
  </si>
  <si>
    <t>428</t>
  </si>
  <si>
    <t>429</t>
  </si>
  <si>
    <t>503</t>
  </si>
  <si>
    <t>505</t>
  </si>
  <si>
    <t>506</t>
  </si>
  <si>
    <t>508</t>
  </si>
  <si>
    <t>509</t>
  </si>
  <si>
    <t>510</t>
  </si>
  <si>
    <t>511</t>
  </si>
  <si>
    <t>513</t>
  </si>
  <si>
    <t>514</t>
  </si>
  <si>
    <t>517</t>
  </si>
  <si>
    <t>520</t>
  </si>
  <si>
    <t>519</t>
  </si>
  <si>
    <t>524</t>
  </si>
  <si>
    <t>601</t>
  </si>
  <si>
    <t>602</t>
  </si>
  <si>
    <t>603</t>
  </si>
  <si>
    <t>604</t>
  </si>
  <si>
    <t>702</t>
  </si>
  <si>
    <t>703</t>
  </si>
  <si>
    <t>706</t>
  </si>
  <si>
    <t>709</t>
  </si>
  <si>
    <t>710</t>
  </si>
  <si>
    <t>711</t>
  </si>
  <si>
    <t>712</t>
  </si>
  <si>
    <t>713</t>
  </si>
  <si>
    <t>714</t>
  </si>
  <si>
    <t>715</t>
  </si>
  <si>
    <t>716</t>
  </si>
  <si>
    <t>719</t>
  </si>
  <si>
    <t>720</t>
  </si>
  <si>
    <t>721</t>
  </si>
  <si>
    <t>722</t>
  </si>
  <si>
    <t>723</t>
  </si>
  <si>
    <t>724</t>
  </si>
  <si>
    <t>725</t>
  </si>
  <si>
    <t>801</t>
  </si>
  <si>
    <t>Thinggård Beholderen</t>
  </si>
  <si>
    <t>Asserballe Skole 0111454906</t>
  </si>
  <si>
    <t>301 210 2304 - Lysabild Skole</t>
  </si>
  <si>
    <t>Kværs Skole</t>
  </si>
  <si>
    <t>Sundeved Kommune</t>
  </si>
  <si>
    <t>Gammeltoft</t>
  </si>
  <si>
    <t>Blæsborg</t>
  </si>
  <si>
    <t>Solvangen</t>
  </si>
  <si>
    <t>Østerbyvej</t>
  </si>
  <si>
    <t>Avnbølvej</t>
  </si>
  <si>
    <t>Ahlmannsvej</t>
  </si>
  <si>
    <t>SFO</t>
  </si>
  <si>
    <t>Aktivitetscentret Sønderborg Kommune</t>
  </si>
  <si>
    <t>Fryndesholmskolen</t>
  </si>
  <si>
    <t>Rideklub Nordals</t>
  </si>
  <si>
    <t>Holm Sogneforening</t>
  </si>
  <si>
    <t>Havnbjerg Skole</t>
  </si>
  <si>
    <t>Spiloppen Børnehuset</t>
  </si>
  <si>
    <t>Pøl Børnehave</t>
  </si>
  <si>
    <t>Egernsundbroen</t>
  </si>
  <si>
    <t>Biblioteket Vester Sottrup</t>
  </si>
  <si>
    <t>Pladsanvisningen Børn og Uddannelse</t>
  </si>
  <si>
    <t>Brandstationen, Gråsten</t>
  </si>
  <si>
    <t>Broagerlands Lokalarkiv</t>
  </si>
  <si>
    <t>Himmelblå Børnehaven</t>
  </si>
  <si>
    <t>Kig Ind værestedet</t>
  </si>
  <si>
    <t>For Sundeved Historisk Forening</t>
  </si>
  <si>
    <t>Asserballe Skole</t>
  </si>
  <si>
    <t>Lærkebo Botilbud</t>
  </si>
  <si>
    <t>831</t>
  </si>
  <si>
    <t>Klubhus</t>
  </si>
  <si>
    <t>Caroline-Amalie Gården</t>
  </si>
  <si>
    <t>Børnehaven Bulderby</t>
  </si>
  <si>
    <t>Kong Chr X Bro</t>
  </si>
  <si>
    <t>Gråsten Plejecenter</t>
  </si>
  <si>
    <t>Kommunekontoret</t>
  </si>
  <si>
    <t>Borrevej</t>
  </si>
  <si>
    <t>Svinget</t>
  </si>
  <si>
    <t>Nydamskolen</t>
  </si>
  <si>
    <t>Nydam Sfo</t>
  </si>
  <si>
    <t>Sundeved Fritidshjem</t>
  </si>
  <si>
    <t>Stationsvej</t>
  </si>
  <si>
    <t>Notmark</t>
  </si>
  <si>
    <t>Rendbjergvej</t>
  </si>
  <si>
    <t>Alsingergården (Har haft olie)</t>
  </si>
  <si>
    <t>Guderup Børnehave (har haft olie)</t>
  </si>
  <si>
    <t>Nordborg Skole (har haft olie)</t>
  </si>
  <si>
    <t>Knøs gård (har haft olie)</t>
  </si>
  <si>
    <t>Lagerhal</t>
  </si>
  <si>
    <t>Årsbjerg Idrætsanlæg V/4</t>
  </si>
  <si>
    <t>Børnetandplejen</t>
  </si>
  <si>
    <t>Svenstrup Sprøjtehus 110 125 23-09</t>
  </si>
  <si>
    <t>"børnehuset"</t>
  </si>
  <si>
    <t>Bakkensbro Skole</t>
  </si>
  <si>
    <t>anden form</t>
  </si>
  <si>
    <t>Skovvej</t>
  </si>
  <si>
    <t>Tingstedvej</t>
  </si>
  <si>
    <t>Børnehave</t>
  </si>
  <si>
    <t>Bro Børnehus</t>
  </si>
  <si>
    <t>Plejecenter Dybbøl</t>
  </si>
  <si>
    <t>Ringridervej</t>
  </si>
  <si>
    <t>Asgårdsvej</t>
  </si>
  <si>
    <t>Vesterballe</t>
  </si>
  <si>
    <t>Skeldevej</t>
  </si>
  <si>
    <t>Mosevang</t>
  </si>
  <si>
    <t>Herles</t>
  </si>
  <si>
    <t>Skodsbølvej</t>
  </si>
  <si>
    <t>Tvedmark</t>
  </si>
  <si>
    <t>Kær Bygade</t>
  </si>
  <si>
    <t>Smøl</t>
  </si>
  <si>
    <t>Tørsbølgade</t>
  </si>
  <si>
    <t>Rufasvej</t>
  </si>
  <si>
    <t>Humlehøj Skolen</t>
  </si>
  <si>
    <t>Hjortspring Børnehuset</t>
  </si>
  <si>
    <t>Børn og uddannelse</t>
  </si>
  <si>
    <t>1000</t>
  </si>
  <si>
    <t>900</t>
  </si>
  <si>
    <t>9</t>
  </si>
  <si>
    <t>Pulje nr.</t>
  </si>
  <si>
    <t>300</t>
  </si>
  <si>
    <t>800</t>
  </si>
  <si>
    <t>Rådhus</t>
  </si>
  <si>
    <t>500</t>
  </si>
  <si>
    <t>400</t>
  </si>
  <si>
    <t>1300</t>
  </si>
  <si>
    <t>1200</t>
  </si>
  <si>
    <t>600</t>
  </si>
  <si>
    <t>Gadelys</t>
  </si>
  <si>
    <t>(placering af kultur og fritid) kan ikke oplyses, udlejning</t>
  </si>
  <si>
    <t>Mwh</t>
  </si>
  <si>
    <t>Sportsplads &amp; Omklædning(ikke oplyst)</t>
  </si>
  <si>
    <t>Børnehaven(ikke oplyst)</t>
  </si>
  <si>
    <t>Idrætshuset(ikke oplyst)</t>
  </si>
  <si>
    <t>Lagerhal Industrivej(skal ikke medtages)</t>
  </si>
  <si>
    <t>Nordborg Kommunale Tandpleje er på skolen</t>
  </si>
  <si>
    <t>Skovbørnehave8ikke oplyst)</t>
  </si>
  <si>
    <t>Sundeved Børnetandklinik</t>
  </si>
  <si>
    <t>Teknik &amp; Miljø Stolbroladen</t>
  </si>
  <si>
    <t>Egernsundbro</t>
  </si>
  <si>
    <t>Egevej</t>
  </si>
  <si>
    <t>Stenager</t>
  </si>
  <si>
    <t>Bakken</t>
  </si>
  <si>
    <t>Spang</t>
  </si>
  <si>
    <t>Primulavej</t>
  </si>
  <si>
    <t>Sønderborg Landevej</t>
  </si>
  <si>
    <t>Trappen</t>
  </si>
  <si>
    <t>Arnkilsmaj</t>
  </si>
  <si>
    <t>Vibøgevej</t>
  </si>
  <si>
    <t>Nørre Landevej</t>
  </si>
  <si>
    <t>Peter Johnsens Vej</t>
  </si>
  <si>
    <t>Kastanievej</t>
  </si>
  <si>
    <t>Sønderbygade</t>
  </si>
  <si>
    <t>Nørretoft</t>
  </si>
  <si>
    <t>Ulsnæs</t>
  </si>
  <si>
    <t>Gråsten skole</t>
  </si>
  <si>
    <t>Bækvej</t>
  </si>
  <si>
    <t>Hyldestub</t>
  </si>
  <si>
    <t>Nejs Møllevej</t>
  </si>
  <si>
    <t>Gammel Guderup</t>
  </si>
  <si>
    <t>Kavsløkke</t>
  </si>
  <si>
    <t>Illervej</t>
  </si>
  <si>
    <t>Højlund</t>
  </si>
  <si>
    <t>Tinggårdvej</t>
  </si>
  <si>
    <t>Strandvej</t>
  </si>
  <si>
    <t>Langdel</t>
  </si>
  <si>
    <t>Parkvej</t>
  </si>
  <si>
    <t>Gammel Fabriksvej</t>
  </si>
  <si>
    <t>Asserballe St</t>
  </si>
  <si>
    <t>Dalsgårdvej</t>
  </si>
  <si>
    <t>Stranderød</t>
  </si>
  <si>
    <t>1331</t>
  </si>
  <si>
    <t xml:space="preserve">Gråsten </t>
  </si>
  <si>
    <t>IKKE AKTIV</t>
  </si>
  <si>
    <t>Ahlefeldvej</t>
  </si>
  <si>
    <t>Bredmaj</t>
  </si>
  <si>
    <t>Tværvej</t>
  </si>
  <si>
    <t>Teglparken</t>
  </si>
  <si>
    <t>Mysundevej</t>
  </si>
  <si>
    <t>Borgmester Andersens Vej</t>
  </si>
  <si>
    <t>Dyrkobbel</t>
  </si>
  <si>
    <t>Ravnsbjergvej</t>
  </si>
  <si>
    <t>Fægteborgvej</t>
  </si>
  <si>
    <t>Slesvigvej</t>
  </si>
  <si>
    <t>Østervej</t>
  </si>
  <si>
    <t>Solskrænten</t>
  </si>
  <si>
    <t>Rådyrvej</t>
  </si>
  <si>
    <t>Konkel</t>
  </si>
  <si>
    <t>Trenevej</t>
  </si>
  <si>
    <t>Østager</t>
  </si>
  <si>
    <t>Stadionvej</t>
  </si>
  <si>
    <t>Sletmarken</t>
  </si>
  <si>
    <t>Kallehave</t>
  </si>
  <si>
    <t>Svennesmølle</t>
  </si>
  <si>
    <t>Langbro</t>
  </si>
  <si>
    <t>Palævej</t>
  </si>
  <si>
    <t>Skråvej</t>
  </si>
  <si>
    <t>Lågmajvej</t>
  </si>
  <si>
    <t>Rådhuset</t>
  </si>
  <si>
    <t>Depot</t>
  </si>
  <si>
    <t>Teknisk Forvaltning</t>
  </si>
  <si>
    <t>Klynstien</t>
  </si>
  <si>
    <t>Østerkobbel</t>
  </si>
  <si>
    <t>Guderupvej</t>
  </si>
  <si>
    <t>Bispevænget</t>
  </si>
  <si>
    <t>Hjortspringvej</t>
  </si>
  <si>
    <t>Møllegade</t>
  </si>
  <si>
    <t>Kådnervej</t>
  </si>
  <si>
    <t>Nordborgvej</t>
  </si>
  <si>
    <t>Ertebjerg Bygade</t>
  </si>
  <si>
    <t>Spang Vade</t>
  </si>
  <si>
    <t>Midtballe</t>
  </si>
  <si>
    <t>Eckersbergvej</t>
  </si>
  <si>
    <t>Bøgelyvej</t>
  </si>
  <si>
    <t>Bakkensbro</t>
  </si>
  <si>
    <t>Søndergade</t>
  </si>
  <si>
    <t>Runevænget</t>
  </si>
  <si>
    <t>Stolbro Gade</t>
  </si>
  <si>
    <t>Slåenhegnet</t>
  </si>
  <si>
    <t>Stenholt</t>
  </si>
  <si>
    <t>Amtsvejen</t>
  </si>
  <si>
    <t>Østerhaven</t>
  </si>
  <si>
    <t>Gyden</t>
  </si>
  <si>
    <t>Th. Brorsens Vej</t>
  </si>
  <si>
    <t>Holmvej</t>
  </si>
  <si>
    <t>Søndertoft</t>
  </si>
  <si>
    <t>Augustenhofvej</t>
  </si>
  <si>
    <t>Palmose</t>
  </si>
  <si>
    <t>Kegnæsvej</t>
  </si>
  <si>
    <t>Kværsgade</t>
  </si>
  <si>
    <t>Skovsholm</t>
  </si>
  <si>
    <t>Lærkevej</t>
  </si>
  <si>
    <t>Søvej</t>
  </si>
  <si>
    <t>Flensborg Landevej</t>
  </si>
  <si>
    <t>Slotsbakken</t>
  </si>
  <si>
    <t>Parkgade</t>
  </si>
  <si>
    <t>Stjernevej</t>
  </si>
  <si>
    <t>Gammel Skolevej</t>
  </si>
  <si>
    <t>Rubæk</t>
  </si>
  <si>
    <t>Skoletoften</t>
  </si>
  <si>
    <t>Sjellerupvej</t>
  </si>
  <si>
    <t>Johs Kochsvej</t>
  </si>
  <si>
    <t>Kirkegårdsvej</t>
  </si>
  <si>
    <t>Peblingestien</t>
  </si>
  <si>
    <t>Damvej</t>
  </si>
  <si>
    <t>Augustenborg Landevej</t>
  </si>
  <si>
    <t>Sandvej</t>
  </si>
  <si>
    <t>Ugebjergvej</t>
  </si>
  <si>
    <t>Elstrup Overby</t>
  </si>
  <si>
    <t>Østkystvejen</t>
  </si>
  <si>
    <t>Lupinvej</t>
  </si>
  <si>
    <t>Stjerneparken</t>
  </si>
  <si>
    <t>Højholt</t>
  </si>
  <si>
    <t>Østerbakken</t>
  </si>
  <si>
    <t>Snogbækskov</t>
  </si>
  <si>
    <t>Damgade</t>
  </si>
  <si>
    <t>Egeskovvej</t>
  </si>
  <si>
    <t>Familiehuset Kernen</t>
  </si>
  <si>
    <t>Serviceareal</t>
  </si>
  <si>
    <t>Sfo</t>
  </si>
  <si>
    <t>Børnehaven Parken</t>
  </si>
  <si>
    <t>802</t>
  </si>
  <si>
    <t>803</t>
  </si>
  <si>
    <t>804</t>
  </si>
  <si>
    <t>806</t>
  </si>
  <si>
    <t>807</t>
  </si>
  <si>
    <t>809</t>
  </si>
  <si>
    <t>810</t>
  </si>
  <si>
    <t>811</t>
  </si>
  <si>
    <t>812</t>
  </si>
  <si>
    <t>813</t>
  </si>
  <si>
    <t>814</t>
  </si>
  <si>
    <t>816</t>
  </si>
  <si>
    <t>817</t>
  </si>
  <si>
    <t>819</t>
  </si>
  <si>
    <t>820</t>
  </si>
  <si>
    <t>822</t>
  </si>
  <si>
    <t>823</t>
  </si>
  <si>
    <t>825</t>
  </si>
  <si>
    <t>826</t>
  </si>
  <si>
    <t>827</t>
  </si>
  <si>
    <t>828</t>
  </si>
  <si>
    <t>830</t>
  </si>
  <si>
    <t>832</t>
  </si>
  <si>
    <t>833</t>
  </si>
  <si>
    <t>835</t>
  </si>
  <si>
    <t>836</t>
  </si>
  <si>
    <t>838</t>
  </si>
  <si>
    <t>839</t>
  </si>
  <si>
    <t>840</t>
  </si>
  <si>
    <t>842</t>
  </si>
  <si>
    <t>843</t>
  </si>
  <si>
    <t>844</t>
  </si>
  <si>
    <t>846</t>
  </si>
  <si>
    <t>901</t>
  </si>
  <si>
    <t>903</t>
  </si>
  <si>
    <t>902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</si>
  <si>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</si>
  <si>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</si>
  <si>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</si>
  <si>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</si>
  <si>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</si>
  <si>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</si>
  <si>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</si>
  <si>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</si>
  <si>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</si>
  <si>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</si>
  <si>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915</t>
  </si>
  <si>
    <t>916</t>
  </si>
  <si>
    <t>918</t>
  </si>
  <si>
    <t>919</t>
  </si>
  <si>
    <t>920</t>
  </si>
  <si>
    <t>921</t>
  </si>
  <si>
    <t>922</t>
  </si>
  <si>
    <t>923</t>
  </si>
  <si>
    <t>924</t>
  </si>
  <si>
    <t>925</t>
  </si>
  <si>
    <t>927</t>
  </si>
  <si>
    <t>928</t>
  </si>
  <si>
    <t>929</t>
  </si>
  <si>
    <t>930</t>
  </si>
  <si>
    <t>931</t>
  </si>
  <si>
    <t>932</t>
  </si>
  <si>
    <t>933</t>
  </si>
  <si>
    <t>935</t>
  </si>
  <si>
    <t>937</t>
  </si>
  <si>
    <t>938</t>
  </si>
  <si>
    <t>939</t>
  </si>
  <si>
    <t>943</t>
  </si>
  <si>
    <t>Bygn. Nr.</t>
  </si>
  <si>
    <t>Anden form (plejehjem)</t>
  </si>
  <si>
    <t>Spejdergården</t>
  </si>
  <si>
    <t>Skovbørnehave</t>
  </si>
  <si>
    <t>102</t>
  </si>
  <si>
    <t>105</t>
  </si>
  <si>
    <t>108</t>
  </si>
  <si>
    <t>107</t>
  </si>
  <si>
    <t>Afregningsdato</t>
  </si>
  <si>
    <t>31.05</t>
  </si>
  <si>
    <t>Enhed</t>
  </si>
  <si>
    <t>GJ</t>
  </si>
  <si>
    <t>Menighedsplejens Børnehave</t>
  </si>
  <si>
    <t>Engelshøjgade Børnehaven</t>
  </si>
  <si>
    <t>Menighedsplejens Vuggestue</t>
  </si>
  <si>
    <t>Tandsbjerg Plejehjem</t>
  </si>
  <si>
    <t>Børnehaven Skratmosen</t>
  </si>
  <si>
    <t>Toften Børnehaven</t>
  </si>
  <si>
    <t>Kløvermarken Børnehaven</t>
  </si>
  <si>
    <t>Sønderborg Havnekontor</t>
  </si>
  <si>
    <t>Børnehaven Rådyrvej</t>
  </si>
  <si>
    <t>301</t>
  </si>
  <si>
    <t>302</t>
  </si>
  <si>
    <t>303</t>
  </si>
  <si>
    <t>309</t>
  </si>
  <si>
    <t>316</t>
  </si>
  <si>
    <t>306</t>
  </si>
  <si>
    <t>315</t>
  </si>
  <si>
    <t>320</t>
  </si>
  <si>
    <t>323</t>
  </si>
  <si>
    <t>304</t>
  </si>
  <si>
    <t>317</t>
  </si>
  <si>
    <t>Broager Kommune</t>
  </si>
  <si>
    <t>Biograf Nordborg</t>
  </si>
  <si>
    <t>Sundeved Kommunes Ejd.</t>
  </si>
  <si>
    <t>Susanne Jessen</t>
  </si>
  <si>
    <t>SØNDERBORG KOMMUNE</t>
  </si>
  <si>
    <t>Alnor Fyr</t>
  </si>
  <si>
    <t>Bibliotek</t>
  </si>
  <si>
    <t>504</t>
  </si>
  <si>
    <t>Dybbøl skolen</t>
  </si>
  <si>
    <t>834/518</t>
  </si>
  <si>
    <t>521/522</t>
  </si>
  <si>
    <t xml:space="preserve">Rideskolen - nedlagt </t>
  </si>
  <si>
    <t>49a</t>
  </si>
  <si>
    <t>Knøs Gård</t>
  </si>
  <si>
    <t>705</t>
  </si>
  <si>
    <t>808/805</t>
  </si>
  <si>
    <t>Fyndesholmskolen</t>
  </si>
  <si>
    <t>824</t>
  </si>
  <si>
    <t>1210/1208/1209</t>
  </si>
  <si>
    <t>Mur og lille bygning</t>
  </si>
  <si>
    <t>1322</t>
  </si>
  <si>
    <t>Egen brandstaion</t>
  </si>
  <si>
    <t>Trykforøgerstation</t>
  </si>
  <si>
    <t>1425</t>
  </si>
  <si>
    <t>1a</t>
  </si>
  <si>
    <t>1429</t>
  </si>
  <si>
    <t>1523</t>
  </si>
  <si>
    <t>xxxx</t>
  </si>
  <si>
    <t>798</t>
  </si>
  <si>
    <t>404</t>
  </si>
  <si>
    <t>2000</t>
  </si>
  <si>
    <t>Ulkebøl bibliotek</t>
  </si>
  <si>
    <t>Varroc Engineering Pvt Ltd Skal ikke medtages</t>
  </si>
  <si>
    <t>Æ Kleinban Skal ikke medtages</t>
  </si>
  <si>
    <t>Holm Sogneforening Skal ikke medtages</t>
  </si>
  <si>
    <t>Klublokale Fremad Skal ikke medtages</t>
  </si>
  <si>
    <t>Knallertværksted Skal ikke medtages</t>
  </si>
  <si>
    <t>Dam Værket Mjang Skal ikke medtages</t>
  </si>
  <si>
    <t>Vejerkontoret</t>
  </si>
  <si>
    <t>Sønderborg Kommune Ladegården</t>
  </si>
  <si>
    <t>Sønderborg Kommune Kajstikk</t>
  </si>
  <si>
    <t>Fælles Lejligh. &amp; Værested</t>
  </si>
  <si>
    <t>Kollektivboliger</t>
  </si>
  <si>
    <t>Kultur &amp; Fritid</t>
  </si>
  <si>
    <t>Børnehuset Møllen</t>
  </si>
  <si>
    <t>Møllegades Børnehave</t>
  </si>
  <si>
    <t>Rådhusanneks</t>
  </si>
  <si>
    <t>Sydals Plejehjem</t>
  </si>
  <si>
    <t>Rendbjerghjemmet</t>
  </si>
  <si>
    <t>Bro brandstation</t>
  </si>
  <si>
    <t>Nordborg biograg</t>
  </si>
  <si>
    <t>Akæologisk samling</t>
  </si>
  <si>
    <t>Nordborg</t>
  </si>
  <si>
    <t>Broager brandstation</t>
  </si>
  <si>
    <t xml:space="preserve">Mommarkvej </t>
  </si>
  <si>
    <t>5a</t>
  </si>
  <si>
    <t>Naturværkstedet</t>
  </si>
  <si>
    <t>2a</t>
  </si>
  <si>
    <t>Sønderborg</t>
  </si>
  <si>
    <t>Materialegården</t>
  </si>
  <si>
    <t>Tuenbrovej</t>
  </si>
  <si>
    <t>Nybøl plejehjem</t>
  </si>
  <si>
    <t>Nybøl</t>
  </si>
  <si>
    <t>Sønderborg lystbådehavn</t>
  </si>
  <si>
    <t>2b</t>
  </si>
  <si>
    <t>Børnehuset i Rinkenæs</t>
  </si>
  <si>
    <t>Børnehuset Tangsmose</t>
  </si>
  <si>
    <t>Tangsmose</t>
  </si>
  <si>
    <t>Guderup Hallen</t>
  </si>
  <si>
    <t>Lysabild Frivillig Brandværn</t>
  </si>
  <si>
    <t>Sydals</t>
  </si>
  <si>
    <t>Nordborg Medborgerhus</t>
  </si>
  <si>
    <t>Guderup</t>
  </si>
  <si>
    <t>1001</t>
  </si>
  <si>
    <t>1103</t>
  </si>
  <si>
    <t>1201</t>
  </si>
  <si>
    <t>1202</t>
  </si>
  <si>
    <t>1203</t>
  </si>
  <si>
    <t>1204</t>
  </si>
  <si>
    <t>1205</t>
  </si>
  <si>
    <t>1207</t>
  </si>
  <si>
    <t>1211</t>
  </si>
  <si>
    <t>Gråsten Kommune</t>
  </si>
  <si>
    <t>Solhjem</t>
  </si>
  <si>
    <t>Adsbøl Klubhus</t>
  </si>
  <si>
    <t>Gråsten Skole</t>
  </si>
  <si>
    <t>Nybøl Skole</t>
  </si>
  <si>
    <t>Brandstationen</t>
  </si>
  <si>
    <t>Skole- og Socialforvaltningen</t>
  </si>
  <si>
    <t>Gl Fodboldbane</t>
  </si>
  <si>
    <t>kommunale ejendomme</t>
  </si>
  <si>
    <t>Sdb Komm Teknisk Forvaltning</t>
  </si>
  <si>
    <t>V/ Finn Hansen</t>
  </si>
  <si>
    <t>Sammenlægningssekretariatet</t>
  </si>
  <si>
    <t>Klublokale Fremad</t>
  </si>
  <si>
    <t>Omklædningsrum</t>
  </si>
  <si>
    <t>Hovedbiblioteket</t>
  </si>
  <si>
    <t>Tom Kublick og Bitten Albers</t>
  </si>
  <si>
    <t>(placering af kultur og fritid)</t>
  </si>
  <si>
    <t>Ferieregion Sønderborg</t>
  </si>
  <si>
    <t>Toiletbygn Lystbådehavnen</t>
  </si>
  <si>
    <t>Naverne</t>
  </si>
  <si>
    <t>v/ kasserer Jette Rasmussen</t>
  </si>
  <si>
    <t>Pension- &amp; Boligrådgivning</t>
  </si>
  <si>
    <t>Rådhusforvaltningen</t>
  </si>
  <si>
    <t>Augustenborg Skole</t>
  </si>
  <si>
    <t>Tandklinik</t>
  </si>
  <si>
    <t>2008</t>
  </si>
  <si>
    <t>2007</t>
  </si>
  <si>
    <t>Villa Anna''s Minde</t>
  </si>
  <si>
    <t>Ungdomsklub</t>
  </si>
  <si>
    <t>Rinkenæs Skole</t>
  </si>
  <si>
    <t>Guderup Børnehave</t>
  </si>
  <si>
    <t>Fynshav Børnehave</t>
  </si>
  <si>
    <t>Ulkebøl Børnehave</t>
  </si>
  <si>
    <t>Broager Folkebørnehave</t>
  </si>
  <si>
    <t>Kobberholmvej</t>
  </si>
  <si>
    <t>Degnevænget</t>
  </si>
  <si>
    <t>Torvet</t>
  </si>
  <si>
    <t>A D Jørgensensgade</t>
  </si>
  <si>
    <t>Toldbodgade</t>
  </si>
  <si>
    <t>Nygade</t>
  </si>
  <si>
    <t>Kystvej</t>
  </si>
  <si>
    <t>Ringgade</t>
  </si>
  <si>
    <t>Vestergade</t>
  </si>
  <si>
    <t>Mejerivej</t>
  </si>
  <si>
    <t>Østergade</t>
  </si>
  <si>
    <t>Nejsvej</t>
  </si>
  <si>
    <t>Slotsalle</t>
  </si>
  <si>
    <t>Bygaden</t>
  </si>
  <si>
    <t>Havnen</t>
  </si>
  <si>
    <t>Søvænget</t>
  </si>
  <si>
    <t>Vestervej</t>
  </si>
  <si>
    <t>Løjtertoft</t>
  </si>
  <si>
    <t>Ulbjerggade</t>
  </si>
  <si>
    <t>Mads Clausens Vej</t>
  </si>
  <si>
    <t>Kongevej</t>
  </si>
  <si>
    <t>Blommesvej</t>
  </si>
  <si>
    <t>Brinken</t>
  </si>
  <si>
    <t>Agtoftsvej</t>
  </si>
  <si>
    <t>Sundsmarkvej</t>
  </si>
  <si>
    <t>Midtborrevej</t>
  </si>
  <si>
    <t>Skovgade</t>
  </si>
  <si>
    <t>Kaplenivej</t>
  </si>
  <si>
    <t>Egen Kirkevej</t>
  </si>
  <si>
    <t>Skærtoftvej</t>
  </si>
  <si>
    <t>Holmgade</t>
  </si>
  <si>
    <t>Truenbrovej</t>
  </si>
  <si>
    <t>Gl Færgevej</t>
  </si>
  <si>
    <t>Hummelvig</t>
  </si>
  <si>
    <t>Toftehøj</t>
  </si>
  <si>
    <t>Sørens Møllevej</t>
  </si>
  <si>
    <t>Nederbyvej</t>
  </si>
  <si>
    <t>Bøgevej</t>
  </si>
  <si>
    <t>Kløvermarken</t>
  </si>
  <si>
    <t>Tandshede</t>
  </si>
  <si>
    <t>Krogen</t>
  </si>
  <si>
    <t>Lysabildgade</t>
  </si>
  <si>
    <t>Lyngmosevej</t>
  </si>
  <si>
    <t>Niels Bohrs Vej</t>
  </si>
  <si>
    <t>Avntoftvej</t>
  </si>
  <si>
    <t>Povlstoft</t>
  </si>
  <si>
    <t>Sandagervej</t>
  </si>
  <si>
    <t>Drosselvænget</t>
  </si>
  <si>
    <t>Grævlingevej</t>
  </si>
  <si>
    <t>Søndervang</t>
  </si>
  <si>
    <t>Snogbækvej</t>
  </si>
  <si>
    <t>Storegade 20 - Fagcenter ældre</t>
  </si>
  <si>
    <t>Skovhøj</t>
  </si>
  <si>
    <t>Dybbøløstenvej</t>
  </si>
  <si>
    <t>Alssundvej</t>
  </si>
  <si>
    <t>Tandsbusk</t>
  </si>
  <si>
    <t>Bakkevænget</t>
  </si>
  <si>
    <t>Stationsgade</t>
  </si>
  <si>
    <t>Helved</t>
  </si>
  <si>
    <t>Forsyningsvirksomhed</t>
  </si>
  <si>
    <t>Fjernvarme</t>
  </si>
  <si>
    <t>Gas</t>
  </si>
  <si>
    <t>Olie</t>
  </si>
  <si>
    <t>Broager Komm Ejd</t>
  </si>
  <si>
    <t>Lilleskovens Børnehave</t>
  </si>
  <si>
    <t>Boinstitutionen Kær</t>
  </si>
  <si>
    <t>Kær Boinstitionen</t>
  </si>
  <si>
    <t>Sønderborg Havn</t>
  </si>
  <si>
    <t>Sønderskov-Skolen</t>
  </si>
  <si>
    <t>Menighedsplejens Vuggestuer</t>
  </si>
  <si>
    <t>El  (kWh)</t>
  </si>
  <si>
    <t>Fjernvarme (MWh)</t>
  </si>
  <si>
    <t>Gråsten FJV</t>
  </si>
  <si>
    <t>Broager FJV</t>
  </si>
  <si>
    <t>Aug FJV</t>
  </si>
  <si>
    <t>Sdb. FJV</t>
  </si>
  <si>
    <t>Nordb. FJV</t>
  </si>
  <si>
    <t>BROAGER FJERNVARME I ALT</t>
  </si>
  <si>
    <t>GRÅSTEN FJERNVARME I ALT</t>
  </si>
  <si>
    <t>Olie (liter)</t>
  </si>
  <si>
    <t>Naturgas (nm3)</t>
  </si>
  <si>
    <t>2007 (MWh)</t>
  </si>
  <si>
    <t>2008 (MWh)</t>
  </si>
  <si>
    <t>Graddagskorrigeret</t>
  </si>
  <si>
    <t>CO2 2007</t>
  </si>
  <si>
    <t>CO2 2008</t>
  </si>
  <si>
    <t>supploplys</t>
  </si>
  <si>
    <t>instbenavn</t>
  </si>
  <si>
    <t>forbrug_2009</t>
  </si>
  <si>
    <t>forbrug_2008</t>
  </si>
  <si>
    <t>forbrug_2007</t>
  </si>
  <si>
    <t>4903</t>
  </si>
  <si>
    <t xml:space="preserve">Sti bag </t>
  </si>
  <si>
    <t>V/RØDEGADE</t>
  </si>
  <si>
    <t>V/KLYNS</t>
  </si>
  <si>
    <t>V/POPPELVEJ</t>
  </si>
  <si>
    <t>V/BROMBÆRHEGNET</t>
  </si>
  <si>
    <t>Kirkegård</t>
  </si>
  <si>
    <t>V/NORDBORGVEJ</t>
  </si>
  <si>
    <t>Sidder ved hørtoftevej 22</t>
  </si>
  <si>
    <t>Ved trafo 933</t>
  </si>
  <si>
    <t>V/LUNDENVEJ</t>
  </si>
  <si>
    <t>V/4</t>
  </si>
  <si>
    <t>V/DYBBØLØSTENVEJ</t>
  </si>
  <si>
    <t>V/BLANS ØSTERMARK</t>
  </si>
  <si>
    <t>V/VESTERVANG</t>
  </si>
  <si>
    <t>V/KIRKEVEJ</t>
  </si>
  <si>
    <t>V/ALSSUNDVEJ</t>
  </si>
  <si>
    <t>AABENRAAVEJ</t>
  </si>
  <si>
    <t>Lystbådehavn</t>
  </si>
  <si>
    <t>FestMåler gråsten ringridning</t>
  </si>
  <si>
    <t>V/BJØRNEMOSEN</t>
  </si>
  <si>
    <t>V/MØLLEGADE</t>
  </si>
  <si>
    <t>V/VESTERVEJ</t>
  </si>
  <si>
    <t>Ved trafo 1793</t>
  </si>
  <si>
    <t>Stikkontakter til Kræmmermarked festival</t>
  </si>
  <si>
    <t>Gadelys bag nr. 7  2110442303</t>
  </si>
  <si>
    <t>Skolepatrulje</t>
  </si>
  <si>
    <t>Nordborg Kommune</t>
  </si>
  <si>
    <t>Sønderborg Kommune</t>
  </si>
  <si>
    <t>Ulkebøl Skole</t>
  </si>
  <si>
    <t>Huholt Skole</t>
  </si>
  <si>
    <t>Gadebelysning</t>
  </si>
  <si>
    <t>Broager Rensningsanlæg</t>
  </si>
  <si>
    <t>Engparkens Børnehave</t>
  </si>
  <si>
    <t>Skolen</t>
  </si>
  <si>
    <t>Bibliotek Sundeved</t>
  </si>
  <si>
    <t>Nørreskov Skolen Guderup Afd.</t>
  </si>
  <si>
    <t>Belysning Luffes Plads 2111052304</t>
  </si>
  <si>
    <t>Kværs-Tørsbøl Børnegaard</t>
  </si>
  <si>
    <t>Kværs-Tørsbøl Børnegård</t>
  </si>
  <si>
    <t>solgt</t>
  </si>
  <si>
    <t>1208</t>
  </si>
  <si>
    <t>Kløverlykke Børnehus</t>
  </si>
  <si>
    <t>Områdecenter Mølleparken</t>
  </si>
  <si>
    <t>Omsorgsafd. Rådhuset Att: Ældreråd Ellen</t>
  </si>
  <si>
    <t>Havnekontoret</t>
  </si>
  <si>
    <t xml:space="preserve">Gråsten Kommune </t>
  </si>
  <si>
    <t>BOLIGFORENINGEN AF 6.12.1942</t>
  </si>
  <si>
    <t>Sønderborg Kommunes Adm.Bygning</t>
  </si>
  <si>
    <t>Økonomiafdeling</t>
  </si>
  <si>
    <t>Byggekontoret</t>
  </si>
  <si>
    <t>Saltvandsledning, Vej, Park og Miljø</t>
  </si>
  <si>
    <t>Garnhuset</t>
  </si>
  <si>
    <t>Boligforeningen af 6.12.1942</t>
  </si>
  <si>
    <t>GADEBELYSNING</t>
  </si>
  <si>
    <t>toiletbygning Strandvej Sønderborg</t>
  </si>
  <si>
    <t>Toiletbygning Jernbanegade</t>
  </si>
  <si>
    <t>STI M/JERNBANEGADE</t>
  </si>
  <si>
    <t>BRANDSTATIONEN</t>
  </si>
  <si>
    <t>KVICKLY CYKELKÆLDER</t>
  </si>
  <si>
    <t>V/BORGM ANDERS V</t>
  </si>
  <si>
    <t>PARKERINGSHUSET</t>
  </si>
  <si>
    <t>Skilt til Broen med tider</t>
  </si>
  <si>
    <t>Elforbrug i kommunale ejendomme</t>
  </si>
  <si>
    <t>Elforbrug til gadelys</t>
  </si>
  <si>
    <t>CO2-faktor 2007</t>
  </si>
  <si>
    <t>Olie (MWh)</t>
  </si>
  <si>
    <t>Naturgas (MWh)</t>
  </si>
  <si>
    <t>VARME i alt</t>
  </si>
  <si>
    <t>FORBRUG</t>
  </si>
  <si>
    <t>CO2 -udledning (ton)</t>
  </si>
  <si>
    <t>(Gns. Emissionsfaktor for Vestdanmark 125 % metode inkl. 5% nettab Kilde : www.energinet.dk)</t>
  </si>
  <si>
    <t>jf. fjv beregning ark</t>
  </si>
  <si>
    <t>Udledning, kommunale ejendomme i alt</t>
  </si>
  <si>
    <t>Heraf varme</t>
  </si>
  <si>
    <t xml:space="preserve">Ukorrigeret </t>
  </si>
  <si>
    <t>jan</t>
  </si>
  <si>
    <t>feb</t>
  </si>
  <si>
    <t>marts</t>
  </si>
  <si>
    <t>april</t>
  </si>
  <si>
    <t>maj</t>
  </si>
  <si>
    <t>juni</t>
  </si>
  <si>
    <t>juli</t>
  </si>
  <si>
    <t>aug</t>
  </si>
  <si>
    <t>sep</t>
  </si>
  <si>
    <t>okt</t>
  </si>
  <si>
    <t xml:space="preserve">nov </t>
  </si>
  <si>
    <t>dec</t>
  </si>
  <si>
    <t>i alt</t>
  </si>
  <si>
    <t>Normalår</t>
  </si>
  <si>
    <t>Faktor til normalår</t>
  </si>
  <si>
    <t>graddage</t>
  </si>
  <si>
    <t>faktor</t>
  </si>
  <si>
    <t>1/4 07</t>
  </si>
  <si>
    <t>1/4 08</t>
  </si>
  <si>
    <t>1/6 08</t>
  </si>
  <si>
    <t>liter</t>
  </si>
  <si>
    <t>1/6 09</t>
  </si>
  <si>
    <t>er 2007 i sdb fjv jf. mail fra Lene sternsdorf</t>
  </si>
  <si>
    <t>er 2008 for sdb fjv</t>
  </si>
  <si>
    <t>1/4 09</t>
  </si>
  <si>
    <t>(graddagskorrigeret)</t>
  </si>
  <si>
    <t>m3</t>
  </si>
  <si>
    <t>ton</t>
  </si>
  <si>
    <t xml:space="preserve"> CO2</t>
  </si>
  <si>
    <t>Vej og Park</t>
  </si>
  <si>
    <t>lpg</t>
  </si>
  <si>
    <t>kg/ton</t>
  </si>
  <si>
    <t>ton/m3</t>
  </si>
  <si>
    <t>massefylde</t>
  </si>
  <si>
    <t>Vej/skov og park transportdiesel og benzin</t>
  </si>
  <si>
    <t>Brændstof til kommunale biler ekskl forsyning (mix af benzin og diesel ))</t>
  </si>
  <si>
    <t>Graddagskorrigeret Varmeforbrug i kommunale ejendomme</t>
  </si>
  <si>
    <t>Elforbrug i bygninger</t>
  </si>
  <si>
    <t>Varmeforbrug i bygninger</t>
  </si>
  <si>
    <t>Brændstof til egne og leasede køretøjer</t>
  </si>
  <si>
    <t xml:space="preserve">Brændstof til vej og park </t>
  </si>
  <si>
    <t>I alt</t>
  </si>
  <si>
    <t>Energiforbrug</t>
  </si>
  <si>
    <t xml:space="preserve">ton </t>
  </si>
  <si>
    <t>m³</t>
  </si>
  <si>
    <r>
      <t>CO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udledning</t>
    </r>
  </si>
  <si>
    <t>2010</t>
  </si>
  <si>
    <t>2009</t>
  </si>
  <si>
    <t>Diamanten</t>
  </si>
  <si>
    <t>Rensningsanlæg (ikke registreret i kom. Ejen)</t>
  </si>
  <si>
    <t>Ejd. Nr.</t>
  </si>
  <si>
    <t>Klubhus Nejs</t>
  </si>
  <si>
    <t>Guderup Idrætsanlæg</t>
  </si>
  <si>
    <t>Ahlmannsparken</t>
  </si>
  <si>
    <t>Inspektøren</t>
  </si>
  <si>
    <t>Sfs-Hallen</t>
  </si>
  <si>
    <t>Kommunale Omklædningsrum</t>
  </si>
  <si>
    <t>Børnebyen Havnbjerg</t>
  </si>
  <si>
    <t>Kernehuset</t>
  </si>
  <si>
    <t>Lagerhal Industrivej</t>
  </si>
  <si>
    <t>Kto.Nr. 2050654950</t>
  </si>
  <si>
    <t>Fritidshjem</t>
  </si>
  <si>
    <t>Kto.Nr. 5153354903</t>
  </si>
  <si>
    <t>Vej og Park, Att.: John Møller</t>
  </si>
  <si>
    <t>Broager Rideklub</t>
  </si>
  <si>
    <t xml:space="preserve">Sydals Vej </t>
  </si>
  <si>
    <t>Brandstation</t>
  </si>
  <si>
    <t>adresse</t>
  </si>
  <si>
    <t>husnummer</t>
  </si>
  <si>
    <t>postnum</t>
  </si>
  <si>
    <t>Mjangvej</t>
  </si>
  <si>
    <t>Egebjergvej</t>
  </si>
  <si>
    <t>Piledamsvej</t>
  </si>
  <si>
    <t>Skolevænget</t>
  </si>
  <si>
    <t>Færgevej</t>
  </si>
  <si>
    <t>Huholt</t>
  </si>
  <si>
    <t>Ringvej</t>
  </si>
  <si>
    <t>Egetoftevej</t>
  </si>
  <si>
    <t>Mommarkvej</t>
  </si>
  <si>
    <t>B</t>
  </si>
  <si>
    <t>Midtkobbel</t>
  </si>
  <si>
    <t>Violvej</t>
  </si>
  <si>
    <t>Broagervigvej</t>
  </si>
  <si>
    <t>Højløkke</t>
  </si>
  <si>
    <t>Præstevænget</t>
  </si>
  <si>
    <t>Engparken</t>
  </si>
  <si>
    <t>Ellegårdvej</t>
  </si>
  <si>
    <t>Sundgade</t>
  </si>
  <si>
    <t>Skolevej</t>
  </si>
  <si>
    <t>Oksbølvej</t>
  </si>
  <si>
    <t>Skolegade</t>
  </si>
  <si>
    <t>Mosevej</t>
  </si>
  <si>
    <t>Spangsmosevej</t>
  </si>
  <si>
    <t>Storegade</t>
  </si>
  <si>
    <t>Vestermark</t>
  </si>
  <si>
    <t>Sebbelev</t>
  </si>
  <si>
    <t>Dejerhøj</t>
  </si>
  <si>
    <t>Kettingvej</t>
  </si>
  <si>
    <t>Dybbøl Bygade</t>
  </si>
  <si>
    <t>Storemarksvej</t>
  </si>
  <si>
    <t>navn1</t>
  </si>
  <si>
    <t>navn2</t>
  </si>
  <si>
    <t/>
  </si>
  <si>
    <t>Bibliotek Nordborg</t>
  </si>
  <si>
    <t xml:space="preserve">Skovløberne </t>
  </si>
  <si>
    <t>Besk. Center</t>
  </si>
  <si>
    <t>att.: Finn Hansen</t>
  </si>
  <si>
    <t>Alssund Børnehaven</t>
  </si>
  <si>
    <t>Ny Sønderborg Kommune</t>
  </si>
  <si>
    <t>Forbrug 2010</t>
  </si>
  <si>
    <t>Broager Skole</t>
  </si>
  <si>
    <t>Nørreskov-Skolen</t>
  </si>
  <si>
    <t>Leif Vraa-Andersen</t>
  </si>
  <si>
    <t>Bohjørnet botilbudet</t>
  </si>
  <si>
    <t>Tusindfryd Børnehaven</t>
  </si>
  <si>
    <t>Sfo Augustenborg Skole</t>
  </si>
  <si>
    <t>Hørup Centralskole</t>
  </si>
  <si>
    <t>Bofællesskabet Højløkke</t>
  </si>
  <si>
    <t>Alléen Botilbud</t>
  </si>
  <si>
    <t>Nordborg Børnehave</t>
  </si>
  <si>
    <t>Ordblindeskolen, Sønderborg</t>
  </si>
  <si>
    <t>Imerco Sønderborg</t>
  </si>
  <si>
    <t>Kløvermark-Hallen</t>
  </si>
  <si>
    <t>Sønderborg Kommunale Musikskole</t>
  </si>
  <si>
    <t>Vej &amp; Park</t>
  </si>
  <si>
    <t>Børnehaven Kløvermarken PÅ SKOLEN</t>
  </si>
  <si>
    <t>Caroline-Amalie Gården Fjernvarme</t>
  </si>
  <si>
    <t>Hardeshøj Ballebro Færgefart SKAL IKKE MEDTAGES</t>
  </si>
  <si>
    <t>Kegnæs Brandværn SKAL IKKE MEDTAGES</t>
  </si>
  <si>
    <t>Bibliotek Nordborg fjernvarme</t>
  </si>
  <si>
    <t>Brandstationen V. Sottrup</t>
  </si>
  <si>
    <t>Havnbjerg Skole Fjernvarme</t>
  </si>
  <si>
    <t>Frivilligcenter Sønderborg skal ikke medtages</t>
  </si>
  <si>
    <t>Kommandocentral skal ikke medtages</t>
  </si>
  <si>
    <t>Misbrugscenteret Sønderborg skal ikke medtages</t>
  </si>
  <si>
    <t>Slotsmøllen (sønderborg) skal ikke medtages</t>
  </si>
  <si>
    <t>Syddansk Universitetsbibliotek, Sønderborg skal ikke medtages</t>
  </si>
  <si>
    <t>El (Integreret i El forbrug, se Ark Ejd)</t>
  </si>
  <si>
    <t>Gl. Gråsten Hallen</t>
  </si>
  <si>
    <t>Nordborg Skole</t>
  </si>
  <si>
    <t>Hørup Bygade</t>
  </si>
  <si>
    <t>Stenvej</t>
  </si>
  <si>
    <t>Flintevænget</t>
  </si>
  <si>
    <t>Børnehaven</t>
  </si>
  <si>
    <t>Elcon El Anlæg A/S</t>
  </si>
  <si>
    <t>Att: Erling Koldsø</t>
  </si>
  <si>
    <t>Kommunale Ejendomme</t>
  </si>
  <si>
    <t xml:space="preserve">Sønderborg Kommune </t>
  </si>
  <si>
    <t>Broballe Brandstation</t>
  </si>
  <si>
    <t>125 23-09 110</t>
  </si>
  <si>
    <t>Augustenborg Kommune</t>
  </si>
  <si>
    <t>Klub Svellebo</t>
  </si>
  <si>
    <t>Gråsten Havn</t>
  </si>
  <si>
    <t>Vejerboden</t>
  </si>
  <si>
    <t>værestedet det gamle posthus</t>
  </si>
  <si>
    <t>Fritidsklub</t>
  </si>
  <si>
    <t>Fritidshjem/børnehaven Himmelblå</t>
  </si>
  <si>
    <t>Kt Nr 3010654903</t>
  </si>
  <si>
    <t>Skolen Augustenborg</t>
  </si>
  <si>
    <t>Fagcenter for ældre</t>
  </si>
  <si>
    <t>Socialafd.</t>
  </si>
  <si>
    <t>Lokalhistorisk Arkiv</t>
  </si>
  <si>
    <t xml:space="preserve">Brand og Redning </t>
  </si>
  <si>
    <t>Brand &amp; Redning</t>
  </si>
  <si>
    <t>Den Fælleskommunale Feriefond</t>
  </si>
  <si>
    <t>Kertemindekommune</t>
  </si>
  <si>
    <t>Sønderborg Kommune; kommunale ejendom.</t>
  </si>
  <si>
    <t>att.: Ole sørensen</t>
  </si>
  <si>
    <t>Agustenborg-Sydals</t>
  </si>
  <si>
    <t>Att. Erling Andreasen</t>
  </si>
  <si>
    <t>Gråsten Vej</t>
  </si>
  <si>
    <t>Notmark Skole</t>
  </si>
  <si>
    <t>Kto Nr 0110554907</t>
  </si>
  <si>
    <t>Hørup Brandstation</t>
  </si>
  <si>
    <t>110 202 49-03</t>
  </si>
  <si>
    <t>Fjordrederiet</t>
  </si>
  <si>
    <t>E. H. Rasmussen</t>
  </si>
  <si>
    <t>Civilfo</t>
  </si>
  <si>
    <t>Vej og Trafik</t>
  </si>
  <si>
    <t>Sønderborg kommune</t>
  </si>
  <si>
    <t>Anlæg og Drift</t>
  </si>
  <si>
    <t>Områdecenter Sønderborg Kommune</t>
  </si>
  <si>
    <t>Caroline Amalie-Gården</t>
  </si>
  <si>
    <t>Brand og Redning</t>
  </si>
  <si>
    <t>Brandv Ejd Tandslet Brandværn</t>
  </si>
  <si>
    <t>110 402 49-00</t>
  </si>
  <si>
    <t>Rensningsanlæg Nybøl</t>
  </si>
  <si>
    <t>Klinikbygning</t>
  </si>
  <si>
    <t>Nordals Naturskole</t>
  </si>
  <si>
    <t>Skov &amp; Naturstyrelsen</t>
  </si>
  <si>
    <t>Lejrskolen Fyret</t>
  </si>
  <si>
    <t>John E.N. Sundahl Bernscherer</t>
  </si>
  <si>
    <t>Redningsberedskabet</t>
  </si>
  <si>
    <t>Brandstation Egernsund</t>
  </si>
  <si>
    <t>Dagplejeformidlingen</t>
  </si>
  <si>
    <t>Sønderborg Kommune - Ulkebøl</t>
  </si>
  <si>
    <t>Gråsten Plejehjem</t>
  </si>
  <si>
    <t>c/o Ole Duus</t>
  </si>
  <si>
    <t>Fagcenter Ældre Søren Madsen</t>
  </si>
  <si>
    <t>Att.: Jørgen Hoeig</t>
  </si>
  <si>
    <t>106</t>
  </si>
  <si>
    <t>114</t>
  </si>
  <si>
    <t>113</t>
  </si>
  <si>
    <t>115</t>
  </si>
  <si>
    <t>201</t>
  </si>
  <si>
    <t>Gråsten</t>
  </si>
  <si>
    <t>Rinkenæs børnehus</t>
  </si>
  <si>
    <t>917</t>
  </si>
  <si>
    <t xml:space="preserve">Bakken </t>
  </si>
  <si>
    <t>401</t>
  </si>
  <si>
    <t>Flintholmvej</t>
  </si>
  <si>
    <t>Nordborg kommune</t>
  </si>
  <si>
    <t>Ældre</t>
  </si>
  <si>
    <t xml:space="preserve">Slotsbakken </t>
  </si>
  <si>
    <t>Den gl. præstegaard</t>
  </si>
  <si>
    <t>531</t>
  </si>
  <si>
    <t>20a</t>
  </si>
  <si>
    <t>Plejehjem</t>
  </si>
  <si>
    <t>420</t>
  </si>
  <si>
    <t>Katforte</t>
  </si>
  <si>
    <t>forbrug 2010</t>
  </si>
  <si>
    <t>Bygadens Børnegård</t>
  </si>
  <si>
    <t>Sundeved Rådhus</t>
  </si>
  <si>
    <t>Hjælpemiddeldepotet oprettet den17.08.10</t>
  </si>
  <si>
    <t>13a</t>
  </si>
  <si>
    <t>Lille Mommarkvej</t>
  </si>
  <si>
    <t>Præstegårdsvej</t>
  </si>
  <si>
    <t>Stavensbølgade</t>
  </si>
  <si>
    <t>Vaskilde</t>
  </si>
  <si>
    <t>Hørtoftvej</t>
  </si>
  <si>
    <t>Kirke Hørupvej</t>
  </si>
  <si>
    <t>Dyntvej</t>
  </si>
  <si>
    <t>Dybbøl Banke</t>
  </si>
  <si>
    <t>Vindrosen</t>
  </si>
  <si>
    <t>Håndværkervej</t>
  </si>
  <si>
    <t>Apotekergade</t>
  </si>
  <si>
    <t>Nydamvej</t>
  </si>
  <si>
    <t>Havnevej</t>
  </si>
  <si>
    <t>Buskmosevej</t>
  </si>
  <si>
    <t>Ahornvej</t>
  </si>
  <si>
    <t>Bjørnemosen</t>
  </si>
  <si>
    <t>Syrenvej</t>
  </si>
  <si>
    <t>Dybbølsten</t>
  </si>
  <si>
    <t>Ryttervej</t>
  </si>
  <si>
    <t>Fynsgade</t>
  </si>
  <si>
    <t>Havnbjerg Center</t>
  </si>
  <si>
    <t>Industrivej</t>
  </si>
  <si>
    <t>Sommervej</t>
  </si>
  <si>
    <t>Aabenraavej</t>
  </si>
  <si>
    <t>Bellisvej</t>
  </si>
  <si>
    <t>Fejøvej</t>
  </si>
  <si>
    <t>Sundsnæs</t>
  </si>
  <si>
    <t>Guderup I Plejecenter</t>
  </si>
  <si>
    <t>Nordals Civilhundeførerf.</t>
  </si>
  <si>
    <t>Nordborg Kommunale Tandpleje</t>
  </si>
  <si>
    <t>Sportsplads &amp; Omklædning</t>
  </si>
  <si>
    <t>Kommandocentral</t>
  </si>
  <si>
    <t>Guderup Skole/fritidshjem</t>
  </si>
  <si>
    <t>Friv Brandværn Kværs</t>
  </si>
  <si>
    <t>Bülovskolen</t>
  </si>
  <si>
    <t>Fritidshjemmet</t>
  </si>
  <si>
    <t>Hans Poulsen</t>
  </si>
  <si>
    <t>Skolefritidsordning</t>
  </si>
  <si>
    <t>Vandforbrug *</t>
  </si>
  <si>
    <t>* sum af 245 målere i kommunale ejendomme</t>
  </si>
  <si>
    <t>CO2 2009</t>
  </si>
  <si>
    <t>CO2 2010</t>
  </si>
  <si>
    <t>2009 (MWh)</t>
  </si>
  <si>
    <t>2010 (MWh)</t>
  </si>
  <si>
    <t>CO2-faktor 2009</t>
  </si>
  <si>
    <t>Der regnes med at 15 % af forbruget er graddagsuafhængigt</t>
  </si>
  <si>
    <t xml:space="preserve">*ved 125% varmevirkningsgrad. Co2-faktorerne er beregnet efter  </t>
  </si>
  <si>
    <t xml:space="preserve">brændselsangivelser  jf.  DFF års-statistikker og ud fra </t>
  </si>
  <si>
    <t>selskabernes egne oplysninger.</t>
  </si>
  <si>
    <t>Emissionsfaktorer for el og fjernvarme er inkl. tab i distributionsnettet. Dvs. an forbruger. El = 5% nettab Fjv er individuelt for de enkelte værker.</t>
  </si>
  <si>
    <t>Emissionsfaktorer er beregnet ud fra 125% varmevirkningsgrad metode - og følger dermed el-deklarationen fra energinet.dk - samme metode som anvendes i fx klimakompassets beregner.</t>
  </si>
  <si>
    <t>1/4 10</t>
  </si>
  <si>
    <t>1/4 11</t>
  </si>
  <si>
    <t>1/6 10</t>
  </si>
  <si>
    <t>2009 for sdb fjv</t>
  </si>
  <si>
    <t>1/6 11</t>
  </si>
  <si>
    <t>2010 for sdb fjv</t>
  </si>
  <si>
    <t>Olie (MWh) *</t>
  </si>
  <si>
    <t>Damgade Botilbud A1.s dør 2</t>
  </si>
  <si>
    <t>Damgade Botilbud Ast</t>
  </si>
  <si>
    <t>Omsorgsafd. Mølleparken</t>
  </si>
  <si>
    <t>Tandsbjerg Plejehjem 213200000</t>
  </si>
  <si>
    <t xml:space="preserve">Områdecenter Tandsbjerg 213200001  </t>
  </si>
  <si>
    <t xml:space="preserve">Områdecenter Tandsbjerg 213200002  </t>
  </si>
  <si>
    <t>Skole- og Socialforvaltningen 166903000</t>
  </si>
  <si>
    <t>Skole- og Socialforvaltningen 166903001</t>
  </si>
  <si>
    <t>Spiloppen Børnehuset fra Guderup Plejecenter</t>
  </si>
  <si>
    <t>Børnehave flyttet til Egernsund skole</t>
  </si>
  <si>
    <t>skiftet til Ngas</t>
  </si>
  <si>
    <t>olie</t>
  </si>
  <si>
    <t>Alsingergården (skifet til NGas)</t>
  </si>
  <si>
    <t>Gråsten Fjernvarme</t>
  </si>
  <si>
    <t>Total</t>
  </si>
  <si>
    <t>Naturgas I alt</t>
  </si>
  <si>
    <t>Sønderborg Fjernvarme i alt</t>
  </si>
  <si>
    <t>Nordborg Fjernvarme i alt</t>
  </si>
  <si>
    <t>lejet</t>
  </si>
  <si>
    <t>Broager Fjernvarme i alt</t>
  </si>
  <si>
    <t>Sønderborg Fjernvarme</t>
  </si>
  <si>
    <t xml:space="preserve">Augustenborg Fjernvarme </t>
  </si>
  <si>
    <t>Olie i alt</t>
  </si>
  <si>
    <t>31.03</t>
  </si>
  <si>
    <t>31.3</t>
  </si>
  <si>
    <t>Forbrug 2007 MWh</t>
  </si>
  <si>
    <t>Forbrug 2008 MWh</t>
  </si>
  <si>
    <t>Forbrug 2009 MWh</t>
  </si>
  <si>
    <t>Forbrug 2010 MWh</t>
  </si>
  <si>
    <t>opsat ny måler, skønnet forbrug</t>
  </si>
  <si>
    <t xml:space="preserve">Forbrug 2008 </t>
  </si>
  <si>
    <t xml:space="preserve">Forbrug 2009 </t>
  </si>
  <si>
    <t xml:space="preserve">Forbrug 2007 </t>
  </si>
  <si>
    <t>Gd. Korr. Forbrug 2007 MWh</t>
  </si>
  <si>
    <t>Gd. Korr. Forbrug 2008 MWh</t>
  </si>
  <si>
    <t>Gd. Korr. Forbrug 2009 MWh</t>
  </si>
  <si>
    <t>Gd. Korr. Forbrug 2010 MWh</t>
  </si>
  <si>
    <t>GD Faktor:</t>
  </si>
  <si>
    <t>GD faktor</t>
  </si>
  <si>
    <t>GD Faktor</t>
  </si>
  <si>
    <t>FJERNVARME I ALT</t>
  </si>
  <si>
    <t>GD Faktor 31/3</t>
  </si>
  <si>
    <t>GD Faktor 31/12</t>
  </si>
  <si>
    <t>NB 2008 GD korrigeres som 07, hvis faktisk forbrug er ens !</t>
  </si>
  <si>
    <t>Olieforbruget GD korrigeres som 2007, idet alle tal er kopieret fra 2007 !</t>
  </si>
  <si>
    <t>I alt, CO2 Forbrug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</si>
</sst>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\ &quot;ton&quot;"/>
    <numFmt numFmtId="166" formatCode="_(* #,##0_);_(* \(#,##0\);_(* &quot;-&quot;??_);_(@_)"/>
  </numFmts>
  <fonts count="39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7.5"/>
      <color indexed="8"/>
      <name val="Arial"/>
      <family val="2"/>
    </font>
    <font>
      <sz val="10.5"/>
      <name val="Consolas"/>
      <family val="3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</font>
    <font>
      <sz val="11"/>
      <color indexed="8"/>
      <name val="Calibri"/>
    </font>
    <font>
      <b/>
      <sz val="11"/>
      <color indexed="8"/>
      <name val="Calibri"/>
    </font>
    <font>
      <sz val="11"/>
      <name val="Calibri"/>
    </font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1"/>
      <name val="Calibri"/>
      <family val="2"/>
    </font>
    <font>
      <sz val="11"/>
      <color indexed="12"/>
      <name val="Calibri"/>
    </font>
    <font>
      <sz val="11"/>
      <color indexed="12"/>
      <name val="Calibri"/>
      <family val="2"/>
    </font>
    <font>
      <sz val="10"/>
      <color indexed="12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.5"/>
      <name val="Consolas"/>
      <family val="3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1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0" fontId="36" fillId="10" borderId="0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2" fillId="0" borderId="0" applyFont="0" applyFill="0" applyBorder="0" applyAlignment="0" applyProtection="0"/>
  </cellStyleXfs>
  <cellXfs count="346">
    <xf numFmtId="0" fontId="0" fillId="0" borderId="0" xfId="0"/>
    <xf numFmtId="49" fontId="0" fillId="0" borderId="0" xfId="0" applyNumberFormat="1"/>
    <xf numFmtId="0" fontId="7" fillId="0" borderId="0" xfId="0" applyFont="1"/>
    <xf numFmtId="0" fontId="8" fillId="0" borderId="0" xfId="0" applyFont="1"/>
    <xf numFmtId="0" fontId="0" fillId="0" borderId="0" xfId="0" applyFill="1"/>
    <xf numFmtId="49" fontId="0" fillId="0" borderId="2" xfId="0" applyNumberFormat="1" applyFill="1" applyBorder="1"/>
    <xf numFmtId="0" fontId="0" fillId="0" borderId="2" xfId="0" applyFill="1" applyBorder="1"/>
    <xf numFmtId="49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Border="1"/>
    <xf numFmtId="0" fontId="0" fillId="0" borderId="0" xfId="0" applyBorder="1"/>
    <xf numFmtId="3" fontId="0" fillId="0" borderId="0" xfId="0" applyNumberFormat="1"/>
    <xf numFmtId="0" fontId="0" fillId="0" borderId="3" xfId="0" applyBorder="1"/>
    <xf numFmtId="14" fontId="0" fillId="0" borderId="0" xfId="0" applyNumberFormat="1"/>
    <xf numFmtId="0" fontId="12" fillId="0" borderId="0" xfId="0" applyFont="1"/>
    <xf numFmtId="3" fontId="7" fillId="0" borderId="0" xfId="0" applyNumberFormat="1" applyFont="1"/>
    <xf numFmtId="0" fontId="0" fillId="2" borderId="0" xfId="0" applyFill="1"/>
    <xf numFmtId="49" fontId="0" fillId="2" borderId="0" xfId="0" applyNumberFormat="1" applyFill="1"/>
    <xf numFmtId="0" fontId="0" fillId="3" borderId="0" xfId="0" applyFill="1"/>
    <xf numFmtId="0" fontId="0" fillId="4" borderId="0" xfId="0" applyFill="1"/>
    <xf numFmtId="164" fontId="0" fillId="0" borderId="0" xfId="1" applyNumberFormat="1" applyFont="1"/>
    <xf numFmtId="164" fontId="8" fillId="0" borderId="0" xfId="1" applyNumberFormat="1" applyFont="1"/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1" fontId="8" fillId="0" borderId="0" xfId="0" applyNumberFormat="1" applyFont="1"/>
    <xf numFmtId="0" fontId="14" fillId="4" borderId="4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14" fontId="8" fillId="0" borderId="0" xfId="0" applyNumberFormat="1" applyFont="1"/>
    <xf numFmtId="49" fontId="8" fillId="0" borderId="0" xfId="0" applyNumberFormat="1" applyFont="1" applyAlignment="1">
      <alignment wrapText="1"/>
    </xf>
    <xf numFmtId="0" fontId="15" fillId="0" borderId="0" xfId="0" applyFont="1"/>
    <xf numFmtId="0" fontId="7" fillId="0" borderId="5" xfId="0" applyFont="1" applyBorder="1"/>
    <xf numFmtId="164" fontId="7" fillId="0" borderId="5" xfId="1" applyNumberFormat="1" applyFont="1" applyBorder="1"/>
    <xf numFmtId="1" fontId="7" fillId="0" borderId="5" xfId="0" applyNumberFormat="1" applyFont="1" applyBorder="1"/>
    <xf numFmtId="2" fontId="7" fillId="0" borderId="5" xfId="0" applyNumberFormat="1" applyFont="1" applyBorder="1"/>
    <xf numFmtId="2" fontId="8" fillId="0" borderId="0" xfId="0" applyNumberFormat="1" applyFont="1"/>
    <xf numFmtId="165" fontId="0" fillId="0" borderId="0" xfId="0" applyNumberFormat="1"/>
    <xf numFmtId="4" fontId="0" fillId="0" borderId="0" xfId="0" applyNumberFormat="1"/>
    <xf numFmtId="1" fontId="0" fillId="0" borderId="0" xfId="0" applyNumberFormat="1" applyFill="1"/>
    <xf numFmtId="0" fontId="0" fillId="0" borderId="0" xfId="0" applyAlignment="1">
      <alignment horizontal="left"/>
    </xf>
    <xf numFmtId="0" fontId="36" fillId="10" borderId="0" xfId="2" applyAlignment="1">
      <alignment horizontal="left"/>
    </xf>
    <xf numFmtId="0" fontId="36" fillId="10" borderId="0" xfId="2"/>
    <xf numFmtId="164" fontId="36" fillId="10" borderId="0" xfId="2" applyNumberFormat="1"/>
    <xf numFmtId="49" fontId="36" fillId="10" borderId="0" xfId="2" applyNumberFormat="1" applyAlignment="1">
      <alignment horizontal="left"/>
    </xf>
    <xf numFmtId="1" fontId="36" fillId="10" borderId="0" xfId="2" applyNumberFormat="1"/>
    <xf numFmtId="3" fontId="36" fillId="10" borderId="0" xfId="2" applyNumberFormat="1"/>
    <xf numFmtId="3" fontId="36" fillId="10" borderId="0" xfId="2" applyNumberFormat="1" applyAlignment="1">
      <alignment horizontal="left"/>
    </xf>
    <xf numFmtId="0" fontId="16" fillId="10" borderId="5" xfId="2" applyFont="1" applyBorder="1"/>
    <xf numFmtId="1" fontId="16" fillId="10" borderId="5" xfId="2" applyNumberFormat="1" applyFont="1" applyBorder="1"/>
    <xf numFmtId="0" fontId="16" fillId="10" borderId="5" xfId="2" applyFont="1" applyBorder="1" applyAlignment="1">
      <alignment horizontal="left"/>
    </xf>
    <xf numFmtId="49" fontId="16" fillId="10" borderId="6" xfId="2" applyNumberFormat="1" applyFont="1" applyBorder="1"/>
    <xf numFmtId="49" fontId="16" fillId="10" borderId="6" xfId="2" applyNumberFormat="1" applyFont="1" applyBorder="1" applyAlignment="1">
      <alignment horizontal="right"/>
    </xf>
    <xf numFmtId="0" fontId="16" fillId="10" borderId="6" xfId="2" applyFont="1" applyBorder="1"/>
    <xf numFmtId="0" fontId="5" fillId="0" borderId="0" xfId="4"/>
    <xf numFmtId="4" fontId="0" fillId="0" borderId="0" xfId="0" applyNumberFormat="1" applyFill="1"/>
    <xf numFmtId="3" fontId="0" fillId="0" borderId="0" xfId="0" applyNumberFormat="1" applyFill="1"/>
    <xf numFmtId="1" fontId="0" fillId="0" borderId="2" xfId="0" applyNumberFormat="1" applyFill="1" applyBorder="1"/>
    <xf numFmtId="0" fontId="0" fillId="5" borderId="0" xfId="0" applyFill="1"/>
    <xf numFmtId="0" fontId="20" fillId="6" borderId="7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vertical="center" wrapText="1"/>
    </xf>
    <xf numFmtId="0" fontId="19" fillId="0" borderId="8" xfId="0" applyFont="1" applyFill="1" applyBorder="1" applyAlignment="1" applyProtection="1">
      <alignment horizontal="right" vertical="center" wrapText="1"/>
    </xf>
    <xf numFmtId="0" fontId="19" fillId="0" borderId="9" xfId="0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/>
    <xf numFmtId="4" fontId="8" fillId="0" borderId="0" xfId="0" applyNumberFormat="1" applyFont="1" applyFill="1"/>
    <xf numFmtId="0" fontId="21" fillId="0" borderId="1" xfId="0" applyFont="1" applyFill="1" applyBorder="1" applyAlignment="1" applyProtection="1">
      <alignment horizontal="right" vertical="center" wrapText="1"/>
    </xf>
    <xf numFmtId="0" fontId="21" fillId="0" borderId="1" xfId="0" applyFont="1" applyFill="1" applyBorder="1" applyAlignment="1" applyProtection="1">
      <alignment vertical="center" wrapText="1"/>
    </xf>
    <xf numFmtId="0" fontId="22" fillId="0" borderId="0" xfId="0" applyFont="1"/>
    <xf numFmtId="0" fontId="21" fillId="0" borderId="9" xfId="0" applyFont="1" applyFill="1" applyBorder="1" applyAlignment="1" applyProtection="1">
      <alignment horizontal="right" vertical="center" wrapText="1"/>
    </xf>
    <xf numFmtId="0" fontId="20" fillId="7" borderId="7" xfId="0" applyFont="1" applyFill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right" vertical="center" wrapText="1"/>
    </xf>
    <xf numFmtId="0" fontId="21" fillId="5" borderId="1" xfId="0" applyFont="1" applyFill="1" applyBorder="1" applyAlignment="1" applyProtection="1">
      <alignment horizontal="right" vertical="center" wrapText="1"/>
    </xf>
    <xf numFmtId="0" fontId="19" fillId="0" borderId="0" xfId="0" applyFont="1" applyFill="1" applyAlignment="1" applyProtection="1">
      <alignment horizontal="right" vertical="center" wrapText="1"/>
    </xf>
    <xf numFmtId="0" fontId="0" fillId="0" borderId="9" xfId="0" applyBorder="1"/>
    <xf numFmtId="0" fontId="0" fillId="0" borderId="1" xfId="0" applyBorder="1"/>
    <xf numFmtId="0" fontId="21" fillId="0" borderId="0" xfId="0" applyFont="1" applyFill="1" applyAlignment="1" applyProtection="1">
      <alignment horizontal="right" vertical="center" wrapText="1"/>
    </xf>
    <xf numFmtId="0" fontId="22" fillId="0" borderId="1" xfId="0" applyFont="1" applyBorder="1"/>
    <xf numFmtId="0" fontId="19" fillId="0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horizontal="right" vertical="center" wrapText="1"/>
    </xf>
    <xf numFmtId="0" fontId="28" fillId="0" borderId="0" xfId="0" applyFont="1" applyFill="1"/>
    <xf numFmtId="0" fontId="27" fillId="0" borderId="0" xfId="0" applyFont="1" applyFill="1" applyBorder="1" applyAlignment="1" applyProtection="1">
      <alignment vertical="center" wrapText="1"/>
    </xf>
    <xf numFmtId="0" fontId="26" fillId="0" borderId="1" xfId="0" applyFont="1" applyFill="1" applyBorder="1" applyAlignment="1" applyProtection="1">
      <alignment vertical="center" wrapText="1"/>
    </xf>
    <xf numFmtId="0" fontId="26" fillId="0" borderId="1" xfId="0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 applyProtection="1">
      <alignment horizontal="right" vertical="center" wrapText="1"/>
    </xf>
    <xf numFmtId="0" fontId="27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horizontal="right" vertical="center" wrapText="1"/>
    </xf>
    <xf numFmtId="0" fontId="11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vertical="center" wrapText="1"/>
    </xf>
    <xf numFmtId="0" fontId="27" fillId="0" borderId="1" xfId="0" applyFont="1" applyFill="1" applyBorder="1" applyAlignment="1" applyProtection="1">
      <alignment horizontal="right" vertical="center" wrapText="1"/>
    </xf>
    <xf numFmtId="0" fontId="28" fillId="0" borderId="1" xfId="0" applyFont="1" applyFill="1" applyBorder="1"/>
    <xf numFmtId="0" fontId="12" fillId="0" borderId="10" xfId="0" applyFont="1" applyBorder="1"/>
    <xf numFmtId="0" fontId="19" fillId="5" borderId="0" xfId="0" applyFont="1" applyFill="1" applyAlignment="1" applyProtection="1">
      <alignment horizontal="right" vertical="center" wrapText="1"/>
    </xf>
    <xf numFmtId="0" fontId="0" fillId="5" borderId="1" xfId="0" applyFill="1" applyBorder="1"/>
    <xf numFmtId="0" fontId="21" fillId="5" borderId="0" xfId="0" applyFont="1" applyFill="1" applyAlignment="1" applyProtection="1">
      <alignment horizontal="right" vertical="center" wrapText="1"/>
    </xf>
    <xf numFmtId="0" fontId="25" fillId="0" borderId="1" xfId="0" applyFont="1" applyBorder="1"/>
    <xf numFmtId="0" fontId="21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27" fillId="0" borderId="0" xfId="0" applyFont="1" applyFill="1" applyAlignment="1" applyProtection="1">
      <alignment horizontal="right" vertical="center" wrapText="1"/>
    </xf>
    <xf numFmtId="0" fontId="21" fillId="0" borderId="0" xfId="0" applyFont="1" applyFill="1" applyBorder="1" applyAlignment="1" applyProtection="1">
      <alignment horizontal="right" vertical="center" wrapText="1"/>
    </xf>
    <xf numFmtId="0" fontId="12" fillId="0" borderId="1" xfId="0" applyFont="1" applyBorder="1"/>
    <xf numFmtId="0" fontId="29" fillId="0" borderId="1" xfId="0" applyFont="1" applyFill="1" applyBorder="1"/>
    <xf numFmtId="16" fontId="12" fillId="0" borderId="1" xfId="0" applyNumberFormat="1" applyFont="1" applyBorder="1"/>
    <xf numFmtId="0" fontId="21" fillId="0" borderId="0" xfId="0" applyFont="1" applyFill="1" applyAlignment="1" applyProtection="1">
      <alignment vertical="center" wrapText="1"/>
    </xf>
    <xf numFmtId="0" fontId="19" fillId="0" borderId="9" xfId="0" applyFont="1" applyFill="1" applyBorder="1" applyAlignment="1" applyProtection="1">
      <alignment vertical="center" wrapText="1"/>
    </xf>
    <xf numFmtId="0" fontId="12" fillId="0" borderId="9" xfId="0" applyFont="1" applyBorder="1"/>
    <xf numFmtId="0" fontId="12" fillId="0" borderId="0" xfId="0" applyFont="1" applyBorder="1"/>
    <xf numFmtId="0" fontId="12" fillId="0" borderId="8" xfId="0" applyFont="1" applyBorder="1"/>
    <xf numFmtId="0" fontId="0" fillId="5" borderId="3" xfId="0" applyFill="1" applyBorder="1"/>
    <xf numFmtId="0" fontId="26" fillId="5" borderId="1" xfId="0" applyFont="1" applyFill="1" applyBorder="1" applyAlignment="1" applyProtection="1">
      <alignment horizontal="right" vertical="center" wrapText="1"/>
    </xf>
    <xf numFmtId="0" fontId="26" fillId="5" borderId="1" xfId="0" applyFont="1" applyFill="1" applyBorder="1" applyAlignment="1" applyProtection="1">
      <alignment vertical="center" wrapText="1"/>
    </xf>
    <xf numFmtId="0" fontId="26" fillId="5" borderId="9" xfId="0" applyFont="1" applyFill="1" applyBorder="1" applyAlignment="1" applyProtection="1">
      <alignment horizontal="right" vertical="center" wrapText="1"/>
    </xf>
    <xf numFmtId="0" fontId="28" fillId="5" borderId="0" xfId="0" applyFont="1" applyFill="1"/>
    <xf numFmtId="0" fontId="19" fillId="5" borderId="1" xfId="0" applyFont="1" applyFill="1" applyBorder="1" applyAlignment="1" applyProtection="1">
      <alignment vertical="center" wrapText="1"/>
    </xf>
    <xf numFmtId="0" fontId="12" fillId="5" borderId="1" xfId="0" applyFont="1" applyFill="1" applyBorder="1"/>
    <xf numFmtId="0" fontId="4" fillId="5" borderId="1" xfId="0" applyFont="1" applyFill="1" applyBorder="1" applyAlignment="1" applyProtection="1">
      <alignment horizontal="right"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12" fillId="5" borderId="0" xfId="0" applyFont="1" applyFill="1"/>
    <xf numFmtId="0" fontId="28" fillId="5" borderId="1" xfId="0" applyFont="1" applyFill="1" applyBorder="1"/>
    <xf numFmtId="0" fontId="12" fillId="5" borderId="9" xfId="0" applyFont="1" applyFill="1" applyBorder="1"/>
    <xf numFmtId="0" fontId="27" fillId="5" borderId="1" xfId="0" applyFont="1" applyFill="1" applyBorder="1" applyAlignment="1" applyProtection="1">
      <alignment horizontal="right" vertical="center" wrapText="1"/>
    </xf>
    <xf numFmtId="0" fontId="27" fillId="5" borderId="1" xfId="0" applyFont="1" applyFill="1" applyBorder="1" applyAlignment="1" applyProtection="1">
      <alignment vertical="center" wrapText="1"/>
    </xf>
    <xf numFmtId="0" fontId="0" fillId="0" borderId="1" xfId="0" applyFill="1" applyBorder="1"/>
    <xf numFmtId="0" fontId="12" fillId="0" borderId="0" xfId="0" applyFont="1" applyFill="1"/>
    <xf numFmtId="0" fontId="12" fillId="0" borderId="1" xfId="0" applyFont="1" applyFill="1" applyBorder="1"/>
    <xf numFmtId="164" fontId="36" fillId="10" borderId="5" xfId="2" applyNumberFormat="1" applyBorder="1"/>
    <xf numFmtId="49" fontId="3" fillId="10" borderId="5" xfId="2" applyNumberFormat="1" applyFont="1" applyBorder="1" applyAlignment="1">
      <alignment horizontal="left"/>
    </xf>
    <xf numFmtId="9" fontId="0" fillId="0" borderId="0" xfId="0" applyNumberFormat="1"/>
    <xf numFmtId="49" fontId="8" fillId="0" borderId="2" xfId="0" applyNumberFormat="1" applyFont="1" applyFill="1" applyBorder="1"/>
    <xf numFmtId="49" fontId="8" fillId="0" borderId="11" xfId="0" applyNumberFormat="1" applyFont="1" applyFill="1" applyBorder="1"/>
    <xf numFmtId="1" fontId="8" fillId="0" borderId="2" xfId="0" applyNumberFormat="1" applyFont="1" applyFill="1" applyBorder="1"/>
    <xf numFmtId="0" fontId="8" fillId="0" borderId="2" xfId="0" applyFont="1" applyFill="1" applyBorder="1"/>
    <xf numFmtId="49" fontId="8" fillId="0" borderId="2" xfId="0" applyNumberFormat="1" applyFont="1" applyFill="1" applyBorder="1" applyAlignment="1">
      <alignment wrapText="1"/>
    </xf>
    <xf numFmtId="49" fontId="8" fillId="0" borderId="0" xfId="0" applyNumberFormat="1" applyFont="1" applyFill="1" applyBorder="1"/>
    <xf numFmtId="1" fontId="0" fillId="0" borderId="2" xfId="0" quotePrefix="1" applyNumberFormat="1" applyFill="1" applyBorder="1"/>
    <xf numFmtId="3" fontId="8" fillId="0" borderId="0" xfId="0" applyNumberFormat="1" applyFont="1" applyFill="1"/>
    <xf numFmtId="49" fontId="7" fillId="0" borderId="0" xfId="0" applyNumberFormat="1" applyFont="1" applyFill="1"/>
    <xf numFmtId="1" fontId="7" fillId="0" borderId="0" xfId="0" applyNumberFormat="1" applyFont="1" applyFill="1"/>
    <xf numFmtId="0" fontId="7" fillId="0" borderId="0" xfId="0" applyFont="1" applyFill="1"/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Fill="1" applyBorder="1"/>
    <xf numFmtId="49" fontId="0" fillId="0" borderId="0" xfId="0" applyNumberFormat="1" applyFill="1"/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49" fontId="8" fillId="0" borderId="12" xfId="0" applyNumberFormat="1" applyFont="1" applyFill="1" applyBorder="1" applyAlignment="1">
      <alignment wrapText="1"/>
    </xf>
    <xf numFmtId="49" fontId="8" fillId="4" borderId="2" xfId="0" applyNumberFormat="1" applyFont="1" applyFill="1" applyBorder="1"/>
    <xf numFmtId="1" fontId="8" fillId="4" borderId="2" xfId="0" applyNumberFormat="1" applyFont="1" applyFill="1" applyBorder="1"/>
    <xf numFmtId="0" fontId="8" fillId="4" borderId="2" xfId="0" applyFont="1" applyFill="1" applyBorder="1"/>
    <xf numFmtId="49" fontId="8" fillId="4" borderId="2" xfId="0" applyNumberFormat="1" applyFont="1" applyFill="1" applyBorder="1" applyAlignment="1">
      <alignment wrapText="1"/>
    </xf>
    <xf numFmtId="49" fontId="8" fillId="4" borderId="0" xfId="0" applyNumberFormat="1" applyFont="1" applyFill="1" applyBorder="1"/>
    <xf numFmtId="0" fontId="8" fillId="4" borderId="0" xfId="0" applyFont="1" applyFill="1"/>
    <xf numFmtId="4" fontId="7" fillId="4" borderId="0" xfId="0" applyNumberFormat="1" applyFont="1" applyFill="1"/>
    <xf numFmtId="49" fontId="7" fillId="4" borderId="0" xfId="0" applyNumberFormat="1" applyFont="1" applyFill="1" applyBorder="1"/>
    <xf numFmtId="0" fontId="7" fillId="4" borderId="0" xfId="0" applyFont="1" applyFill="1"/>
    <xf numFmtId="49" fontId="8" fillId="4" borderId="12" xfId="0" applyNumberFormat="1" applyFont="1" applyFill="1" applyBorder="1"/>
    <xf numFmtId="1" fontId="8" fillId="4" borderId="12" xfId="0" applyNumberFormat="1" applyFont="1" applyFill="1" applyBorder="1"/>
    <xf numFmtId="0" fontId="8" fillId="4" borderId="12" xfId="0" applyFont="1" applyFill="1" applyBorder="1"/>
    <xf numFmtId="49" fontId="8" fillId="4" borderId="12" xfId="0" applyNumberFormat="1" applyFont="1" applyFill="1" applyBorder="1" applyAlignment="1">
      <alignment wrapText="1"/>
    </xf>
    <xf numFmtId="49" fontId="7" fillId="4" borderId="13" xfId="0" applyNumberFormat="1" applyFont="1" applyFill="1" applyBorder="1"/>
    <xf numFmtId="1" fontId="7" fillId="4" borderId="13" xfId="0" applyNumberFormat="1" applyFont="1" applyFill="1" applyBorder="1"/>
    <xf numFmtId="0" fontId="7" fillId="4" borderId="13" xfId="0" applyFont="1" applyFill="1" applyBorder="1"/>
    <xf numFmtId="49" fontId="7" fillId="4" borderId="13" xfId="0" applyNumberFormat="1" applyFont="1" applyFill="1" applyBorder="1" applyAlignment="1">
      <alignment wrapText="1"/>
    </xf>
    <xf numFmtId="49" fontId="7" fillId="4" borderId="14" xfId="0" applyNumberFormat="1" applyFont="1" applyFill="1" applyBorder="1"/>
    <xf numFmtId="1" fontId="7" fillId="4" borderId="14" xfId="0" applyNumberFormat="1" applyFont="1" applyFill="1" applyBorder="1"/>
    <xf numFmtId="0" fontId="7" fillId="4" borderId="14" xfId="0" applyFont="1" applyFill="1" applyBorder="1"/>
    <xf numFmtId="49" fontId="7" fillId="4" borderId="14" xfId="0" applyNumberFormat="1" applyFont="1" applyFill="1" applyBorder="1" applyAlignment="1">
      <alignment wrapText="1"/>
    </xf>
    <xf numFmtId="49" fontId="8" fillId="8" borderId="0" xfId="0" applyNumberFormat="1" applyFont="1" applyFill="1" applyBorder="1"/>
    <xf numFmtId="0" fontId="8" fillId="8" borderId="0" xfId="0" applyFont="1" applyFill="1"/>
    <xf numFmtId="49" fontId="8" fillId="8" borderId="13" xfId="0" applyNumberFormat="1" applyFont="1" applyFill="1" applyBorder="1"/>
    <xf numFmtId="1" fontId="8" fillId="8" borderId="13" xfId="0" applyNumberFormat="1" applyFont="1" applyFill="1" applyBorder="1"/>
    <xf numFmtId="0" fontId="8" fillId="8" borderId="13" xfId="0" applyFont="1" applyFill="1" applyBorder="1"/>
    <xf numFmtId="49" fontId="8" fillId="8" borderId="13" xfId="0" applyNumberFormat="1" applyFont="1" applyFill="1" applyBorder="1" applyAlignment="1">
      <alignment wrapText="1"/>
    </xf>
    <xf numFmtId="49" fontId="0" fillId="4" borderId="2" xfId="0" applyNumberFormat="1" applyFill="1" applyBorder="1"/>
    <xf numFmtId="1" fontId="0" fillId="4" borderId="2" xfId="0" applyNumberFormat="1" applyFill="1" applyBorder="1"/>
    <xf numFmtId="0" fontId="0" fillId="4" borderId="2" xfId="0" applyFill="1" applyBorder="1"/>
    <xf numFmtId="49" fontId="0" fillId="4" borderId="2" xfId="0" applyNumberFormat="1" applyFill="1" applyBorder="1" applyAlignment="1">
      <alignment wrapText="1"/>
    </xf>
    <xf numFmtId="49" fontId="0" fillId="4" borderId="0" xfId="0" applyNumberFormat="1" applyFill="1" applyBorder="1"/>
    <xf numFmtId="0" fontId="0" fillId="4" borderId="0" xfId="0" applyFill="1"/>
    <xf numFmtId="49" fontId="0" fillId="4" borderId="12" xfId="0" applyNumberFormat="1" applyFill="1" applyBorder="1"/>
    <xf numFmtId="1" fontId="0" fillId="4" borderId="12" xfId="0" applyNumberFormat="1" applyFill="1" applyBorder="1"/>
    <xf numFmtId="0" fontId="0" fillId="4" borderId="12" xfId="0" applyFill="1" applyBorder="1"/>
    <xf numFmtId="49" fontId="0" fillId="4" borderId="13" xfId="0" applyNumberFormat="1" applyFill="1" applyBorder="1"/>
    <xf numFmtId="1" fontId="0" fillId="4" borderId="13" xfId="0" applyNumberFormat="1" applyFill="1" applyBorder="1"/>
    <xf numFmtId="0" fontId="0" fillId="4" borderId="13" xfId="0" applyFill="1" applyBorder="1"/>
    <xf numFmtId="49" fontId="8" fillId="4" borderId="13" xfId="0" applyNumberFormat="1" applyFont="1" applyFill="1" applyBorder="1" applyAlignment="1">
      <alignment wrapText="1"/>
    </xf>
    <xf numFmtId="49" fontId="8" fillId="0" borderId="12" xfId="0" applyNumberFormat="1" applyFont="1" applyFill="1" applyBorder="1"/>
    <xf numFmtId="1" fontId="8" fillId="0" borderId="12" xfId="0" applyNumberFormat="1" applyFont="1" applyFill="1" applyBorder="1"/>
    <xf numFmtId="0" fontId="8" fillId="0" borderId="12" xfId="0" applyFont="1" applyFill="1" applyBorder="1"/>
    <xf numFmtId="49" fontId="8" fillId="0" borderId="13" xfId="0" applyNumberFormat="1" applyFont="1" applyFill="1" applyBorder="1"/>
    <xf numFmtId="1" fontId="8" fillId="0" borderId="13" xfId="0" applyNumberFormat="1" applyFont="1" applyFill="1" applyBorder="1"/>
    <xf numFmtId="0" fontId="8" fillId="0" borderId="13" xfId="0" applyFont="1" applyFill="1" applyBorder="1"/>
    <xf numFmtId="49" fontId="8" fillId="0" borderId="13" xfId="0" applyNumberFormat="1" applyFont="1" applyFill="1" applyBorder="1" applyAlignment="1">
      <alignment wrapText="1"/>
    </xf>
    <xf numFmtId="49" fontId="7" fillId="0" borderId="14" xfId="0" applyNumberFormat="1" applyFont="1" applyFill="1" applyBorder="1"/>
    <xf numFmtId="1" fontId="7" fillId="0" borderId="14" xfId="0" applyNumberFormat="1" applyFont="1" applyFill="1" applyBorder="1"/>
    <xf numFmtId="0" fontId="7" fillId="0" borderId="14" xfId="0" applyFont="1" applyFill="1" applyBorder="1"/>
    <xf numFmtId="49" fontId="7" fillId="0" borderId="14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horizontal="right"/>
    </xf>
    <xf numFmtId="49" fontId="8" fillId="4" borderId="13" xfId="0" applyNumberFormat="1" applyFont="1" applyFill="1" applyBorder="1"/>
    <xf numFmtId="1" fontId="8" fillId="4" borderId="13" xfId="0" applyNumberFormat="1" applyFont="1" applyFill="1" applyBorder="1"/>
    <xf numFmtId="0" fontId="8" fillId="4" borderId="13" xfId="0" applyFont="1" applyFill="1" applyBorder="1"/>
    <xf numFmtId="3" fontId="8" fillId="4" borderId="0" xfId="0" applyNumberFormat="1" applyFont="1" applyFill="1"/>
    <xf numFmtId="3" fontId="8" fillId="4" borderId="0" xfId="0" applyNumberFormat="1" applyFont="1" applyFill="1" applyAlignment="1">
      <alignment horizontal="right"/>
    </xf>
    <xf numFmtId="1" fontId="8" fillId="4" borderId="0" xfId="0" applyNumberFormat="1" applyFont="1" applyFill="1"/>
    <xf numFmtId="0" fontId="8" fillId="4" borderId="0" xfId="0" applyFont="1" applyFill="1" applyBorder="1"/>
    <xf numFmtId="0" fontId="8" fillId="4" borderId="0" xfId="0" applyFont="1" applyFill="1" applyAlignment="1">
      <alignment wrapText="1"/>
    </xf>
    <xf numFmtId="4" fontId="8" fillId="4" borderId="0" xfId="0" quotePrefix="1" applyNumberFormat="1" applyFont="1" applyFill="1"/>
    <xf numFmtId="3" fontId="7" fillId="0" borderId="14" xfId="0" applyNumberFormat="1" applyFont="1" applyFill="1" applyBorder="1"/>
    <xf numFmtId="0" fontId="8" fillId="4" borderId="2" xfId="3" applyFont="1" applyFill="1" applyBorder="1" applyAlignment="1" applyProtection="1"/>
    <xf numFmtId="3" fontId="8" fillId="4" borderId="0" xfId="0" applyNumberFormat="1" applyFont="1" applyFill="1" applyAlignment="1">
      <alignment horizontal="left"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3" fontId="7" fillId="4" borderId="0" xfId="0" applyNumberFormat="1" applyFont="1" applyFill="1"/>
    <xf numFmtId="3" fontId="7" fillId="4" borderId="14" xfId="0" applyNumberFormat="1" applyFont="1" applyFill="1" applyBorder="1"/>
    <xf numFmtId="3" fontId="8" fillId="8" borderId="0" xfId="0" applyNumberFormat="1" applyFont="1" applyFill="1"/>
    <xf numFmtId="3" fontId="0" fillId="4" borderId="0" xfId="0" applyNumberFormat="1" applyFill="1"/>
    <xf numFmtId="3" fontId="7" fillId="0" borderId="14" xfId="0" applyNumberFormat="1" applyFont="1" applyFill="1" applyBorder="1" applyAlignment="1">
      <alignment horizontal="right"/>
    </xf>
    <xf numFmtId="3" fontId="8" fillId="4" borderId="0" xfId="0" quotePrefix="1" applyNumberFormat="1" applyFont="1" applyFill="1"/>
    <xf numFmtId="49" fontId="7" fillId="4" borderId="15" xfId="0" applyNumberFormat="1" applyFont="1" applyFill="1" applyBorder="1"/>
    <xf numFmtId="1" fontId="7" fillId="4" borderId="15" xfId="0" applyNumberFormat="1" applyFont="1" applyFill="1" applyBorder="1"/>
    <xf numFmtId="0" fontId="7" fillId="4" borderId="15" xfId="0" applyFont="1" applyFill="1" applyBorder="1"/>
    <xf numFmtId="49" fontId="7" fillId="4" borderId="15" xfId="0" applyNumberFormat="1" applyFont="1" applyFill="1" applyBorder="1" applyAlignment="1">
      <alignment wrapText="1"/>
    </xf>
    <xf numFmtId="3" fontId="7" fillId="4" borderId="15" xfId="0" applyNumberFormat="1" applyFont="1" applyFill="1" applyBorder="1"/>
    <xf numFmtId="4" fontId="7" fillId="4" borderId="15" xfId="0" applyNumberFormat="1" applyFont="1" applyFill="1" applyBorder="1"/>
    <xf numFmtId="49" fontId="7" fillId="0" borderId="15" xfId="0" applyNumberFormat="1" applyFont="1" applyFill="1" applyBorder="1"/>
    <xf numFmtId="1" fontId="7" fillId="0" borderId="15" xfId="0" applyNumberFormat="1" applyFont="1" applyFill="1" applyBorder="1"/>
    <xf numFmtId="0" fontId="7" fillId="0" borderId="15" xfId="0" applyFont="1" applyFill="1" applyBorder="1"/>
    <xf numFmtId="49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/>
    <xf numFmtId="4" fontId="7" fillId="0" borderId="15" xfId="0" applyNumberFormat="1" applyFont="1" applyFill="1" applyBorder="1"/>
    <xf numFmtId="1" fontId="7" fillId="4" borderId="0" xfId="0" applyNumberFormat="1" applyFont="1" applyFill="1" applyBorder="1"/>
    <xf numFmtId="0" fontId="7" fillId="4" borderId="0" xfId="0" applyFont="1" applyFill="1" applyBorder="1"/>
    <xf numFmtId="49" fontId="7" fillId="4" borderId="0" xfId="0" applyNumberFormat="1" applyFont="1" applyFill="1" applyBorder="1" applyAlignment="1">
      <alignment wrapText="1"/>
    </xf>
    <xf numFmtId="3" fontId="7" fillId="4" borderId="0" xfId="0" applyNumberFormat="1" applyFont="1" applyFill="1" applyBorder="1"/>
    <xf numFmtId="3" fontId="7" fillId="0" borderId="1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4" borderId="0" xfId="0" applyNumberFormat="1" applyFont="1" applyFill="1" applyBorder="1"/>
    <xf numFmtId="4" fontId="7" fillId="9" borderId="0" xfId="0" applyNumberFormat="1" applyFont="1" applyFill="1" applyAlignment="1">
      <alignment wrapText="1"/>
    </xf>
    <xf numFmtId="3" fontId="0" fillId="9" borderId="0" xfId="0" applyNumberFormat="1" applyFill="1"/>
    <xf numFmtId="3" fontId="7" fillId="9" borderId="0" xfId="0" applyNumberFormat="1" applyFont="1" applyFill="1"/>
    <xf numFmtId="3" fontId="8" fillId="9" borderId="0" xfId="0" applyNumberFormat="1" applyFont="1" applyFill="1"/>
    <xf numFmtId="3" fontId="7" fillId="9" borderId="14" xfId="0" applyNumberFormat="1" applyFont="1" applyFill="1" applyBorder="1"/>
    <xf numFmtId="4" fontId="7" fillId="9" borderId="15" xfId="0" applyNumberFormat="1" applyFont="1" applyFill="1" applyBorder="1"/>
    <xf numFmtId="4" fontId="7" fillId="9" borderId="0" xfId="0" applyNumberFormat="1" applyFont="1" applyFill="1"/>
    <xf numFmtId="3" fontId="7" fillId="9" borderId="14" xfId="0" applyNumberFormat="1" applyFont="1" applyFill="1" applyBorder="1" applyAlignment="1">
      <alignment horizontal="right"/>
    </xf>
    <xf numFmtId="4" fontId="7" fillId="9" borderId="15" xfId="0" applyNumberFormat="1" applyFont="1" applyFill="1" applyBorder="1" applyAlignment="1">
      <alignment horizontal="right"/>
    </xf>
    <xf numFmtId="3" fontId="8" fillId="9" borderId="0" xfId="0" applyNumberFormat="1" applyFont="1" applyFill="1" applyAlignment="1">
      <alignment horizontal="right"/>
    </xf>
    <xf numFmtId="4" fontId="7" fillId="9" borderId="0" xfId="0" applyNumberFormat="1" applyFont="1" applyFill="1" applyBorder="1"/>
    <xf numFmtId="0" fontId="0" fillId="9" borderId="0" xfId="0" applyFill="1"/>
    <xf numFmtId="0" fontId="7" fillId="9" borderId="0" xfId="0" applyFont="1" applyFill="1"/>
    <xf numFmtId="0" fontId="8" fillId="9" borderId="0" xfId="0" applyFont="1" applyFill="1"/>
    <xf numFmtId="0" fontId="7" fillId="9" borderId="14" xfId="0" applyFont="1" applyFill="1" applyBorder="1"/>
    <xf numFmtId="0" fontId="7" fillId="9" borderId="15" xfId="0" applyFont="1" applyFill="1" applyBorder="1"/>
    <xf numFmtId="16" fontId="0" fillId="9" borderId="0" xfId="0" applyNumberForma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7" fillId="9" borderId="0" xfId="0" applyFont="1" applyFill="1" applyBorder="1"/>
    <xf numFmtId="14" fontId="8" fillId="9" borderId="0" xfId="0" applyNumberFormat="1" applyFont="1" applyFill="1"/>
    <xf numFmtId="49" fontId="7" fillId="9" borderId="16" xfId="0" applyNumberFormat="1" applyFont="1" applyFill="1" applyBorder="1"/>
    <xf numFmtId="49" fontId="0" fillId="9" borderId="11" xfId="0" applyNumberFormat="1" applyFill="1" applyBorder="1"/>
    <xf numFmtId="49" fontId="8" fillId="9" borderId="11" xfId="0" applyNumberFormat="1" applyFont="1" applyFill="1" applyBorder="1"/>
    <xf numFmtId="49" fontId="8" fillId="9" borderId="17" xfId="0" applyNumberFormat="1" applyFont="1" applyFill="1" applyBorder="1"/>
    <xf numFmtId="49" fontId="7" fillId="9" borderId="18" xfId="0" applyNumberFormat="1" applyFont="1" applyFill="1" applyBorder="1"/>
    <xf numFmtId="49" fontId="7" fillId="9" borderId="19" xfId="0" applyNumberFormat="1" applyFont="1" applyFill="1" applyBorder="1"/>
    <xf numFmtId="49" fontId="7" fillId="9" borderId="20" xfId="0" applyNumberFormat="1" applyFont="1" applyFill="1" applyBorder="1"/>
    <xf numFmtId="49" fontId="8" fillId="9" borderId="20" xfId="0" applyNumberFormat="1" applyFont="1" applyFill="1" applyBorder="1"/>
    <xf numFmtId="0" fontId="8" fillId="9" borderId="16" xfId="0" applyFont="1" applyFill="1" applyBorder="1"/>
    <xf numFmtId="49" fontId="0" fillId="9" borderId="17" xfId="0" applyNumberFormat="1" applyFill="1" applyBorder="1"/>
    <xf numFmtId="49" fontId="0" fillId="9" borderId="16" xfId="0" applyNumberFormat="1" applyFill="1" applyBorder="1"/>
    <xf numFmtId="0" fontId="0" fillId="9" borderId="16" xfId="0" applyFill="1" applyBorder="1"/>
    <xf numFmtId="0" fontId="8" fillId="0" borderId="0" xfId="0" applyFont="1" applyAlignment="1">
      <alignment horizontal="center" wrapText="1"/>
    </xf>
    <xf numFmtId="3" fontId="7" fillId="0" borderId="5" xfId="0" applyNumberFormat="1" applyFont="1" applyBorder="1"/>
    <xf numFmtId="0" fontId="30" fillId="4" borderId="0" xfId="0" applyFont="1" applyFill="1"/>
    <xf numFmtId="16" fontId="8" fillId="9" borderId="0" xfId="0" applyNumberFormat="1" applyFont="1" applyFill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8" fillId="0" borderId="5" xfId="0" applyFont="1" applyBorder="1"/>
    <xf numFmtId="164" fontId="8" fillId="0" borderId="5" xfId="0" applyNumberFormat="1" applyFont="1" applyBorder="1"/>
    <xf numFmtId="164" fontId="7" fillId="0" borderId="5" xfId="0" applyNumberFormat="1" applyFont="1" applyBorder="1"/>
    <xf numFmtId="0" fontId="37" fillId="0" borderId="0" xfId="3" applyAlignment="1" applyProtection="1"/>
    <xf numFmtId="166" fontId="8" fillId="0" borderId="0" xfId="1" applyNumberFormat="1" applyFont="1"/>
    <xf numFmtId="166" fontId="0" fillId="0" borderId="0" xfId="1" applyNumberFormat="1" applyFont="1"/>
    <xf numFmtId="166" fontId="7" fillId="0" borderId="0" xfId="1" applyNumberFormat="1" applyFont="1"/>
    <xf numFmtId="0" fontId="7" fillId="0" borderId="0" xfId="0" applyFont="1" applyBorder="1"/>
    <xf numFmtId="164" fontId="7" fillId="0" borderId="0" xfId="1" applyNumberFormat="1" applyFont="1" applyBorder="1"/>
    <xf numFmtId="1" fontId="7" fillId="0" borderId="0" xfId="0" applyNumberFormat="1" applyFont="1" applyBorder="1"/>
    <xf numFmtId="164" fontId="31" fillId="10" borderId="0" xfId="2" applyNumberFormat="1" applyFont="1"/>
    <xf numFmtId="1" fontId="32" fillId="10" borderId="5" xfId="2" applyNumberFormat="1" applyFont="1" applyBorder="1"/>
    <xf numFmtId="49" fontId="7" fillId="8" borderId="0" xfId="0" applyNumberFormat="1" applyFont="1" applyFill="1" applyBorder="1"/>
    <xf numFmtId="1" fontId="7" fillId="8" borderId="0" xfId="0" applyNumberFormat="1" applyFont="1" applyFill="1" applyBorder="1"/>
    <xf numFmtId="0" fontId="7" fillId="8" borderId="0" xfId="0" applyFont="1" applyFill="1" applyBorder="1"/>
    <xf numFmtId="49" fontId="7" fillId="8" borderId="0" xfId="0" applyNumberFormat="1" applyFont="1" applyFill="1" applyBorder="1" applyAlignment="1">
      <alignment wrapText="1"/>
    </xf>
    <xf numFmtId="49" fontId="7" fillId="8" borderId="16" xfId="0" applyNumberFormat="1" applyFont="1" applyFill="1" applyBorder="1"/>
    <xf numFmtId="3" fontId="7" fillId="8" borderId="0" xfId="0" applyNumberFormat="1" applyFont="1" applyFill="1" applyBorder="1"/>
    <xf numFmtId="4" fontId="7" fillId="8" borderId="0" xfId="0" applyNumberFormat="1" applyFont="1" applyFill="1" applyBorder="1"/>
    <xf numFmtId="0" fontId="31" fillId="10" borderId="0" xfId="2" applyFont="1"/>
    <xf numFmtId="49" fontId="31" fillId="10" borderId="0" xfId="2" applyNumberFormat="1" applyFont="1" applyAlignment="1">
      <alignment horizontal="left"/>
    </xf>
    <xf numFmtId="3" fontId="7" fillId="0" borderId="0" xfId="0" applyNumberFormat="1" applyFont="1" applyFill="1"/>
    <xf numFmtId="166" fontId="0" fillId="0" borderId="0" xfId="0" applyNumberFormat="1"/>
    <xf numFmtId="9" fontId="0" fillId="0" borderId="0" xfId="5" applyFont="1"/>
    <xf numFmtId="0" fontId="36" fillId="10" borderId="0" xfId="2" applyBorder="1"/>
    <xf numFmtId="1" fontId="36" fillId="10" borderId="0" xfId="2" applyNumberFormat="1" applyBorder="1"/>
    <xf numFmtId="49" fontId="36" fillId="10" borderId="0" xfId="2" applyNumberFormat="1" applyBorder="1" applyAlignment="1">
      <alignment horizontal="left"/>
    </xf>
    <xf numFmtId="0" fontId="2" fillId="10" borderId="0" xfId="2" applyFont="1"/>
    <xf numFmtId="49" fontId="2" fillId="10" borderId="0" xfId="2" applyNumberFormat="1" applyFont="1" applyAlignment="1">
      <alignment horizontal="left"/>
    </xf>
    <xf numFmtId="0" fontId="2" fillId="10" borderId="5" xfId="2" applyFont="1" applyBorder="1"/>
    <xf numFmtId="0" fontId="33" fillId="8" borderId="0" xfId="2" applyFont="1" applyFill="1"/>
    <xf numFmtId="0" fontId="34" fillId="8" borderId="0" xfId="0" applyFont="1" applyFill="1"/>
    <xf numFmtId="164" fontId="34" fillId="8" borderId="0" xfId="0" applyNumberFormat="1" applyFont="1" applyFill="1"/>
    <xf numFmtId="49" fontId="1" fillId="10" borderId="0" xfId="2" applyNumberFormat="1" applyFont="1" applyAlignment="1">
      <alignment wrapText="1"/>
    </xf>
    <xf numFmtId="0" fontId="34" fillId="0" borderId="0" xfId="0" applyFont="1"/>
    <xf numFmtId="0" fontId="8" fillId="8" borderId="0" xfId="0" applyFont="1" applyFill="1" applyAlignment="1">
      <alignment horizontal="left"/>
    </xf>
    <xf numFmtId="49" fontId="7" fillId="8" borderId="3" xfId="0" applyNumberFormat="1" applyFont="1" applyFill="1" applyBorder="1"/>
    <xf numFmtId="0" fontId="7" fillId="8" borderId="3" xfId="0" applyFont="1" applyFill="1" applyBorder="1"/>
    <xf numFmtId="49" fontId="7" fillId="8" borderId="21" xfId="0" applyNumberFormat="1" applyFont="1" applyFill="1" applyBorder="1" applyAlignment="1">
      <alignment horizontal="left"/>
    </xf>
    <xf numFmtId="3" fontId="7" fillId="8" borderId="3" xfId="0" quotePrefix="1" applyNumberFormat="1" applyFont="1" applyFill="1" applyBorder="1"/>
    <xf numFmtId="0" fontId="8" fillId="8" borderId="3" xfId="0" applyFont="1" applyFill="1" applyBorder="1"/>
    <xf numFmtId="49" fontId="8" fillId="8" borderId="22" xfId="0" applyNumberFormat="1" applyFont="1" applyFill="1" applyBorder="1"/>
    <xf numFmtId="0" fontId="8" fillId="8" borderId="22" xfId="0" applyFont="1" applyFill="1" applyBorder="1"/>
    <xf numFmtId="49" fontId="8" fillId="8" borderId="23" xfId="0" applyNumberFormat="1" applyFont="1" applyFill="1" applyBorder="1" applyAlignment="1">
      <alignment horizontal="left"/>
    </xf>
    <xf numFmtId="3" fontId="35" fillId="8" borderId="22" xfId="4" applyNumberFormat="1" applyFont="1" applyFill="1" applyBorder="1"/>
    <xf numFmtId="3" fontId="8" fillId="8" borderId="22" xfId="0" applyNumberFormat="1" applyFont="1" applyFill="1" applyBorder="1"/>
    <xf numFmtId="49" fontId="8" fillId="8" borderId="2" xfId="0" applyNumberFormat="1" applyFont="1" applyFill="1" applyBorder="1"/>
    <xf numFmtId="0" fontId="8" fillId="8" borderId="2" xfId="0" applyFont="1" applyFill="1" applyBorder="1"/>
    <xf numFmtId="49" fontId="8" fillId="8" borderId="24" xfId="0" applyNumberFormat="1" applyFont="1" applyFill="1" applyBorder="1" applyAlignment="1">
      <alignment horizontal="left"/>
    </xf>
    <xf numFmtId="3" fontId="35" fillId="8" borderId="2" xfId="4" applyNumberFormat="1" applyFont="1" applyFill="1" applyBorder="1"/>
    <xf numFmtId="3" fontId="8" fillId="8" borderId="2" xfId="0" applyNumberFormat="1" applyFont="1" applyFill="1" applyBorder="1"/>
    <xf numFmtId="0" fontId="7" fillId="8" borderId="0" xfId="0" applyFont="1" applyFill="1"/>
    <xf numFmtId="3" fontId="35" fillId="8" borderId="0" xfId="4" applyNumberFormat="1" applyFont="1" applyFill="1" applyBorder="1"/>
    <xf numFmtId="49" fontId="8" fillId="8" borderId="2" xfId="0" applyNumberFormat="1" applyFont="1" applyFill="1" applyBorder="1" applyAlignment="1">
      <alignment horizontal="left"/>
    </xf>
    <xf numFmtId="3" fontId="7" fillId="8" borderId="0" xfId="0" applyNumberFormat="1" applyFont="1" applyFill="1"/>
    <xf numFmtId="49" fontId="0" fillId="0" borderId="0" xfId="0" applyNumberFormat="1" applyAlignment="1">
      <alignment wrapText="1"/>
    </xf>
    <xf numFmtId="49" fontId="0" fillId="2" borderId="0" xfId="0" applyNumberFormat="1" applyFill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8" borderId="0" xfId="0" applyFont="1" applyFill="1" applyAlignment="1">
      <alignment horizontal="center" wrapText="1"/>
    </xf>
    <xf numFmtId="0" fontId="7" fillId="11" borderId="0" xfId="0" applyFont="1" applyFill="1"/>
    <xf numFmtId="0" fontId="38" fillId="11" borderId="0" xfId="0" applyFont="1" applyFill="1"/>
    <xf numFmtId="1" fontId="7" fillId="11" borderId="0" xfId="0" applyNumberFormat="1" applyFont="1" applyFill="1"/>
  </cellXfs>
  <cellStyles count="6">
    <cellStyle name="1000-sep (2 dec)" xfId="1" builtinId="3"/>
    <cellStyle name="20 % - Markeringsfarve3" xfId="2" builtinId="38"/>
    <cellStyle name="Hyperlink" xfId="3" builtinId="8"/>
    <cellStyle name="Normal" xfId="0" builtinId="0"/>
    <cellStyle name="Normal 2" xfId="4"/>
    <cellStyle name="Pro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5"/>
  <c:chart>
    <c:plotArea>
      <c:layout/>
      <c:barChart>
        <c:barDir val="col"/>
        <c:grouping val="clustered"/>
        <c:ser>
          <c:idx val="0"/>
          <c:order val="0"/>
          <c:tx>
            <c:strRef>
              <c:f>grafer!$B$1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grafer!$A$2:$A$7</c:f>
              <c:strCache>
                <c:ptCount val="6"/>
                <c:pt idx="0">
                  <c:v>Elforbrug i bygninger</c:v>
                </c:pt>
                <c:pt idx="1">
                  <c:v>Varmeforbrug i bygninger</c:v>
                </c:pt>
                <c:pt idx="2">
                  <c:v>Elforbrug til gadelys</c:v>
                </c:pt>
                <c:pt idx="3">
                  <c:v>Brændstof til egne og leasede køretøjer</c:v>
                </c:pt>
                <c:pt idx="4">
                  <c:v>Brændstof til vej og park </c:v>
                </c:pt>
                <c:pt idx="5">
                  <c:v>LPG tank- og flaskegas </c:v>
                </c:pt>
              </c:strCache>
            </c:strRef>
          </c:cat>
          <c:val>
            <c:numRef>
              <c:f>grafer!$B$2:$B$7</c:f>
              <c:numCache>
                <c:formatCode>0</c:formatCode>
                <c:ptCount val="6"/>
                <c:pt idx="0">
                  <c:v>5611.0751479999999</c:v>
                </c:pt>
                <c:pt idx="1">
                  <c:v>7632.4001940320477</c:v>
                </c:pt>
                <c:pt idx="2">
                  <c:v>2124.4008519999998</c:v>
                </c:pt>
                <c:pt idx="3" formatCode="#,##0">
                  <c:v>498.16515956699999</c:v>
                </c:pt>
                <c:pt idx="4" formatCode="_ * #,##0_ ;_ * \-#,##0_ ;_ * &quot;-&quot;??_ ;_ @_ ">
                  <c:v>941.89368772</c:v>
                </c:pt>
                <c:pt idx="5" formatCode="_ * #,##0_ ;_ * \-#,##0_ ;_ * &quot;-&quot;??_ ;_ @_ ">
                  <c:v>40.595289800000003</c:v>
                </c:pt>
              </c:numCache>
            </c:numRef>
          </c:val>
        </c:ser>
        <c:ser>
          <c:idx val="1"/>
          <c:order val="1"/>
          <c:tx>
            <c:strRef>
              <c:f>grafer!$C$1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grafer!$A$2:$A$7</c:f>
              <c:strCache>
                <c:ptCount val="6"/>
                <c:pt idx="0">
                  <c:v>Elforbrug i bygninger</c:v>
                </c:pt>
                <c:pt idx="1">
                  <c:v>Varmeforbrug i bygninger</c:v>
                </c:pt>
                <c:pt idx="2">
                  <c:v>Elforbrug til gadelys</c:v>
                </c:pt>
                <c:pt idx="3">
                  <c:v>Brændstof til egne og leasede køretøjer</c:v>
                </c:pt>
                <c:pt idx="4">
                  <c:v>Brændstof til vej og park </c:v>
                </c:pt>
                <c:pt idx="5">
                  <c:v>LPG tank- og flaskegas </c:v>
                </c:pt>
              </c:strCache>
            </c:strRef>
          </c:cat>
          <c:val>
            <c:numRef>
              <c:f>grafer!$C$2:$C$7</c:f>
              <c:numCache>
                <c:formatCode>0</c:formatCode>
                <c:ptCount val="6"/>
                <c:pt idx="0">
                  <c:v>5585.7707490000003</c:v>
                </c:pt>
                <c:pt idx="1">
                  <c:v>7529.0458386569644</c:v>
                </c:pt>
                <c:pt idx="2">
                  <c:v>2119.8973509999996</c:v>
                </c:pt>
                <c:pt idx="3" formatCode="#,##0">
                  <c:v>605.8815460687274</c:v>
                </c:pt>
                <c:pt idx="4" formatCode="_ * #,##0_ ;_ * \-#,##0_ ;_ * &quot;-&quot;??_ ;_ @_ ">
                  <c:v>805.13472135999996</c:v>
                </c:pt>
                <c:pt idx="5" formatCode="_ * #,##0_ ;_ * \-#,##0_ ;_ * &quot;-&quot;??_ ;_ @_ ">
                  <c:v>51.685139999999997</c:v>
                </c:pt>
              </c:numCache>
            </c:numRef>
          </c:val>
        </c:ser>
        <c:ser>
          <c:idx val="2"/>
          <c:order val="2"/>
          <c:tx>
            <c:strRef>
              <c:f>grafer!$D$1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grafer!$A$2:$A$7</c:f>
              <c:strCache>
                <c:ptCount val="6"/>
                <c:pt idx="0">
                  <c:v>Elforbrug i bygninger</c:v>
                </c:pt>
                <c:pt idx="1">
                  <c:v>Varmeforbrug i bygninger</c:v>
                </c:pt>
                <c:pt idx="2">
                  <c:v>Elforbrug til gadelys</c:v>
                </c:pt>
                <c:pt idx="3">
                  <c:v>Brændstof til egne og leasede køretøjer</c:v>
                </c:pt>
                <c:pt idx="4">
                  <c:v>Brændstof til vej og park </c:v>
                </c:pt>
                <c:pt idx="5">
                  <c:v>LPG tank- og flaskegas </c:v>
                </c:pt>
              </c:strCache>
            </c:strRef>
          </c:cat>
          <c:val>
            <c:numRef>
              <c:f>grafer!$D$2:$D$7</c:f>
              <c:numCache>
                <c:formatCode>0</c:formatCode>
                <c:ptCount val="6"/>
                <c:pt idx="0">
                  <c:v>5184.9209879999999</c:v>
                </c:pt>
                <c:pt idx="1">
                  <c:v>7030.3825360931869</c:v>
                </c:pt>
                <c:pt idx="2">
                  <c:v>2089.1814839999997</c:v>
                </c:pt>
                <c:pt idx="3" formatCode="#,##0">
                  <c:v>638.83877228342271</c:v>
                </c:pt>
                <c:pt idx="4" formatCode="_ * #,##0_ ;_ * \-#,##0_ ;_ * &quot;-&quot;??_ ;_ @_ ">
                  <c:v>812.39748544000008</c:v>
                </c:pt>
                <c:pt idx="5" formatCode="_ * #,##0_ ;_ * \-#,##0_ ;_ * &quot;-&quot;??_ ;_ @_ ">
                  <c:v>60.607300000000002</c:v>
                </c:pt>
              </c:numCache>
            </c:numRef>
          </c:val>
        </c:ser>
        <c:ser>
          <c:idx val="3"/>
          <c:order val="3"/>
          <c:tx>
            <c:strRef>
              <c:f>grafer!$E$1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grafer!$A$2:$A$7</c:f>
              <c:strCache>
                <c:ptCount val="6"/>
                <c:pt idx="0">
                  <c:v>Elforbrug i bygninger</c:v>
                </c:pt>
                <c:pt idx="1">
                  <c:v>Varmeforbrug i bygninger</c:v>
                </c:pt>
                <c:pt idx="2">
                  <c:v>Elforbrug til gadelys</c:v>
                </c:pt>
                <c:pt idx="3">
                  <c:v>Brændstof til egne og leasede køretøjer</c:v>
                </c:pt>
                <c:pt idx="4">
                  <c:v>Brændstof til vej og park </c:v>
                </c:pt>
                <c:pt idx="5">
                  <c:v>LPG tank- og flaskegas </c:v>
                </c:pt>
              </c:strCache>
            </c:strRef>
          </c:cat>
          <c:val>
            <c:numRef>
              <c:f>grafer!$E$2:$E$7</c:f>
              <c:numCache>
                <c:formatCode>0</c:formatCode>
                <c:ptCount val="6"/>
                <c:pt idx="0">
                  <c:v>4925.1329400000004</c:v>
                </c:pt>
                <c:pt idx="1">
                  <c:v>6995.0807927308306</c:v>
                </c:pt>
                <c:pt idx="2">
                  <c:v>1989.6203600000001</c:v>
                </c:pt>
                <c:pt idx="3" formatCode="#,##0">
                  <c:v>593.90994663251502</c:v>
                </c:pt>
                <c:pt idx="4" formatCode="_ * #,##0_ ;_ * \-#,##0_ ;_ * &quot;-&quot;??_ ;_ @_ ">
                  <c:v>1056.6478199500002</c:v>
                </c:pt>
                <c:pt idx="5" formatCode="_ * #,##0_ ;_ * \-#,##0_ ;_ * &quot;-&quot;??_ ;_ @_ ">
                  <c:v>49.873199999999997</c:v>
                </c:pt>
              </c:numCache>
            </c:numRef>
          </c:val>
        </c:ser>
        <c:dLbls/>
        <c:axId val="56608640"/>
        <c:axId val="56610176"/>
      </c:barChart>
      <c:catAx>
        <c:axId val="5660864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da-DK"/>
          </a:p>
        </c:txPr>
        <c:crossAx val="56610176"/>
        <c:crosses val="autoZero"/>
        <c:auto val="1"/>
        <c:lblAlgn val="ctr"/>
        <c:lblOffset val="100"/>
      </c:catAx>
      <c:valAx>
        <c:axId val="56610176"/>
        <c:scaling>
          <c:orientation val="minMax"/>
        </c:scaling>
        <c:axPos val="l"/>
        <c:numFmt formatCode="#,##0" sourceLinked="0"/>
        <c:minorTickMark val="out"/>
        <c:tickLblPos val="nextTo"/>
        <c:crossAx val="5660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456920486095277"/>
          <c:y val="9.8017127421116165E-2"/>
          <c:w val="0.13956730842170742"/>
          <c:h val="0.17892809931605266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5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Elforbrug i bygninger (MWh)</a:t>
            </a:r>
          </a:p>
        </c:rich>
      </c:tx>
      <c:layout>
        <c:manualLayout>
          <c:xMode val="edge"/>
          <c:yMode val="edge"/>
          <c:x val="0.21158690176322423"/>
          <c:y val="3.8910505836575876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grafer!$A$12</c:f>
              <c:strCache>
                <c:ptCount val="1"/>
                <c:pt idx="0">
                  <c:v>Elforbrug i bygninger</c:v>
                </c:pt>
              </c:strCache>
            </c:strRef>
          </c:tx>
          <c:cat>
            <c:numRef>
              <c:f>grafer!$B$11:$E$11</c:f>
              <c:numCache>
                <c:formatCode>@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grafer!$B$12:$E$12</c:f>
              <c:numCache>
                <c:formatCode>_ * #,##0_ ;_ * \-#,##0_ ;_ * "-"??_ ;_ @_ </c:formatCode>
                <c:ptCount val="4"/>
                <c:pt idx="0">
                  <c:v>11787.973</c:v>
                </c:pt>
                <c:pt idx="1">
                  <c:v>11612.829</c:v>
                </c:pt>
                <c:pt idx="2">
                  <c:v>11078.891</c:v>
                </c:pt>
                <c:pt idx="3">
                  <c:v>10824.468000000001</c:v>
                </c:pt>
              </c:numCache>
            </c:numRef>
          </c:val>
        </c:ser>
        <c:dLbls/>
        <c:axId val="56911744"/>
        <c:axId val="56913280"/>
      </c:barChart>
      <c:catAx>
        <c:axId val="56911744"/>
        <c:scaling>
          <c:orientation val="minMax"/>
        </c:scaling>
        <c:axPos val="b"/>
        <c:numFmt formatCode="@" sourceLinked="1"/>
        <c:tickLblPos val="nextTo"/>
        <c:crossAx val="56913280"/>
        <c:crosses val="autoZero"/>
        <c:auto val="1"/>
        <c:lblAlgn val="ctr"/>
        <c:lblOffset val="100"/>
      </c:catAx>
      <c:valAx>
        <c:axId val="56913280"/>
        <c:scaling>
          <c:orientation val="minMax"/>
          <c:min val="0"/>
        </c:scaling>
        <c:axPos val="l"/>
        <c:majorGridlines/>
        <c:numFmt formatCode="_ * #,##0_ ;_ * \-#,##0_ ;_ * &quot;-&quot;??_ ;_ @_ " sourceLinked="1"/>
        <c:tickLblPos val="nextTo"/>
        <c:crossAx val="5691174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4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Varmeforbrug i bygninger (MWh)</a:t>
            </a:r>
          </a:p>
        </c:rich>
      </c:tx>
      <c:layout>
        <c:manualLayout>
          <c:xMode val="edge"/>
          <c:yMode val="edge"/>
          <c:x val="0.16708229426433918"/>
          <c:y val="3.8910505836575876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grafer!$A$13</c:f>
              <c:strCache>
                <c:ptCount val="1"/>
                <c:pt idx="0">
                  <c:v>Varmeforbrug i bygninger</c:v>
                </c:pt>
              </c:strCache>
            </c:strRef>
          </c:tx>
          <c:cat>
            <c:numRef>
              <c:f>grafer!$B$11:$F$11</c:f>
              <c:numCache>
                <c:formatCode>@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grafer!$B$13:$E$13</c:f>
              <c:numCache>
                <c:formatCode>_ * #,##0_ ;_ * \-#,##0_ ;_ * "-"??_ ;_ @_ </c:formatCode>
                <c:ptCount val="4"/>
                <c:pt idx="0">
                  <c:v>37910.747060083479</c:v>
                </c:pt>
                <c:pt idx="1">
                  <c:v>37636.521701462174</c:v>
                </c:pt>
                <c:pt idx="2">
                  <c:v>35779.404603525363</c:v>
                </c:pt>
                <c:pt idx="3">
                  <c:v>36950.759476642088</c:v>
                </c:pt>
              </c:numCache>
            </c:numRef>
          </c:val>
        </c:ser>
        <c:dLbls/>
        <c:axId val="56937472"/>
        <c:axId val="58475264"/>
      </c:barChart>
      <c:catAx>
        <c:axId val="56937472"/>
        <c:scaling>
          <c:orientation val="minMax"/>
        </c:scaling>
        <c:axPos val="b"/>
        <c:numFmt formatCode="@" sourceLinked="1"/>
        <c:tickLblPos val="nextTo"/>
        <c:crossAx val="58475264"/>
        <c:crosses val="autoZero"/>
        <c:auto val="1"/>
        <c:lblAlgn val="ctr"/>
        <c:lblOffset val="100"/>
      </c:catAx>
      <c:valAx>
        <c:axId val="58475264"/>
        <c:scaling>
          <c:orientation val="minMax"/>
          <c:min val="0"/>
        </c:scaling>
        <c:axPos val="l"/>
        <c:majorGridlines/>
        <c:numFmt formatCode="_ * #,##0_ ;_ * \-#,##0_ ;_ * &quot;-&quot;??_ ;_ @_ " sourceLinked="1"/>
        <c:tickLblPos val="nextTo"/>
        <c:crossAx val="5693747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 sz="1400"/>
              <a:t>Vandforbrug i bygninger (m</a:t>
            </a:r>
            <a:r>
              <a:rPr lang="en-US" sz="1400" baseline="30000"/>
              <a:t>3</a:t>
            </a:r>
            <a:r>
              <a:rPr lang="en-US" sz="1400"/>
              <a:t>)</a:t>
            </a:r>
          </a:p>
        </c:rich>
      </c:tx>
      <c:layout>
        <c:manualLayout>
          <c:xMode val="edge"/>
          <c:yMode val="edge"/>
          <c:x val="0.20759493670886078"/>
          <c:y val="4.016064257028111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grafer!$A$21</c:f>
              <c:strCache>
                <c:ptCount val="1"/>
                <c:pt idx="0">
                  <c:v>Vandforbrug i bygninger</c:v>
                </c:pt>
              </c:strCache>
            </c:strRef>
          </c:tx>
          <c:cat>
            <c:numRef>
              <c:f>grafer!$B$20:$E$20</c:f>
              <c:numCache>
                <c:formatCode>@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grafer!$B$21:$E$21</c:f>
              <c:numCache>
                <c:formatCode>_ * #,##0_ ;_ * \-#,##0_ ;_ * "-"??_ ;_ @_ </c:formatCode>
                <c:ptCount val="4"/>
                <c:pt idx="0">
                  <c:v>162284.75</c:v>
                </c:pt>
                <c:pt idx="1">
                  <c:v>147374.75</c:v>
                </c:pt>
                <c:pt idx="2">
                  <c:v>135783.75</c:v>
                </c:pt>
                <c:pt idx="3">
                  <c:v>124018.75</c:v>
                </c:pt>
              </c:numCache>
            </c:numRef>
          </c:val>
        </c:ser>
        <c:dLbls/>
        <c:axId val="58487168"/>
        <c:axId val="58488704"/>
      </c:barChart>
      <c:catAx>
        <c:axId val="58487168"/>
        <c:scaling>
          <c:orientation val="minMax"/>
        </c:scaling>
        <c:axPos val="b"/>
        <c:numFmt formatCode="@" sourceLinked="1"/>
        <c:tickLblPos val="nextTo"/>
        <c:crossAx val="58488704"/>
        <c:crosses val="autoZero"/>
        <c:auto val="1"/>
        <c:lblAlgn val="ctr"/>
        <c:lblOffset val="100"/>
      </c:catAx>
      <c:valAx>
        <c:axId val="58488704"/>
        <c:scaling>
          <c:orientation val="minMax"/>
          <c:min val="0"/>
        </c:scaling>
        <c:axPos val="l"/>
        <c:majorGridlines/>
        <c:numFmt formatCode="_ * #,##0_ ;_ * \-#,##0_ ;_ * &quot;-&quot;??_ ;_ @_ " sourceLinked="1"/>
        <c:tickLblPos val="nextTo"/>
        <c:crossAx val="5848716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5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Elforbrug til gadelys (MWh)</a:t>
            </a:r>
          </a:p>
        </c:rich>
      </c:tx>
      <c:layout>
        <c:manualLayout>
          <c:xMode val="edge"/>
          <c:yMode val="edge"/>
          <c:x val="0.22604422604422608"/>
          <c:y val="4.2016892924626063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grafer!$A$14</c:f>
              <c:strCache>
                <c:ptCount val="1"/>
                <c:pt idx="0">
                  <c:v>Elforbrug til gadelys</c:v>
                </c:pt>
              </c:strCache>
            </c:strRef>
          </c:tx>
          <c:cat>
            <c:numRef>
              <c:f>grafer!$B$11:$E$11</c:f>
              <c:numCache>
                <c:formatCode>@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grafer!$B$14:$E$14</c:f>
              <c:numCache>
                <c:formatCode>_ * #,##0_ ;_ * \-#,##0_ ;_ * "-"??_ ;_ @_ </c:formatCode>
                <c:ptCount val="4"/>
                <c:pt idx="0">
                  <c:v>4463.027</c:v>
                </c:pt>
                <c:pt idx="1">
                  <c:v>4407.2709999999997</c:v>
                </c:pt>
                <c:pt idx="2">
                  <c:v>4464.0630000000001</c:v>
                </c:pt>
                <c:pt idx="3">
                  <c:v>4372.7920000000004</c:v>
                </c:pt>
              </c:numCache>
            </c:numRef>
          </c:val>
        </c:ser>
        <c:dLbls/>
        <c:axId val="58521088"/>
        <c:axId val="58522624"/>
      </c:barChart>
      <c:catAx>
        <c:axId val="58521088"/>
        <c:scaling>
          <c:orientation val="minMax"/>
        </c:scaling>
        <c:axPos val="b"/>
        <c:numFmt formatCode="@" sourceLinked="1"/>
        <c:tickLblPos val="nextTo"/>
        <c:crossAx val="58522624"/>
        <c:crosses val="autoZero"/>
        <c:auto val="1"/>
        <c:lblAlgn val="ctr"/>
        <c:lblOffset val="100"/>
      </c:catAx>
      <c:valAx>
        <c:axId val="58522624"/>
        <c:scaling>
          <c:orientation val="minMax"/>
          <c:min val="0"/>
        </c:scaling>
        <c:axPos val="l"/>
        <c:majorGridlines/>
        <c:numFmt formatCode="_ * #,##0_ ;_ * \-#,##0_ ;_ * &quot;-&quot;??_ ;_ @_ " sourceLinked="1"/>
        <c:tickLblPos val="nextTo"/>
        <c:crossAx val="5852108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8"/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Brændstof</a:t>
            </a:r>
            <a:r>
              <a:rPr lang="en-US" sz="1400" baseline="0"/>
              <a:t> til egne og leasede køretøjer</a:t>
            </a:r>
            <a:endParaRPr lang="en-US" sz="1400"/>
          </a:p>
        </c:rich>
      </c:tx>
      <c:layout>
        <c:manualLayout>
          <c:xMode val="edge"/>
          <c:yMode val="edge"/>
          <c:x val="0.19444492395863902"/>
          <c:y val="3.9062574505948078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grafer!$A$15</c:f>
              <c:strCache>
                <c:ptCount val="1"/>
                <c:pt idx="0">
                  <c:v>Brændstof til egne og leasede køretøjer</c:v>
                </c:pt>
              </c:strCache>
            </c:strRef>
          </c:tx>
          <c:cat>
            <c:numRef>
              <c:f>grafer!$B$11:$E$11</c:f>
              <c:numCache>
                <c:formatCode>@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grafer!$B$15:$E$15</c:f>
              <c:numCache>
                <c:formatCode>_ * #,##0_ ;_ * \-#,##0_ ;_ * "-"??_ ;_ @_ </c:formatCode>
                <c:ptCount val="4"/>
                <c:pt idx="0">
                  <c:v>201283</c:v>
                </c:pt>
                <c:pt idx="1">
                  <c:v>244805.66915468857</c:v>
                </c:pt>
                <c:pt idx="2">
                  <c:v>258121.99454753319</c:v>
                </c:pt>
                <c:pt idx="3">
                  <c:v>239968.55960769899</c:v>
                </c:pt>
              </c:numCache>
            </c:numRef>
          </c:val>
        </c:ser>
        <c:dLbls/>
        <c:axId val="58538624"/>
        <c:axId val="58552704"/>
      </c:barChart>
      <c:catAx>
        <c:axId val="58538624"/>
        <c:scaling>
          <c:orientation val="minMax"/>
        </c:scaling>
        <c:axPos val="b"/>
        <c:numFmt formatCode="@" sourceLinked="1"/>
        <c:tickLblPos val="nextTo"/>
        <c:crossAx val="58552704"/>
        <c:crosses val="autoZero"/>
        <c:auto val="1"/>
        <c:lblAlgn val="ctr"/>
        <c:lblOffset val="100"/>
      </c:catAx>
      <c:valAx>
        <c:axId val="58552704"/>
        <c:scaling>
          <c:orientation val="minMax"/>
          <c:min val="0"/>
        </c:scaling>
        <c:axPos val="l"/>
        <c:majorGridlines/>
        <c:numFmt formatCode="_ * #,##0_ ;_ * \-#,##0_ ;_ * &quot;-&quot;??_ ;_ @_ " sourceLinked="1"/>
        <c:tickLblPos val="nextTo"/>
        <c:crossAx val="5853862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1"/>
  <c:chart>
    <c:title>
      <c:tx>
        <c:rich>
          <a:bodyPr/>
          <a:lstStyle/>
          <a:p>
            <a:pPr>
              <a:defRPr/>
            </a:pPr>
            <a:r>
              <a:rPr lang="en-US" sz="1400"/>
              <a:t>Samlet CO</a:t>
            </a:r>
            <a:r>
              <a:rPr lang="en-US" sz="1400" baseline="-25000"/>
              <a:t>2</a:t>
            </a:r>
            <a:r>
              <a:rPr lang="en-US" sz="1400"/>
              <a:t>-udledning (ton)</a:t>
            </a:r>
          </a:p>
        </c:rich>
      </c:tx>
      <c:layout>
        <c:manualLayout>
          <c:xMode val="edge"/>
          <c:yMode val="edge"/>
          <c:x val="0.22361809045226136"/>
          <c:y val="3.7735918587703789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grafer!$A$8</c:f>
              <c:strCache>
                <c:ptCount val="1"/>
                <c:pt idx="0">
                  <c:v>I alt</c:v>
                </c:pt>
              </c:strCache>
            </c:strRef>
          </c:tx>
          <c:cat>
            <c:numRef>
              <c:f>grafer!$B$1:$E$1</c:f>
              <c:numCache>
                <c:formatCode>@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grafer!$B$8:$E$8</c:f>
              <c:numCache>
                <c:formatCode>0</c:formatCode>
                <c:ptCount val="4"/>
                <c:pt idx="0">
                  <c:v>16848.530331119047</c:v>
                </c:pt>
                <c:pt idx="1">
                  <c:v>16697.415346085694</c:v>
                </c:pt>
                <c:pt idx="2">
                  <c:v>15816.32856581661</c:v>
                </c:pt>
                <c:pt idx="3">
                  <c:v>15610.265059313346</c:v>
                </c:pt>
              </c:numCache>
            </c:numRef>
          </c:val>
        </c:ser>
        <c:dLbls/>
        <c:axId val="58589184"/>
        <c:axId val="58590720"/>
      </c:barChart>
      <c:catAx>
        <c:axId val="58589184"/>
        <c:scaling>
          <c:orientation val="minMax"/>
        </c:scaling>
        <c:axPos val="b"/>
        <c:numFmt formatCode="@" sourceLinked="1"/>
        <c:tickLblPos val="nextTo"/>
        <c:crossAx val="58590720"/>
        <c:crosses val="autoZero"/>
        <c:auto val="1"/>
        <c:lblAlgn val="ctr"/>
        <c:lblOffset val="100"/>
      </c:catAx>
      <c:valAx>
        <c:axId val="58590720"/>
        <c:scaling>
          <c:orientation val="minMax"/>
          <c:min val="0"/>
        </c:scaling>
        <c:axPos val="l"/>
        <c:majorGridlines/>
        <c:numFmt formatCode="0" sourceLinked="1"/>
        <c:tickLblPos val="nextTo"/>
        <c:crossAx val="5858918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8"/>
  <c:chart>
    <c:title>
      <c:tx>
        <c:rich>
          <a:bodyPr/>
          <a:lstStyle/>
          <a:p>
            <a:pPr algn="r">
              <a:defRPr sz="1400"/>
            </a:pPr>
            <a:r>
              <a:rPr lang="en-US" sz="1400"/>
              <a:t>Brændstof</a:t>
            </a:r>
            <a:r>
              <a:rPr lang="en-US" sz="1400" baseline="0"/>
              <a:t> til Vej og Park  (liter)</a:t>
            </a:r>
            <a:endParaRPr lang="en-US" sz="1400"/>
          </a:p>
        </c:rich>
      </c:tx>
      <c:layout>
        <c:manualLayout>
          <c:xMode val="edge"/>
          <c:yMode val="edge"/>
          <c:x val="0.16883116883116886"/>
          <c:y val="3.8167938931297704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grafer!$A$16</c:f>
              <c:strCache>
                <c:ptCount val="1"/>
                <c:pt idx="0">
                  <c:v>Brændstof til Vej og Park</c:v>
                </c:pt>
              </c:strCache>
            </c:strRef>
          </c:tx>
          <c:cat>
            <c:numRef>
              <c:f>grafer!$B$11:$E$11</c:f>
              <c:numCache>
                <c:formatCode>@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grafer!$B$16:$E$16</c:f>
              <c:numCache>
                <c:formatCode>_ * #,##0_ ;_ * \-#,##0_ ;_ * "-"??_ ;_ @_ </c:formatCode>
                <c:ptCount val="4"/>
                <c:pt idx="0">
                  <c:v>355990</c:v>
                </c:pt>
                <c:pt idx="1">
                  <c:v>304468</c:v>
                </c:pt>
                <c:pt idx="2">
                  <c:v>306938</c:v>
                </c:pt>
                <c:pt idx="3">
                  <c:v>398763</c:v>
                </c:pt>
              </c:numCache>
            </c:numRef>
          </c:val>
        </c:ser>
        <c:dLbls/>
        <c:axId val="58602624"/>
        <c:axId val="58604160"/>
      </c:barChart>
      <c:catAx>
        <c:axId val="58602624"/>
        <c:scaling>
          <c:orientation val="minMax"/>
        </c:scaling>
        <c:axPos val="b"/>
        <c:numFmt formatCode="@" sourceLinked="1"/>
        <c:tickLblPos val="nextTo"/>
        <c:crossAx val="58604160"/>
        <c:crosses val="autoZero"/>
        <c:auto val="1"/>
        <c:lblAlgn val="ctr"/>
        <c:lblOffset val="100"/>
      </c:catAx>
      <c:valAx>
        <c:axId val="58604160"/>
        <c:scaling>
          <c:orientation val="minMax"/>
          <c:min val="0"/>
        </c:scaling>
        <c:axPos val="l"/>
        <c:majorGridlines/>
        <c:numFmt formatCode="_ * #,##0_ ;_ * \-#,##0_ ;_ * &quot;-&quot;??_ ;_ @_ " sourceLinked="1"/>
        <c:tickLblPos val="nextTo"/>
        <c:crossAx val="5860262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8"/>
  <c:chart>
    <c:title>
      <c:tx>
        <c:rich>
          <a:bodyPr/>
          <a:lstStyle/>
          <a:p>
            <a:pPr algn="r">
              <a:defRPr sz="1400"/>
            </a:pPr>
            <a:r>
              <a:rPr lang="en-US" sz="1400"/>
              <a:t>Flydende gas til</a:t>
            </a:r>
            <a:r>
              <a:rPr lang="en-US" sz="1400" baseline="0"/>
              <a:t> </a:t>
            </a:r>
            <a:r>
              <a:rPr lang="en-US" sz="1400"/>
              <a:t>Vej og Park (kg)</a:t>
            </a:r>
          </a:p>
        </c:rich>
      </c:tx>
      <c:layout>
        <c:manualLayout>
          <c:xMode val="edge"/>
          <c:yMode val="edge"/>
          <c:x val="0.17676811268967188"/>
          <c:y val="3.8759836633344813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grafer!$A$17</c:f>
              <c:strCache>
                <c:ptCount val="1"/>
                <c:pt idx="0">
                  <c:v>LPG tank- og flaskegas (udkrudtsafbrænding mm)</c:v>
                </c:pt>
              </c:strCache>
            </c:strRef>
          </c:tx>
          <c:cat>
            <c:numRef>
              <c:f>grafer!$B$11:$E$11</c:f>
              <c:numCache>
                <c:formatCode>@</c:formatCod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numCache>
            </c:numRef>
          </c:cat>
          <c:val>
            <c:numRef>
              <c:f>grafer!$B$17:$E$17</c:f>
              <c:numCache>
                <c:formatCode>_ * #,##0_ ;_ * \-#,##0_ ;_ * "-"??_ ;_ @_ </c:formatCode>
                <c:ptCount val="4"/>
                <c:pt idx="0">
                  <c:v>13577.02</c:v>
                </c:pt>
                <c:pt idx="1">
                  <c:v>17286</c:v>
                </c:pt>
                <c:pt idx="2">
                  <c:v>20270</c:v>
                </c:pt>
                <c:pt idx="3">
                  <c:v>16680</c:v>
                </c:pt>
              </c:numCache>
            </c:numRef>
          </c:val>
        </c:ser>
        <c:dLbls/>
        <c:axId val="58664832"/>
        <c:axId val="58666368"/>
      </c:barChart>
      <c:catAx>
        <c:axId val="58664832"/>
        <c:scaling>
          <c:orientation val="minMax"/>
        </c:scaling>
        <c:axPos val="b"/>
        <c:numFmt formatCode="@" sourceLinked="1"/>
        <c:tickLblPos val="nextTo"/>
        <c:crossAx val="58666368"/>
        <c:crosses val="autoZero"/>
        <c:auto val="1"/>
        <c:lblAlgn val="ctr"/>
        <c:lblOffset val="100"/>
      </c:catAx>
      <c:valAx>
        <c:axId val="58666368"/>
        <c:scaling>
          <c:orientation val="minMax"/>
          <c:min val="0"/>
        </c:scaling>
        <c:axPos val="l"/>
        <c:majorGridlines/>
        <c:numFmt formatCode="_ * #,##0_ ;_ * \-#,##0_ ;_ * &quot;-&quot;??_ ;_ @_ " sourceLinked="1"/>
        <c:tickLblPos val="nextTo"/>
        <c:crossAx val="5866483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0</xdr:rowOff>
    </xdr:from>
    <xdr:to>
      <xdr:col>11</xdr:col>
      <xdr:colOff>533400</xdr:colOff>
      <xdr:row>27</xdr:row>
      <xdr:rowOff>104775</xdr:rowOff>
    </xdr:to>
    <xdr:graphicFrame macro="">
      <xdr:nvGraphicFramePr>
        <xdr:cNvPr id="8193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142875</xdr:rowOff>
    </xdr:from>
    <xdr:to>
      <xdr:col>2</xdr:col>
      <xdr:colOff>742950</xdr:colOff>
      <xdr:row>59</xdr:row>
      <xdr:rowOff>0</xdr:rowOff>
    </xdr:to>
    <xdr:graphicFrame macro="">
      <xdr:nvGraphicFramePr>
        <xdr:cNvPr id="819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9525</xdr:rowOff>
    </xdr:from>
    <xdr:to>
      <xdr:col>3</xdr:col>
      <xdr:colOff>28575</xdr:colOff>
      <xdr:row>74</xdr:row>
      <xdr:rowOff>28575</xdr:rowOff>
    </xdr:to>
    <xdr:graphicFrame macro="">
      <xdr:nvGraphicFramePr>
        <xdr:cNvPr id="819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29</xdr:row>
      <xdr:rowOff>28575</xdr:rowOff>
    </xdr:from>
    <xdr:to>
      <xdr:col>2</xdr:col>
      <xdr:colOff>742950</xdr:colOff>
      <xdr:row>43</xdr:row>
      <xdr:rowOff>133350</xdr:rowOff>
    </xdr:to>
    <xdr:graphicFrame macro="">
      <xdr:nvGraphicFramePr>
        <xdr:cNvPr id="819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171450</xdr:colOff>
      <xdr:row>44</xdr:row>
      <xdr:rowOff>133350</xdr:rowOff>
    </xdr:from>
    <xdr:to>
      <xdr:col>9</xdr:col>
      <xdr:colOff>485775</xdr:colOff>
      <xdr:row>58</xdr:row>
      <xdr:rowOff>133350</xdr:rowOff>
    </xdr:to>
    <xdr:graphicFrame macro="">
      <xdr:nvGraphicFramePr>
        <xdr:cNvPr id="819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200025</xdr:colOff>
      <xdr:row>59</xdr:row>
      <xdr:rowOff>19050</xdr:rowOff>
    </xdr:from>
    <xdr:to>
      <xdr:col>9</xdr:col>
      <xdr:colOff>409575</xdr:colOff>
      <xdr:row>74</xdr:row>
      <xdr:rowOff>28575</xdr:rowOff>
    </xdr:to>
    <xdr:graphicFrame macro="">
      <xdr:nvGraphicFramePr>
        <xdr:cNvPr id="819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171450</xdr:colOff>
      <xdr:row>29</xdr:row>
      <xdr:rowOff>38100</xdr:rowOff>
    </xdr:from>
    <xdr:to>
      <xdr:col>9</xdr:col>
      <xdr:colOff>400050</xdr:colOff>
      <xdr:row>44</xdr:row>
      <xdr:rowOff>133350</xdr:rowOff>
    </xdr:to>
    <xdr:graphicFrame macro="">
      <xdr:nvGraphicFramePr>
        <xdr:cNvPr id="819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74</xdr:row>
      <xdr:rowOff>76200</xdr:rowOff>
    </xdr:from>
    <xdr:to>
      <xdr:col>3</xdr:col>
      <xdr:colOff>47625</xdr:colOff>
      <xdr:row>89</xdr:row>
      <xdr:rowOff>142875</xdr:rowOff>
    </xdr:to>
    <xdr:graphicFrame macro="">
      <xdr:nvGraphicFramePr>
        <xdr:cNvPr id="820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228600</xdr:colOff>
      <xdr:row>74</xdr:row>
      <xdr:rowOff>95250</xdr:rowOff>
    </xdr:from>
    <xdr:to>
      <xdr:col>9</xdr:col>
      <xdr:colOff>438150</xdr:colOff>
      <xdr:row>89</xdr:row>
      <xdr:rowOff>123825</xdr:rowOff>
    </xdr:to>
    <xdr:graphicFrame macro="">
      <xdr:nvGraphicFramePr>
        <xdr:cNvPr id="820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0.21348</cdr:x>
      <cdr:y>0</cdr:y>
    </cdr:from>
    <cdr:to>
      <cdr:x>0.75506</cdr:x>
      <cdr:y>0.07863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723889" y="0"/>
          <a:ext cx="1836431" cy="404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r>
            <a:rPr lang="da-DK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CO</a:t>
          </a:r>
          <a:r>
            <a:rPr lang="da-DK" sz="1400" b="1" i="0" u="none" strike="noStrike" kern="1200" baseline="-25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  <a:r>
            <a:rPr lang="da-DK"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-udledning (ton)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c03\enervision\Sager\S&#248;nderborg\S&#248;nderborg%20kommunes%20bygninger\CO2-regnskab%20for%20S&#248;nderborg%20Kommune\CO2%20regnskab%202009-10\CO2%20beregning%20for%20transportbr&#230;ndsl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egnet CO2  på mix"/>
      <sheetName val="priser, diesel"/>
      <sheetName val="priser, benzin"/>
      <sheetName val="Brændsel og drivmidler 2009, rå"/>
      <sheetName val="Brændsel og drivmidler 2010, rå"/>
    </sheetNames>
    <sheetDataSet>
      <sheetData sheetId="0"/>
      <sheetData sheetId="1">
        <row r="15">
          <cell r="D15">
            <v>8.9608333333333334</v>
          </cell>
        </row>
        <row r="29">
          <cell r="D29">
            <v>10.092499999999999</v>
          </cell>
        </row>
        <row r="43">
          <cell r="D43">
            <v>8.5366666666666653</v>
          </cell>
        </row>
        <row r="57">
          <cell r="D57">
            <v>9.7258333333333358</v>
          </cell>
        </row>
      </sheetData>
      <sheetData sheetId="2">
        <row r="14">
          <cell r="D14">
            <v>10.064166666666665</v>
          </cell>
        </row>
        <row r="28">
          <cell r="D28">
            <v>10.491666666666665</v>
          </cell>
        </row>
        <row r="42">
          <cell r="D42">
            <v>9.8783333333333356</v>
          </cell>
        </row>
        <row r="56">
          <cell r="D56">
            <v>11.053333333333333</v>
          </cell>
        </row>
      </sheetData>
      <sheetData sheetId="3">
        <row r="981">
          <cell r="D981">
            <v>2445921</v>
          </cell>
        </row>
      </sheetData>
      <sheetData sheetId="4">
        <row r="778">
          <cell r="D778">
            <v>2556885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degulesider.dk/de-gule-sider/S%C3%B8nderborg/15905234/Varroc+Engineering+Pvt+Ltd/" TargetMode="External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file:///\\sedc03\enervision\Sager\S&#248;nderborg\S&#248;nderborg%20kommunes%20bygninger\CO2-regnskab%20for%20S&#248;nderborg%20Kommune\CO2%20regnskab%202009-10\CO2%20beregning%20for%20transportbr&#230;ndsle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opLeftCell="A65" workbookViewId="0">
      <selection activeCell="K76" sqref="K76"/>
    </sheetView>
  </sheetViews>
  <sheetFormatPr defaultRowHeight="12.75"/>
  <cols>
    <col min="1" max="1" width="34.28515625" bestFit="1" customWidth="1"/>
    <col min="2" max="3" width="11.28515625" bestFit="1" customWidth="1"/>
    <col min="6" max="6" width="7.7109375" customWidth="1"/>
  </cols>
  <sheetData>
    <row r="1" spans="1:6" s="289" customFormat="1" ht="15">
      <c r="A1" s="50" t="s">
        <v>1245</v>
      </c>
      <c r="B1" s="51">
        <v>2007</v>
      </c>
      <c r="C1" s="51">
        <v>2008</v>
      </c>
      <c r="D1" s="51">
        <v>2009</v>
      </c>
      <c r="E1" s="51">
        <v>2010</v>
      </c>
      <c r="F1" s="52"/>
    </row>
    <row r="2" spans="1:6" s="10" customFormat="1" ht="15">
      <c r="A2" s="306" t="s">
        <v>1237</v>
      </c>
      <c r="B2" s="307">
        <f>'Total '!G3</f>
        <v>5611.0751479999999</v>
      </c>
      <c r="C2" s="307">
        <f>'Total '!H3</f>
        <v>5585.7707490000003</v>
      </c>
      <c r="D2" s="307">
        <f>'Total '!I3</f>
        <v>5184.9209879999999</v>
      </c>
      <c r="E2" s="307">
        <f>'Total '!J3</f>
        <v>4925.1329400000004</v>
      </c>
      <c r="F2" s="308" t="s">
        <v>1227</v>
      </c>
    </row>
    <row r="3" spans="1:6" ht="15">
      <c r="A3" s="41" t="s">
        <v>1238</v>
      </c>
      <c r="B3" s="44">
        <f>'Total '!G4</f>
        <v>7632.4001940320477</v>
      </c>
      <c r="C3" s="44">
        <f>'Total '!H4</f>
        <v>7529.0458386569644</v>
      </c>
      <c r="D3" s="44">
        <f>'Total '!I4</f>
        <v>7030.3825360931869</v>
      </c>
      <c r="E3" s="44">
        <f>'Total '!J4</f>
        <v>6995.0807927308306</v>
      </c>
      <c r="F3" s="40" t="s">
        <v>1243</v>
      </c>
    </row>
    <row r="4" spans="1:6" ht="15">
      <c r="A4" s="41" t="s">
        <v>1188</v>
      </c>
      <c r="B4" s="44">
        <f>'Total '!G7</f>
        <v>2124.4008519999998</v>
      </c>
      <c r="C4" s="44">
        <f>'Total '!H7</f>
        <v>2119.8973509999996</v>
      </c>
      <c r="D4" s="44">
        <f>'Total '!I7</f>
        <v>2089.1814839999997</v>
      </c>
      <c r="E4" s="44">
        <f>'Total '!J7</f>
        <v>1989.6203600000001</v>
      </c>
      <c r="F4" s="40" t="s">
        <v>1243</v>
      </c>
    </row>
    <row r="5" spans="1:6" ht="15">
      <c r="A5" s="41" t="s">
        <v>1239</v>
      </c>
      <c r="B5" s="45">
        <f>'Total '!G12</f>
        <v>498.16515956699999</v>
      </c>
      <c r="C5" s="45">
        <f>'Total '!H12</f>
        <v>605.8815460687274</v>
      </c>
      <c r="D5" s="45">
        <f>'Total '!I12</f>
        <v>638.83877228342271</v>
      </c>
      <c r="E5" s="45">
        <f>'Total '!J12</f>
        <v>593.90994663251502</v>
      </c>
      <c r="F5" s="46" t="s">
        <v>1243</v>
      </c>
    </row>
    <row r="6" spans="1:6" ht="15">
      <c r="A6" s="41" t="s">
        <v>1240</v>
      </c>
      <c r="B6" s="292">
        <f>'Total '!G13</f>
        <v>941.89368772</v>
      </c>
      <c r="C6" s="292">
        <f>'Total '!H13</f>
        <v>805.13472135999996</v>
      </c>
      <c r="D6" s="292">
        <f>'Total '!I13</f>
        <v>812.39748544000008</v>
      </c>
      <c r="E6" s="292">
        <f>'Total '!J13</f>
        <v>1056.6478199500002</v>
      </c>
      <c r="F6" s="46" t="s">
        <v>1227</v>
      </c>
    </row>
    <row r="7" spans="1:6" ht="15">
      <c r="A7" s="309" t="s">
        <v>46</v>
      </c>
      <c r="B7" s="42">
        <f>'Total '!G14</f>
        <v>40.595289800000003</v>
      </c>
      <c r="C7" s="42">
        <f>'Total '!H14</f>
        <v>51.685139999999997</v>
      </c>
      <c r="D7" s="42">
        <f>'Total '!I14</f>
        <v>60.607300000000002</v>
      </c>
      <c r="E7" s="42">
        <f>'Total '!J14</f>
        <v>49.873199999999997</v>
      </c>
      <c r="F7" s="40" t="s">
        <v>1227</v>
      </c>
    </row>
    <row r="8" spans="1:6" s="289" customFormat="1" ht="15.75" thickBot="1">
      <c r="A8" s="47" t="s">
        <v>1241</v>
      </c>
      <c r="B8" s="48">
        <f>SUM(B2:B7)</f>
        <v>16848.530331119047</v>
      </c>
      <c r="C8" s="48">
        <f>SUM(C2:C7)</f>
        <v>16697.415346085694</v>
      </c>
      <c r="D8" s="48">
        <f>SUM(D2:D7)</f>
        <v>15816.32856581661</v>
      </c>
      <c r="E8" s="293">
        <f>SUM(E2:E7)</f>
        <v>15610.265059313346</v>
      </c>
      <c r="F8" s="49" t="s">
        <v>1227</v>
      </c>
    </row>
    <row r="9" spans="1:6" ht="13.5" thickTop="1">
      <c r="F9" s="39"/>
    </row>
    <row r="10" spans="1:6">
      <c r="F10" s="39"/>
    </row>
    <row r="11" spans="1:6" s="289" customFormat="1" ht="15">
      <c r="A11" s="50" t="s">
        <v>1242</v>
      </c>
      <c r="B11" s="51">
        <v>2007</v>
      </c>
      <c r="C11" s="51">
        <v>2008</v>
      </c>
      <c r="D11" s="51">
        <v>2009</v>
      </c>
      <c r="E11" s="51">
        <v>2010</v>
      </c>
      <c r="F11" s="52"/>
    </row>
    <row r="12" spans="1:6" ht="15">
      <c r="A12" s="41" t="s">
        <v>1237</v>
      </c>
      <c r="B12" s="42">
        <f>'Total '!B3</f>
        <v>11787.973</v>
      </c>
      <c r="C12" s="42">
        <f>'Total '!C3</f>
        <v>11612.829</v>
      </c>
      <c r="D12" s="42">
        <f>'Total '!D3</f>
        <v>11078.891</v>
      </c>
      <c r="E12" s="42">
        <f>'Total '!E3</f>
        <v>10824.468000000001</v>
      </c>
      <c r="F12" s="43" t="s">
        <v>415</v>
      </c>
    </row>
    <row r="13" spans="1:6" ht="15">
      <c r="A13" s="41" t="s">
        <v>1238</v>
      </c>
      <c r="B13" s="42">
        <f>'Total '!B4</f>
        <v>37910.747060083479</v>
      </c>
      <c r="C13" s="42">
        <f>'Total '!C4</f>
        <v>37636.521701462174</v>
      </c>
      <c r="D13" s="42">
        <f>'Total '!D4</f>
        <v>35779.404603525363</v>
      </c>
      <c r="E13" s="42">
        <f>'Total '!E4</f>
        <v>36950.759476642088</v>
      </c>
      <c r="F13" s="43" t="s">
        <v>415</v>
      </c>
    </row>
    <row r="14" spans="1:6" ht="15">
      <c r="A14" s="41" t="s">
        <v>1188</v>
      </c>
      <c r="B14" s="42">
        <f>'Total '!B7</f>
        <v>4463.027</v>
      </c>
      <c r="C14" s="42">
        <f>'Total '!C7</f>
        <v>4407.2709999999997</v>
      </c>
      <c r="D14" s="42">
        <f>'Total '!D7</f>
        <v>4464.0630000000001</v>
      </c>
      <c r="E14" s="42">
        <f>'Total '!E7</f>
        <v>4372.7920000000004</v>
      </c>
      <c r="F14" s="43" t="s">
        <v>415</v>
      </c>
    </row>
    <row r="15" spans="1:6" ht="15">
      <c r="A15" s="41" t="s">
        <v>1239</v>
      </c>
      <c r="B15" s="42">
        <f>'Total '!B12</f>
        <v>201283</v>
      </c>
      <c r="C15" s="42">
        <f>'Total '!C12</f>
        <v>244805.66915468857</v>
      </c>
      <c r="D15" s="42">
        <f>'Total '!D12</f>
        <v>258121.99454753319</v>
      </c>
      <c r="E15" s="42">
        <f>'Total '!E12</f>
        <v>239968.55960769899</v>
      </c>
      <c r="F15" s="43" t="s">
        <v>1220</v>
      </c>
    </row>
    <row r="16" spans="1:6" s="3" customFormat="1" ht="15">
      <c r="A16" s="301" t="s">
        <v>52</v>
      </c>
      <c r="B16" s="292">
        <f>'Total '!B13</f>
        <v>355990</v>
      </c>
      <c r="C16" s="292">
        <f>'Total '!C13</f>
        <v>304468</v>
      </c>
      <c r="D16" s="292">
        <f>'Total '!D13</f>
        <v>306938</v>
      </c>
      <c r="E16" s="292">
        <f>'Total '!E13</f>
        <v>398763</v>
      </c>
      <c r="F16" s="302" t="s">
        <v>1220</v>
      </c>
    </row>
    <row r="17" spans="1:6" ht="30">
      <c r="A17" s="315" t="s">
        <v>51</v>
      </c>
      <c r="B17" s="42">
        <f>'Total '!B14</f>
        <v>13577.02</v>
      </c>
      <c r="C17" s="42">
        <f>'Total '!C14</f>
        <v>17286</v>
      </c>
      <c r="D17" s="42">
        <f>'Total '!D14</f>
        <v>20270</v>
      </c>
      <c r="E17" s="42">
        <f>'Total '!E14</f>
        <v>16680</v>
      </c>
      <c r="F17" s="310" t="s">
        <v>41</v>
      </c>
    </row>
    <row r="18" spans="1:6" s="313" customFormat="1" ht="15">
      <c r="A18" s="312" t="s">
        <v>58</v>
      </c>
      <c r="B18" s="314"/>
      <c r="C18" s="314"/>
      <c r="D18" s="314"/>
      <c r="E18" s="314"/>
      <c r="F18" s="314"/>
    </row>
    <row r="20" spans="1:6" ht="15">
      <c r="A20" s="50" t="s">
        <v>1463</v>
      </c>
      <c r="B20" s="51">
        <v>2007</v>
      </c>
      <c r="C20" s="51">
        <v>2008</v>
      </c>
      <c r="D20" s="51">
        <v>2009</v>
      </c>
      <c r="E20" s="51">
        <v>2010</v>
      </c>
      <c r="F20" s="52"/>
    </row>
    <row r="21" spans="1:6" ht="15.75" thickBot="1">
      <c r="A21" s="311" t="s">
        <v>50</v>
      </c>
      <c r="B21" s="130">
        <f>'Vand KMD'!N249</f>
        <v>162284.75</v>
      </c>
      <c r="C21" s="130">
        <f>'Vand KMD'!O249</f>
        <v>147374.75</v>
      </c>
      <c r="D21" s="130">
        <f>'Vand KMD'!P249</f>
        <v>135783.75</v>
      </c>
      <c r="E21" s="130">
        <f>'Vand KMD'!Q249</f>
        <v>124018.75</v>
      </c>
      <c r="F21" s="131" t="s">
        <v>1244</v>
      </c>
    </row>
    <row r="22" spans="1:6" ht="13.5" thickTop="1">
      <c r="A22" t="s">
        <v>1464</v>
      </c>
    </row>
    <row r="36" spans="2:6">
      <c r="E36" s="23"/>
    </row>
    <row r="37" spans="2:6">
      <c r="E37" s="23"/>
    </row>
    <row r="38" spans="2:6">
      <c r="E38" s="23"/>
    </row>
    <row r="39" spans="2:6">
      <c r="E39" s="11"/>
    </row>
    <row r="40" spans="2:6">
      <c r="E40" s="24"/>
    </row>
    <row r="41" spans="2:6">
      <c r="E41" s="24"/>
    </row>
    <row r="42" spans="2:6">
      <c r="B42" s="23"/>
      <c r="C42" s="36"/>
      <c r="E42" s="23"/>
      <c r="F42" s="23"/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2"/>
  <sheetViews>
    <sheetView topLeftCell="H248" workbookViewId="0">
      <selection activeCell="O251" sqref="O251"/>
    </sheetView>
  </sheetViews>
  <sheetFormatPr defaultColWidth="58.42578125" defaultRowHeight="12.75"/>
  <cols>
    <col min="1" max="1" width="11" bestFit="1" customWidth="1"/>
    <col min="2" max="2" width="12.85546875" bestFit="1" customWidth="1"/>
    <col min="3" max="3" width="8.7109375" style="57" customWidth="1"/>
    <col min="4" max="4" width="25" bestFit="1" customWidth="1"/>
    <col min="5" max="5" width="6.140625" bestFit="1" customWidth="1"/>
    <col min="6" max="6" width="7.85546875" bestFit="1" customWidth="1"/>
    <col min="7" max="7" width="10.42578125" customWidth="1"/>
    <col min="8" max="8" width="5.7109375" customWidth="1"/>
    <col min="9" max="9" width="7.140625" bestFit="1" customWidth="1"/>
    <col min="10" max="10" width="6.7109375" bestFit="1" customWidth="1"/>
    <col min="11" max="11" width="13.5703125" bestFit="1" customWidth="1"/>
    <col min="12" max="12" width="10.7109375" bestFit="1" customWidth="1"/>
    <col min="13" max="13" width="11.7109375" bestFit="1" customWidth="1"/>
    <col min="14" max="14" width="7" bestFit="1" customWidth="1"/>
    <col min="15" max="15" width="9.5703125" customWidth="1"/>
    <col min="16" max="16" width="7" customWidth="1"/>
    <col min="17" max="17" width="7.5703125" customWidth="1"/>
    <col min="18" max="18" width="5" bestFit="1" customWidth="1"/>
  </cols>
  <sheetData>
    <row r="1" spans="1:18" ht="15">
      <c r="A1" s="58" t="s">
        <v>193</v>
      </c>
      <c r="B1" s="58" t="s">
        <v>194</v>
      </c>
      <c r="C1" s="72" t="s">
        <v>1250</v>
      </c>
      <c r="D1" s="58" t="s">
        <v>195</v>
      </c>
      <c r="E1" s="58" t="s">
        <v>196</v>
      </c>
      <c r="F1" s="58" t="s">
        <v>197</v>
      </c>
      <c r="G1" s="58" t="s">
        <v>198</v>
      </c>
      <c r="H1" s="58" t="s">
        <v>199</v>
      </c>
      <c r="I1" s="58" t="s">
        <v>200</v>
      </c>
      <c r="J1" s="58" t="s">
        <v>201</v>
      </c>
      <c r="K1" s="58" t="s">
        <v>202</v>
      </c>
      <c r="L1" s="58" t="s">
        <v>203</v>
      </c>
      <c r="M1" s="58" t="s">
        <v>204</v>
      </c>
      <c r="N1" s="58" t="s">
        <v>1025</v>
      </c>
      <c r="O1" s="58" t="s">
        <v>1024</v>
      </c>
      <c r="P1" s="58" t="s">
        <v>1247</v>
      </c>
      <c r="Q1" s="58" t="s">
        <v>1246</v>
      </c>
      <c r="R1" s="58" t="s">
        <v>205</v>
      </c>
    </row>
    <row r="2" spans="1:18" ht="15">
      <c r="A2" s="59">
        <v>1190059</v>
      </c>
      <c r="B2" s="59">
        <v>29189773</v>
      </c>
      <c r="C2" s="73">
        <v>100</v>
      </c>
      <c r="D2" s="60" t="s">
        <v>1047</v>
      </c>
      <c r="E2" s="59">
        <v>0</v>
      </c>
      <c r="F2" s="60" t="s">
        <v>1302</v>
      </c>
      <c r="G2" s="60" t="s">
        <v>1302</v>
      </c>
      <c r="H2" s="60" t="s">
        <v>1302</v>
      </c>
      <c r="I2" s="59">
        <v>0</v>
      </c>
      <c r="J2" s="60" t="s">
        <v>229</v>
      </c>
      <c r="K2" s="60" t="s">
        <v>1302</v>
      </c>
      <c r="L2" s="60" t="s">
        <v>243</v>
      </c>
      <c r="M2" s="59">
        <f t="shared" ref="M2:M12" si="0">N2+O2+P2+Q2</f>
        <v>2042</v>
      </c>
      <c r="N2" s="77">
        <v>592</v>
      </c>
      <c r="O2" s="59">
        <v>592</v>
      </c>
      <c r="P2" s="59">
        <v>592</v>
      </c>
      <c r="Q2" s="59">
        <v>266</v>
      </c>
    </row>
    <row r="3" spans="1:18" ht="15">
      <c r="A3" s="59">
        <v>1010014960</v>
      </c>
      <c r="B3" s="59">
        <v>29189773</v>
      </c>
      <c r="C3" s="73">
        <v>102</v>
      </c>
      <c r="D3" s="60" t="s">
        <v>1037</v>
      </c>
      <c r="E3" s="59">
        <v>5</v>
      </c>
      <c r="F3" s="60" t="s">
        <v>1302</v>
      </c>
      <c r="G3" s="60" t="s">
        <v>1302</v>
      </c>
      <c r="H3" s="60" t="s">
        <v>376</v>
      </c>
      <c r="I3" s="59">
        <v>0</v>
      </c>
      <c r="J3" s="60" t="s">
        <v>206</v>
      </c>
      <c r="K3" s="60" t="s">
        <v>1405</v>
      </c>
      <c r="L3" s="60" t="s">
        <v>377</v>
      </c>
      <c r="M3" s="59">
        <f t="shared" si="0"/>
        <v>1590</v>
      </c>
      <c r="N3" s="75">
        <v>267</v>
      </c>
      <c r="O3" s="59">
        <v>621</v>
      </c>
      <c r="P3" s="59">
        <v>621</v>
      </c>
      <c r="Q3" s="59">
        <v>81</v>
      </c>
    </row>
    <row r="4" spans="1:18" s="70" customFormat="1" ht="15">
      <c r="A4" s="59">
        <v>57452</v>
      </c>
      <c r="B4" s="59">
        <v>29189773</v>
      </c>
      <c r="C4" s="73">
        <v>103</v>
      </c>
      <c r="D4" s="60" t="s">
        <v>1037</v>
      </c>
      <c r="E4" s="59">
        <v>12</v>
      </c>
      <c r="F4" s="60" t="s">
        <v>1302</v>
      </c>
      <c r="G4" s="60" t="s">
        <v>1302</v>
      </c>
      <c r="H4" s="60" t="s">
        <v>378</v>
      </c>
      <c r="I4" s="59">
        <v>0</v>
      </c>
      <c r="J4" s="60" t="s">
        <v>206</v>
      </c>
      <c r="K4" s="60" t="s">
        <v>1405</v>
      </c>
      <c r="L4" s="60" t="s">
        <v>379</v>
      </c>
      <c r="M4" s="59">
        <f t="shared" si="0"/>
        <v>299</v>
      </c>
      <c r="N4" s="75">
        <v>100</v>
      </c>
      <c r="O4" s="59">
        <v>91</v>
      </c>
      <c r="P4" s="59">
        <v>57</v>
      </c>
      <c r="Q4" s="59">
        <v>51</v>
      </c>
      <c r="R4"/>
    </row>
    <row r="5" spans="1:18" ht="15">
      <c r="A5" s="68">
        <v>156892</v>
      </c>
      <c r="B5" s="68">
        <v>29189773</v>
      </c>
      <c r="C5" s="74">
        <v>201</v>
      </c>
      <c r="D5" s="69" t="s">
        <v>1040</v>
      </c>
      <c r="E5" s="68">
        <v>2</v>
      </c>
      <c r="F5" s="69" t="s">
        <v>1302</v>
      </c>
      <c r="G5" s="69" t="s">
        <v>1302</v>
      </c>
      <c r="H5" s="69" t="s">
        <v>1302</v>
      </c>
      <c r="I5" s="68">
        <v>1</v>
      </c>
      <c r="J5" s="69" t="s">
        <v>209</v>
      </c>
      <c r="K5" s="69" t="s">
        <v>975</v>
      </c>
      <c r="L5" s="69" t="s">
        <v>327</v>
      </c>
      <c r="M5" s="68">
        <f t="shared" si="0"/>
        <v>7456</v>
      </c>
      <c r="N5" s="68">
        <v>2290</v>
      </c>
      <c r="O5" s="68">
        <v>2656</v>
      </c>
      <c r="P5" s="68">
        <v>1255</v>
      </c>
      <c r="Q5" s="68">
        <v>1255</v>
      </c>
      <c r="R5" s="70"/>
    </row>
    <row r="6" spans="1:18" ht="15">
      <c r="A6" s="59">
        <v>156884</v>
      </c>
      <c r="B6" s="59">
        <v>29189773</v>
      </c>
      <c r="C6" s="73">
        <v>201</v>
      </c>
      <c r="D6" s="60" t="s">
        <v>1040</v>
      </c>
      <c r="E6" s="59">
        <v>2</v>
      </c>
      <c r="F6" s="60" t="s">
        <v>1302</v>
      </c>
      <c r="G6" s="60" t="s">
        <v>1302</v>
      </c>
      <c r="H6" s="60" t="s">
        <v>1302</v>
      </c>
      <c r="I6" s="59">
        <v>2</v>
      </c>
      <c r="J6" s="60" t="s">
        <v>209</v>
      </c>
      <c r="K6" s="60" t="s">
        <v>975</v>
      </c>
      <c r="L6" s="60" t="s">
        <v>328</v>
      </c>
      <c r="M6" s="59">
        <f t="shared" si="0"/>
        <v>862</v>
      </c>
      <c r="N6" s="75">
        <v>280</v>
      </c>
      <c r="O6" s="61">
        <v>139</v>
      </c>
      <c r="P6" s="62">
        <v>139</v>
      </c>
      <c r="Q6" s="59">
        <v>304</v>
      </c>
    </row>
    <row r="7" spans="1:18" ht="15">
      <c r="A7" s="59">
        <v>153583</v>
      </c>
      <c r="B7" s="59">
        <v>29189773</v>
      </c>
      <c r="C7" s="73">
        <v>201</v>
      </c>
      <c r="D7" s="60" t="s">
        <v>1040</v>
      </c>
      <c r="E7" s="59">
        <v>2</v>
      </c>
      <c r="F7" s="60" t="s">
        <v>1302</v>
      </c>
      <c r="G7" s="60" t="s">
        <v>1302</v>
      </c>
      <c r="H7" s="60" t="s">
        <v>1302</v>
      </c>
      <c r="I7" s="59">
        <v>3</v>
      </c>
      <c r="J7" s="60" t="s">
        <v>209</v>
      </c>
      <c r="K7" s="60" t="s">
        <v>975</v>
      </c>
      <c r="L7" s="60" t="s">
        <v>329</v>
      </c>
      <c r="M7" s="59">
        <f t="shared" si="0"/>
        <v>9511</v>
      </c>
      <c r="N7" s="75">
        <v>3051</v>
      </c>
      <c r="O7" s="59">
        <v>2892</v>
      </c>
      <c r="P7" s="59">
        <v>1873</v>
      </c>
      <c r="Q7" s="59">
        <v>1695</v>
      </c>
    </row>
    <row r="8" spans="1:18" ht="15">
      <c r="A8" s="59">
        <v>5876613</v>
      </c>
      <c r="B8" s="59">
        <v>29189773</v>
      </c>
      <c r="C8" s="73">
        <v>306</v>
      </c>
      <c r="D8" s="60" t="s">
        <v>1340</v>
      </c>
      <c r="E8" s="59">
        <v>14</v>
      </c>
      <c r="F8" s="60" t="s">
        <v>1302</v>
      </c>
      <c r="G8" s="60" t="s">
        <v>1302</v>
      </c>
      <c r="H8" s="60" t="s">
        <v>1302</v>
      </c>
      <c r="I8" s="59">
        <v>0</v>
      </c>
      <c r="J8" s="60" t="s">
        <v>234</v>
      </c>
      <c r="K8" s="60" t="s">
        <v>987</v>
      </c>
      <c r="L8" s="60" t="s">
        <v>250</v>
      </c>
      <c r="M8" s="59">
        <f t="shared" si="0"/>
        <v>115</v>
      </c>
      <c r="N8" s="59">
        <v>39</v>
      </c>
      <c r="O8" s="59">
        <v>28</v>
      </c>
      <c r="P8" s="59">
        <v>23</v>
      </c>
      <c r="Q8" s="59">
        <v>25</v>
      </c>
    </row>
    <row r="9" spans="1:18" ht="15">
      <c r="A9" s="59">
        <v>10008697</v>
      </c>
      <c r="B9" s="59">
        <v>29189773</v>
      </c>
      <c r="C9" s="73">
        <v>307</v>
      </c>
      <c r="D9" s="60" t="s">
        <v>784</v>
      </c>
      <c r="E9" s="59">
        <v>12</v>
      </c>
      <c r="F9" s="60" t="s">
        <v>1302</v>
      </c>
      <c r="G9" s="60" t="s">
        <v>1302</v>
      </c>
      <c r="H9" s="60" t="s">
        <v>1302</v>
      </c>
      <c r="I9" s="59">
        <v>0</v>
      </c>
      <c r="J9" s="60" t="s">
        <v>234</v>
      </c>
      <c r="K9" s="60" t="s">
        <v>987</v>
      </c>
      <c r="L9" s="60" t="s">
        <v>264</v>
      </c>
      <c r="M9" s="59">
        <f t="shared" si="0"/>
        <v>41</v>
      </c>
      <c r="N9" s="75">
        <v>11</v>
      </c>
      <c r="O9" s="61">
        <v>11</v>
      </c>
      <c r="P9" s="62">
        <v>5</v>
      </c>
      <c r="Q9" s="59">
        <v>14</v>
      </c>
    </row>
    <row r="10" spans="1:18" ht="15">
      <c r="A10" s="59">
        <v>5827663</v>
      </c>
      <c r="B10" s="59">
        <v>29189773</v>
      </c>
      <c r="C10" s="73">
        <v>309</v>
      </c>
      <c r="D10" s="60" t="s">
        <v>1036</v>
      </c>
      <c r="E10" s="59">
        <v>12</v>
      </c>
      <c r="F10" s="60" t="s">
        <v>1302</v>
      </c>
      <c r="G10" s="60" t="s">
        <v>1302</v>
      </c>
      <c r="H10" s="60" t="s">
        <v>1302</v>
      </c>
      <c r="I10" s="59">
        <v>1</v>
      </c>
      <c r="J10" s="60" t="s">
        <v>206</v>
      </c>
      <c r="K10" s="60" t="s">
        <v>1405</v>
      </c>
      <c r="L10" s="60" t="s">
        <v>207</v>
      </c>
      <c r="M10" s="59">
        <f t="shared" si="0"/>
        <v>271</v>
      </c>
      <c r="N10" s="75">
        <v>62</v>
      </c>
      <c r="O10" s="59">
        <v>58</v>
      </c>
      <c r="P10" s="59">
        <v>66</v>
      </c>
      <c r="Q10" s="59">
        <v>85</v>
      </c>
    </row>
    <row r="11" spans="1:18" ht="15">
      <c r="A11" s="59">
        <v>5832063</v>
      </c>
      <c r="B11" s="59">
        <v>29189773</v>
      </c>
      <c r="C11" s="73">
        <v>312</v>
      </c>
      <c r="D11" s="60" t="s">
        <v>455</v>
      </c>
      <c r="E11" s="59">
        <v>1</v>
      </c>
      <c r="F11" s="60" t="s">
        <v>1302</v>
      </c>
      <c r="G11" s="60" t="s">
        <v>1302</v>
      </c>
      <c r="H11" s="60" t="s">
        <v>1302</v>
      </c>
      <c r="I11" s="59">
        <v>1</v>
      </c>
      <c r="J11" s="60" t="s">
        <v>206</v>
      </c>
      <c r="K11" s="60" t="s">
        <v>1405</v>
      </c>
      <c r="L11" s="60" t="s">
        <v>230</v>
      </c>
      <c r="M11" s="59">
        <f t="shared" si="0"/>
        <v>8</v>
      </c>
      <c r="N11" s="75">
        <v>1</v>
      </c>
      <c r="O11" s="59">
        <v>1</v>
      </c>
      <c r="P11" s="59">
        <v>1</v>
      </c>
      <c r="Q11" s="59">
        <v>5</v>
      </c>
    </row>
    <row r="12" spans="1:18" ht="15">
      <c r="A12" s="59">
        <v>607177</v>
      </c>
      <c r="B12" s="59">
        <v>29189773</v>
      </c>
      <c r="C12" s="73">
        <v>318</v>
      </c>
      <c r="D12" s="60" t="s">
        <v>652</v>
      </c>
      <c r="E12" s="59">
        <v>2</v>
      </c>
      <c r="F12" s="60" t="s">
        <v>1302</v>
      </c>
      <c r="G12" s="60" t="s">
        <v>1302</v>
      </c>
      <c r="H12" s="60" t="s">
        <v>1302</v>
      </c>
      <c r="I12" s="59">
        <v>100</v>
      </c>
      <c r="J12" s="60" t="s">
        <v>209</v>
      </c>
      <c r="K12" s="60" t="s">
        <v>975</v>
      </c>
      <c r="L12" s="60" t="s">
        <v>346</v>
      </c>
      <c r="M12" s="59">
        <f t="shared" si="0"/>
        <v>10</v>
      </c>
      <c r="N12" s="75">
        <v>10</v>
      </c>
      <c r="O12" s="59">
        <v>0</v>
      </c>
      <c r="P12" s="62">
        <v>0</v>
      </c>
      <c r="Q12" s="62">
        <v>0</v>
      </c>
    </row>
    <row r="13" spans="1:18" s="4" customFormat="1" ht="15">
      <c r="A13" s="127">
        <v>30002393</v>
      </c>
      <c r="B13" s="127"/>
      <c r="C13" s="127">
        <v>322</v>
      </c>
      <c r="D13" s="60" t="s">
        <v>606</v>
      </c>
      <c r="E13" s="102">
        <v>12</v>
      </c>
      <c r="F13" s="127"/>
      <c r="G13" s="127"/>
      <c r="H13" s="127"/>
      <c r="I13" s="127"/>
      <c r="J13" s="127">
        <v>6400</v>
      </c>
      <c r="K13" s="89" t="s">
        <v>975</v>
      </c>
      <c r="L13" s="89"/>
      <c r="M13" s="89"/>
      <c r="N13" s="128">
        <v>316</v>
      </c>
      <c r="O13" s="129">
        <v>257</v>
      </c>
      <c r="P13" s="129">
        <v>262</v>
      </c>
      <c r="Q13" s="129">
        <v>0</v>
      </c>
    </row>
    <row r="14" spans="1:18" ht="15">
      <c r="A14" s="59">
        <v>418439</v>
      </c>
      <c r="B14" s="59">
        <v>29189773</v>
      </c>
      <c r="C14" s="73">
        <v>324</v>
      </c>
      <c r="D14" s="60" t="s">
        <v>1294</v>
      </c>
      <c r="E14" s="59">
        <v>10</v>
      </c>
      <c r="F14" s="60" t="s">
        <v>1302</v>
      </c>
      <c r="G14" s="60" t="s">
        <v>1302</v>
      </c>
      <c r="H14" s="60" t="s">
        <v>1302</v>
      </c>
      <c r="I14" s="59">
        <v>0</v>
      </c>
      <c r="J14" s="60" t="s">
        <v>209</v>
      </c>
      <c r="K14" s="60" t="s">
        <v>975</v>
      </c>
      <c r="L14" s="60" t="s">
        <v>385</v>
      </c>
      <c r="M14" s="59">
        <f>N14+O14+P14+Q14</f>
        <v>1021</v>
      </c>
      <c r="N14" s="75">
        <v>298</v>
      </c>
      <c r="O14" s="62">
        <v>225</v>
      </c>
      <c r="P14" s="62">
        <v>274</v>
      </c>
      <c r="Q14" s="59">
        <v>224</v>
      </c>
    </row>
    <row r="15" spans="1:18" ht="15">
      <c r="A15" s="77"/>
      <c r="B15" s="77"/>
      <c r="C15" s="98">
        <v>400</v>
      </c>
      <c r="D15" s="85" t="s">
        <v>529</v>
      </c>
      <c r="E15" s="94">
        <v>8</v>
      </c>
      <c r="F15" s="95"/>
      <c r="G15" s="95"/>
      <c r="H15" s="95"/>
      <c r="I15" s="95"/>
      <c r="J15" s="95">
        <v>6400</v>
      </c>
      <c r="K15" s="88" t="s">
        <v>975</v>
      </c>
      <c r="L15" s="88"/>
      <c r="M15" s="88"/>
      <c r="N15" s="14">
        <v>0</v>
      </c>
      <c r="O15" s="105">
        <v>0</v>
      </c>
      <c r="P15" s="105">
        <v>0</v>
      </c>
      <c r="Q15" s="105">
        <v>493</v>
      </c>
    </row>
    <row r="16" spans="1:18" ht="15">
      <c r="A16" s="77"/>
      <c r="B16" s="77"/>
      <c r="C16" s="98">
        <v>400</v>
      </c>
      <c r="D16" s="85" t="s">
        <v>532</v>
      </c>
      <c r="E16" s="94">
        <v>2</v>
      </c>
      <c r="F16" s="95"/>
      <c r="G16" s="95"/>
      <c r="H16" s="95"/>
      <c r="I16" s="95"/>
      <c r="J16" s="95">
        <v>6400</v>
      </c>
      <c r="K16" s="88" t="s">
        <v>975</v>
      </c>
      <c r="L16" s="88"/>
      <c r="M16" s="88"/>
      <c r="N16" s="14">
        <v>104</v>
      </c>
      <c r="O16" s="105">
        <v>83</v>
      </c>
      <c r="P16" s="105">
        <v>97</v>
      </c>
      <c r="Q16" s="105">
        <v>100</v>
      </c>
    </row>
    <row r="17" spans="1:18" ht="15">
      <c r="A17" s="59">
        <v>2062</v>
      </c>
      <c r="B17" s="59">
        <v>29189773</v>
      </c>
      <c r="C17" s="73">
        <v>402</v>
      </c>
      <c r="D17" s="60" t="s">
        <v>1297</v>
      </c>
      <c r="E17" s="59">
        <v>24</v>
      </c>
      <c r="F17" s="60" t="s">
        <v>1302</v>
      </c>
      <c r="G17" s="60" t="s">
        <v>1302</v>
      </c>
      <c r="H17" s="60" t="s">
        <v>1302</v>
      </c>
      <c r="I17" s="59">
        <v>0</v>
      </c>
      <c r="J17" s="60" t="s">
        <v>244</v>
      </c>
      <c r="K17" s="60" t="s">
        <v>245</v>
      </c>
      <c r="L17" s="60" t="s">
        <v>273</v>
      </c>
      <c r="M17" s="59">
        <f t="shared" ref="M17:M27" si="1">N17+O17+P17+Q17</f>
        <v>10049</v>
      </c>
      <c r="N17" s="59">
        <v>3782</v>
      </c>
      <c r="O17" s="59">
        <v>2820</v>
      </c>
      <c r="P17" s="62">
        <v>2276</v>
      </c>
      <c r="Q17" s="62">
        <v>1171</v>
      </c>
    </row>
    <row r="18" spans="1:18" ht="15">
      <c r="A18" s="59">
        <v>2062</v>
      </c>
      <c r="B18" s="59">
        <v>29189773</v>
      </c>
      <c r="C18" s="73">
        <v>402</v>
      </c>
      <c r="D18" s="60" t="s">
        <v>1297</v>
      </c>
      <c r="E18" s="59">
        <v>24</v>
      </c>
      <c r="F18" s="60" t="s">
        <v>1302</v>
      </c>
      <c r="G18" s="60" t="s">
        <v>1302</v>
      </c>
      <c r="H18" s="60" t="s">
        <v>1302</v>
      </c>
      <c r="I18" s="59">
        <v>0</v>
      </c>
      <c r="J18" s="60" t="s">
        <v>244</v>
      </c>
      <c r="K18" s="60" t="s">
        <v>245</v>
      </c>
      <c r="L18" s="60" t="s">
        <v>274</v>
      </c>
      <c r="M18" s="59">
        <f t="shared" si="1"/>
        <v>8427</v>
      </c>
      <c r="N18" s="75">
        <v>3002</v>
      </c>
      <c r="O18" s="62">
        <v>2180</v>
      </c>
      <c r="P18" s="62">
        <v>2034</v>
      </c>
      <c r="Q18" s="59">
        <v>1211</v>
      </c>
    </row>
    <row r="19" spans="1:18" ht="15">
      <c r="A19" s="59">
        <v>6947</v>
      </c>
      <c r="B19" s="59">
        <v>29189773</v>
      </c>
      <c r="C19" s="73">
        <v>403</v>
      </c>
      <c r="D19" s="60" t="s">
        <v>1293</v>
      </c>
      <c r="E19" s="59">
        <v>14</v>
      </c>
      <c r="F19" s="60" t="s">
        <v>1302</v>
      </c>
      <c r="G19" s="60" t="s">
        <v>1302</v>
      </c>
      <c r="H19" s="60" t="s">
        <v>1302</v>
      </c>
      <c r="I19" s="59">
        <v>0</v>
      </c>
      <c r="J19" s="60" t="s">
        <v>244</v>
      </c>
      <c r="K19" s="60" t="s">
        <v>245</v>
      </c>
      <c r="L19" s="60" t="s">
        <v>360</v>
      </c>
      <c r="M19" s="59">
        <f t="shared" si="1"/>
        <v>194</v>
      </c>
      <c r="N19" s="75">
        <v>109</v>
      </c>
      <c r="O19" s="59">
        <v>74</v>
      </c>
      <c r="P19" s="59">
        <v>5</v>
      </c>
      <c r="Q19" s="59">
        <v>6</v>
      </c>
    </row>
    <row r="20" spans="1:18" ht="15">
      <c r="A20" s="59">
        <v>416932</v>
      </c>
      <c r="B20" s="59">
        <v>29189773</v>
      </c>
      <c r="C20" s="73">
        <v>404</v>
      </c>
      <c r="D20" s="60" t="s">
        <v>143</v>
      </c>
      <c r="E20" s="59">
        <v>999</v>
      </c>
      <c r="F20" s="60" t="s">
        <v>1302</v>
      </c>
      <c r="G20" s="60" t="s">
        <v>1302</v>
      </c>
      <c r="H20" s="60" t="s">
        <v>1302</v>
      </c>
      <c r="I20" s="59">
        <v>0</v>
      </c>
      <c r="J20" s="60" t="s">
        <v>229</v>
      </c>
      <c r="K20" s="60" t="s">
        <v>1302</v>
      </c>
      <c r="L20" s="60" t="s">
        <v>396</v>
      </c>
      <c r="M20" s="59">
        <f t="shared" si="1"/>
        <v>322</v>
      </c>
      <c r="N20" s="75">
        <v>1</v>
      </c>
      <c r="O20" s="59">
        <v>107</v>
      </c>
      <c r="P20" s="59">
        <v>107</v>
      </c>
      <c r="Q20" s="59">
        <v>107</v>
      </c>
    </row>
    <row r="21" spans="1:18" ht="15">
      <c r="A21" s="59">
        <v>13900</v>
      </c>
      <c r="B21" s="59">
        <v>29189773</v>
      </c>
      <c r="C21" s="73">
        <v>404</v>
      </c>
      <c r="D21" s="60" t="s">
        <v>1043</v>
      </c>
      <c r="E21" s="59">
        <v>8</v>
      </c>
      <c r="F21" s="60" t="s">
        <v>1302</v>
      </c>
      <c r="G21" s="60" t="s">
        <v>1302</v>
      </c>
      <c r="H21" s="60" t="s">
        <v>1302</v>
      </c>
      <c r="I21" s="59">
        <v>0</v>
      </c>
      <c r="J21" s="60" t="s">
        <v>244</v>
      </c>
      <c r="K21" s="60" t="s">
        <v>245</v>
      </c>
      <c r="L21" s="60" t="s">
        <v>400</v>
      </c>
      <c r="M21" s="59">
        <f t="shared" si="1"/>
        <v>6572</v>
      </c>
      <c r="N21" s="75">
        <v>2442</v>
      </c>
      <c r="O21" s="62">
        <v>1716</v>
      </c>
      <c r="P21" s="62">
        <v>1548</v>
      </c>
      <c r="Q21" s="59">
        <v>866</v>
      </c>
    </row>
    <row r="22" spans="1:18" ht="15">
      <c r="A22" s="59">
        <v>281980</v>
      </c>
      <c r="B22" s="59">
        <v>29189773</v>
      </c>
      <c r="C22" s="73">
        <v>404</v>
      </c>
      <c r="D22" s="60" t="s">
        <v>1043</v>
      </c>
      <c r="E22" s="59">
        <v>999</v>
      </c>
      <c r="F22" s="60" t="s">
        <v>1302</v>
      </c>
      <c r="G22" s="60" t="s">
        <v>1302</v>
      </c>
      <c r="H22" s="60" t="s">
        <v>1302</v>
      </c>
      <c r="I22" s="59">
        <v>0</v>
      </c>
      <c r="J22" s="60" t="s">
        <v>229</v>
      </c>
      <c r="K22" s="60" t="s">
        <v>1302</v>
      </c>
      <c r="L22" s="60" t="s">
        <v>401</v>
      </c>
      <c r="M22" s="59">
        <f t="shared" si="1"/>
        <v>395</v>
      </c>
      <c r="N22" s="75">
        <v>59</v>
      </c>
      <c r="O22" s="62">
        <v>141</v>
      </c>
      <c r="P22" s="59">
        <v>109</v>
      </c>
      <c r="Q22" s="59">
        <v>86</v>
      </c>
    </row>
    <row r="23" spans="1:18" ht="15">
      <c r="A23" s="59">
        <v>5876729</v>
      </c>
      <c r="B23" s="59">
        <v>29189773</v>
      </c>
      <c r="C23" s="73">
        <v>405</v>
      </c>
      <c r="D23" s="60" t="s">
        <v>1340</v>
      </c>
      <c r="E23" s="59">
        <v>26</v>
      </c>
      <c r="F23" s="60" t="s">
        <v>1302</v>
      </c>
      <c r="G23" s="60" t="s">
        <v>1302</v>
      </c>
      <c r="H23" s="60" t="s">
        <v>1302</v>
      </c>
      <c r="I23" s="59">
        <v>0</v>
      </c>
      <c r="J23" s="60" t="s">
        <v>234</v>
      </c>
      <c r="K23" s="60" t="s">
        <v>987</v>
      </c>
      <c r="L23" s="60" t="s">
        <v>251</v>
      </c>
      <c r="M23" s="59">
        <f t="shared" si="1"/>
        <v>270</v>
      </c>
      <c r="N23" s="59">
        <v>164</v>
      </c>
      <c r="O23" s="59">
        <v>98</v>
      </c>
      <c r="P23" s="62">
        <v>6</v>
      </c>
      <c r="Q23" s="62">
        <v>2</v>
      </c>
    </row>
    <row r="24" spans="1:18" ht="15">
      <c r="A24" s="59">
        <v>5876834</v>
      </c>
      <c r="B24" s="59">
        <v>29189773</v>
      </c>
      <c r="C24" s="73">
        <v>407</v>
      </c>
      <c r="D24" s="60" t="s">
        <v>1340</v>
      </c>
      <c r="E24" s="59">
        <v>44</v>
      </c>
      <c r="F24" s="60" t="s">
        <v>1302</v>
      </c>
      <c r="G24" s="60" t="s">
        <v>1302</v>
      </c>
      <c r="H24" s="60" t="s">
        <v>1302</v>
      </c>
      <c r="I24" s="59">
        <v>1</v>
      </c>
      <c r="J24" s="60" t="s">
        <v>234</v>
      </c>
      <c r="K24" s="60" t="s">
        <v>987</v>
      </c>
      <c r="L24" s="60" t="s">
        <v>253</v>
      </c>
      <c r="M24" s="59">
        <f t="shared" si="1"/>
        <v>1897</v>
      </c>
      <c r="N24" s="59">
        <v>583</v>
      </c>
      <c r="O24" s="59">
        <v>443</v>
      </c>
      <c r="P24" s="59">
        <v>417</v>
      </c>
      <c r="Q24" s="59">
        <v>454</v>
      </c>
    </row>
    <row r="25" spans="1:18" ht="15">
      <c r="A25" s="59">
        <v>5876842</v>
      </c>
      <c r="B25" s="59">
        <v>29189773</v>
      </c>
      <c r="C25" s="73">
        <v>407</v>
      </c>
      <c r="D25" s="60" t="s">
        <v>1340</v>
      </c>
      <c r="E25" s="59">
        <v>44</v>
      </c>
      <c r="F25" s="60" t="s">
        <v>1302</v>
      </c>
      <c r="G25" s="60" t="s">
        <v>1302</v>
      </c>
      <c r="H25" s="60" t="s">
        <v>1302</v>
      </c>
      <c r="I25" s="59">
        <v>2</v>
      </c>
      <c r="J25" s="60" t="s">
        <v>234</v>
      </c>
      <c r="K25" s="60" t="s">
        <v>987</v>
      </c>
      <c r="L25" s="60" t="s">
        <v>254</v>
      </c>
      <c r="M25" s="59">
        <f t="shared" si="1"/>
        <v>2091</v>
      </c>
      <c r="N25" s="75">
        <v>541</v>
      </c>
      <c r="O25" s="62">
        <v>597</v>
      </c>
      <c r="P25" s="62">
        <v>487</v>
      </c>
      <c r="Q25" s="59">
        <v>466</v>
      </c>
    </row>
    <row r="26" spans="1:18" ht="15">
      <c r="A26" s="59">
        <v>39675</v>
      </c>
      <c r="B26" s="59">
        <v>29189773</v>
      </c>
      <c r="C26" s="73">
        <v>409</v>
      </c>
      <c r="D26" s="60" t="s">
        <v>1039</v>
      </c>
      <c r="E26" s="59">
        <v>1</v>
      </c>
      <c r="F26" s="60" t="s">
        <v>214</v>
      </c>
      <c r="G26" s="60" t="s">
        <v>1302</v>
      </c>
      <c r="H26" s="60" t="s">
        <v>1302</v>
      </c>
      <c r="I26" s="59">
        <v>1</v>
      </c>
      <c r="J26" s="60" t="s">
        <v>206</v>
      </c>
      <c r="K26" s="60" t="s">
        <v>1405</v>
      </c>
      <c r="L26" s="60" t="s">
        <v>286</v>
      </c>
      <c r="M26" s="59">
        <f t="shared" si="1"/>
        <v>11584</v>
      </c>
      <c r="N26">
        <v>3569</v>
      </c>
      <c r="O26" s="62">
        <v>3130</v>
      </c>
      <c r="P26" s="62">
        <v>2455</v>
      </c>
      <c r="Q26" s="59">
        <v>2430</v>
      </c>
    </row>
    <row r="27" spans="1:18" ht="15">
      <c r="A27" s="59">
        <v>1010022432</v>
      </c>
      <c r="B27" s="59">
        <v>29189773</v>
      </c>
      <c r="C27" s="73">
        <v>411</v>
      </c>
      <c r="D27" s="60" t="s">
        <v>1039</v>
      </c>
      <c r="E27" s="59">
        <v>1</v>
      </c>
      <c r="F27" s="60" t="s">
        <v>1279</v>
      </c>
      <c r="G27" s="60" t="s">
        <v>1302</v>
      </c>
      <c r="H27" s="60" t="s">
        <v>1302</v>
      </c>
      <c r="I27" s="59">
        <v>1</v>
      </c>
      <c r="J27" s="60" t="s">
        <v>206</v>
      </c>
      <c r="K27" s="60" t="s">
        <v>1405</v>
      </c>
      <c r="L27" s="60" t="s">
        <v>287</v>
      </c>
      <c r="M27" s="59">
        <f t="shared" si="1"/>
        <v>1157</v>
      </c>
      <c r="N27" s="62">
        <v>365</v>
      </c>
      <c r="O27" s="62">
        <v>267</v>
      </c>
      <c r="P27" s="62">
        <v>253</v>
      </c>
      <c r="Q27" s="59">
        <v>272</v>
      </c>
    </row>
    <row r="28" spans="1:18" s="70" customFormat="1" ht="15">
      <c r="A28" s="77"/>
      <c r="B28" s="77"/>
      <c r="C28" s="98">
        <v>412</v>
      </c>
      <c r="D28" s="85" t="s">
        <v>547</v>
      </c>
      <c r="E28" s="95" t="s">
        <v>548</v>
      </c>
      <c r="F28" s="95"/>
      <c r="G28" s="95"/>
      <c r="H28" s="95"/>
      <c r="I28" s="95"/>
      <c r="J28" s="95">
        <v>6300</v>
      </c>
      <c r="K28" s="85" t="s">
        <v>1405</v>
      </c>
      <c r="L28" s="85"/>
      <c r="M28" s="85"/>
      <c r="N28" s="105">
        <v>3140</v>
      </c>
      <c r="O28" s="105">
        <v>3012</v>
      </c>
      <c r="P28" s="110">
        <v>2786</v>
      </c>
      <c r="Q28" s="110">
        <v>2631</v>
      </c>
      <c r="R28"/>
    </row>
    <row r="29" spans="1:18" ht="15">
      <c r="A29" s="59">
        <v>1010006151</v>
      </c>
      <c r="B29" s="59">
        <v>29189773</v>
      </c>
      <c r="C29" s="73">
        <v>413</v>
      </c>
      <c r="D29" s="60" t="s">
        <v>1285</v>
      </c>
      <c r="E29" s="59">
        <v>4</v>
      </c>
      <c r="F29" s="60" t="s">
        <v>1302</v>
      </c>
      <c r="G29" s="60" t="s">
        <v>1302</v>
      </c>
      <c r="H29" s="60" t="s">
        <v>1302</v>
      </c>
      <c r="I29" s="59">
        <v>1</v>
      </c>
      <c r="J29" s="60" t="s">
        <v>206</v>
      </c>
      <c r="K29" s="60" t="s">
        <v>1405</v>
      </c>
      <c r="L29" s="60" t="s">
        <v>232</v>
      </c>
      <c r="M29" s="59">
        <f>N29+O29+P29+Q29</f>
        <v>392</v>
      </c>
      <c r="N29">
        <v>132</v>
      </c>
      <c r="O29" s="59">
        <v>120</v>
      </c>
      <c r="P29" s="59">
        <v>66</v>
      </c>
      <c r="Q29" s="59">
        <v>74</v>
      </c>
    </row>
    <row r="30" spans="1:18" ht="15">
      <c r="A30" s="59">
        <v>33812</v>
      </c>
      <c r="B30" s="59">
        <v>29189773</v>
      </c>
      <c r="C30" s="73">
        <v>415</v>
      </c>
      <c r="D30" s="60" t="s">
        <v>455</v>
      </c>
      <c r="E30" s="59">
        <v>4</v>
      </c>
      <c r="F30" s="60" t="s">
        <v>1302</v>
      </c>
      <c r="G30" s="60" t="s">
        <v>1302</v>
      </c>
      <c r="H30" s="60" t="s">
        <v>1302</v>
      </c>
      <c r="I30" s="59">
        <v>0</v>
      </c>
      <c r="J30" s="60" t="s">
        <v>206</v>
      </c>
      <c r="K30" s="60" t="s">
        <v>1405</v>
      </c>
      <c r="L30" s="60" t="s">
        <v>231</v>
      </c>
      <c r="M30" s="59">
        <f>N30+O30+P30+Q30</f>
        <v>2523</v>
      </c>
      <c r="N30" s="75">
        <v>705</v>
      </c>
      <c r="O30" s="62">
        <v>605</v>
      </c>
      <c r="P30" s="62">
        <v>594</v>
      </c>
      <c r="Q30" s="59">
        <v>619</v>
      </c>
    </row>
    <row r="31" spans="1:18" ht="15">
      <c r="A31" s="59">
        <v>5870216</v>
      </c>
      <c r="B31" s="59">
        <v>29189773</v>
      </c>
      <c r="C31" s="73">
        <v>416</v>
      </c>
      <c r="D31" s="60" t="s">
        <v>132</v>
      </c>
      <c r="E31" s="59">
        <v>1</v>
      </c>
      <c r="F31" s="60" t="s">
        <v>1302</v>
      </c>
      <c r="G31" s="60" t="s">
        <v>1302</v>
      </c>
      <c r="H31" s="60" t="s">
        <v>1302</v>
      </c>
      <c r="I31" s="59">
        <v>1</v>
      </c>
      <c r="J31" s="60" t="s">
        <v>211</v>
      </c>
      <c r="K31" s="60" t="s">
        <v>969</v>
      </c>
      <c r="L31" s="60" t="s">
        <v>374</v>
      </c>
      <c r="M31" s="59">
        <f>N31+O31+P31+Q31</f>
        <v>6771</v>
      </c>
      <c r="N31" s="75">
        <v>2212</v>
      </c>
      <c r="O31" s="59">
        <v>1579</v>
      </c>
      <c r="P31" s="59">
        <v>1464</v>
      </c>
      <c r="Q31" s="59">
        <v>1516</v>
      </c>
    </row>
    <row r="32" spans="1:18" ht="15">
      <c r="A32" s="77"/>
      <c r="B32" s="77"/>
      <c r="C32" s="98">
        <v>419</v>
      </c>
      <c r="D32" s="60" t="s">
        <v>722</v>
      </c>
      <c r="E32" s="59">
        <v>20</v>
      </c>
      <c r="F32" s="77"/>
      <c r="G32" s="77"/>
      <c r="H32" s="77"/>
      <c r="I32" s="77"/>
      <c r="J32" s="77">
        <v>6430</v>
      </c>
      <c r="K32" s="60" t="s">
        <v>969</v>
      </c>
      <c r="L32" s="60"/>
      <c r="M32" s="60"/>
      <c r="N32" s="14">
        <v>4179</v>
      </c>
      <c r="O32" s="105">
        <v>4335</v>
      </c>
      <c r="P32" s="105">
        <v>3561</v>
      </c>
      <c r="Q32" s="105">
        <v>3597</v>
      </c>
    </row>
    <row r="33" spans="1:17" ht="15">
      <c r="A33" s="77"/>
      <c r="B33" s="77"/>
      <c r="C33" s="98">
        <v>420</v>
      </c>
      <c r="D33" s="85" t="s">
        <v>549</v>
      </c>
      <c r="E33" s="95" t="s">
        <v>550</v>
      </c>
      <c r="F33" s="95"/>
      <c r="G33" s="95"/>
      <c r="H33" s="95"/>
      <c r="I33" s="95"/>
      <c r="J33" s="95">
        <v>6400</v>
      </c>
      <c r="K33" s="85" t="s">
        <v>975</v>
      </c>
      <c r="L33" s="85"/>
      <c r="M33" s="85"/>
      <c r="N33" s="14">
        <v>2701</v>
      </c>
      <c r="O33" s="110">
        <v>2550</v>
      </c>
      <c r="P33" s="96">
        <v>2503</v>
      </c>
      <c r="Q33" s="105">
        <v>2288</v>
      </c>
    </row>
    <row r="34" spans="1:17" ht="15">
      <c r="A34" s="59">
        <v>614599</v>
      </c>
      <c r="B34" s="59">
        <v>29189773</v>
      </c>
      <c r="C34" s="73">
        <v>422</v>
      </c>
      <c r="D34" s="60" t="s">
        <v>188</v>
      </c>
      <c r="E34" s="59">
        <v>24</v>
      </c>
      <c r="F34" s="60" t="s">
        <v>1302</v>
      </c>
      <c r="G34" s="60" t="s">
        <v>1302</v>
      </c>
      <c r="H34" s="60" t="s">
        <v>1302</v>
      </c>
      <c r="I34" s="59">
        <v>0</v>
      </c>
      <c r="J34" s="60" t="s">
        <v>209</v>
      </c>
      <c r="K34" s="60" t="s">
        <v>975</v>
      </c>
      <c r="L34" s="60" t="s">
        <v>237</v>
      </c>
      <c r="M34" s="59">
        <f>N34+O34+P34+Q34</f>
        <v>11196</v>
      </c>
      <c r="N34" s="77">
        <v>2703</v>
      </c>
      <c r="O34" s="59">
        <v>2636</v>
      </c>
      <c r="P34" s="59">
        <v>2902</v>
      </c>
      <c r="Q34" s="59">
        <v>2955</v>
      </c>
    </row>
    <row r="35" spans="1:17" ht="15">
      <c r="A35" s="59">
        <v>14095</v>
      </c>
      <c r="B35" s="59">
        <v>29189773</v>
      </c>
      <c r="C35" s="73">
        <v>424</v>
      </c>
      <c r="D35" s="60" t="s">
        <v>811</v>
      </c>
      <c r="E35" s="59">
        <v>5</v>
      </c>
      <c r="F35" s="60" t="s">
        <v>1302</v>
      </c>
      <c r="G35" s="60" t="s">
        <v>1302</v>
      </c>
      <c r="H35" s="60" t="s">
        <v>1302</v>
      </c>
      <c r="I35" s="59">
        <v>0</v>
      </c>
      <c r="J35" s="60" t="s">
        <v>209</v>
      </c>
      <c r="K35" s="60" t="s">
        <v>975</v>
      </c>
      <c r="L35" s="60" t="s">
        <v>220</v>
      </c>
      <c r="M35" s="59">
        <f>N35+O35+P35+Q35</f>
        <v>11259</v>
      </c>
      <c r="N35">
        <v>3194</v>
      </c>
      <c r="O35" s="62">
        <v>2912</v>
      </c>
      <c r="P35" s="62">
        <v>2915</v>
      </c>
      <c r="Q35" s="59">
        <v>2238</v>
      </c>
    </row>
    <row r="36" spans="1:17" ht="15">
      <c r="A36" s="59">
        <v>14095</v>
      </c>
      <c r="B36" s="59">
        <v>29189773</v>
      </c>
      <c r="C36" s="73">
        <v>424</v>
      </c>
      <c r="D36" s="60" t="s">
        <v>811</v>
      </c>
      <c r="E36" s="59">
        <v>5</v>
      </c>
      <c r="F36" s="60" t="s">
        <v>1302</v>
      </c>
      <c r="G36" s="60" t="s">
        <v>1302</v>
      </c>
      <c r="H36" s="60" t="s">
        <v>1302</v>
      </c>
      <c r="I36" s="59">
        <v>0</v>
      </c>
      <c r="J36" s="60" t="s">
        <v>209</v>
      </c>
      <c r="K36" s="60" t="s">
        <v>975</v>
      </c>
      <c r="L36" s="60" t="s">
        <v>221</v>
      </c>
      <c r="M36" s="59">
        <f>N36+O36+P36+Q36</f>
        <v>6000</v>
      </c>
      <c r="N36">
        <v>1572</v>
      </c>
      <c r="O36" s="62">
        <v>1400</v>
      </c>
      <c r="P36" s="62">
        <v>1403</v>
      </c>
      <c r="Q36" s="59">
        <v>1625</v>
      </c>
    </row>
    <row r="37" spans="1:17" s="57" customFormat="1" ht="15">
      <c r="A37" s="98"/>
      <c r="B37" s="98"/>
      <c r="C37" s="98">
        <v>427</v>
      </c>
      <c r="D37" s="118" t="s">
        <v>186</v>
      </c>
      <c r="E37" s="73">
        <v>10</v>
      </c>
      <c r="F37" s="98"/>
      <c r="G37" s="98"/>
      <c r="H37" s="98"/>
      <c r="I37" s="98"/>
      <c r="J37" s="98">
        <v>6400</v>
      </c>
      <c r="K37" s="118" t="s">
        <v>975</v>
      </c>
      <c r="L37" s="118"/>
      <c r="M37" s="118"/>
      <c r="N37" s="122">
        <v>3193</v>
      </c>
      <c r="O37" s="122">
        <v>2929</v>
      </c>
      <c r="P37" s="119">
        <v>2929</v>
      </c>
      <c r="Q37" s="119">
        <v>2045</v>
      </c>
    </row>
    <row r="38" spans="1:17" ht="15">
      <c r="A38" s="59">
        <v>93386</v>
      </c>
      <c r="B38" s="59">
        <v>29189773</v>
      </c>
      <c r="C38" s="73">
        <v>428</v>
      </c>
      <c r="D38" s="60" t="s">
        <v>485</v>
      </c>
      <c r="E38" s="59">
        <v>10</v>
      </c>
      <c r="F38" s="60" t="s">
        <v>1302</v>
      </c>
      <c r="G38" s="60" t="s">
        <v>1302</v>
      </c>
      <c r="H38" s="60" t="s">
        <v>1302</v>
      </c>
      <c r="I38" s="59">
        <v>0</v>
      </c>
      <c r="J38" s="60" t="s">
        <v>209</v>
      </c>
      <c r="K38" s="60" t="s">
        <v>975</v>
      </c>
      <c r="L38" s="60" t="s">
        <v>370</v>
      </c>
      <c r="M38" s="59">
        <f t="shared" ref="M38:M55" si="2">N38+O38+P38+Q38</f>
        <v>10281</v>
      </c>
      <c r="N38" s="75">
        <v>3130</v>
      </c>
      <c r="O38" s="61">
        <v>2105</v>
      </c>
      <c r="P38" s="62">
        <v>2453</v>
      </c>
      <c r="Q38" s="59">
        <v>2593</v>
      </c>
    </row>
    <row r="39" spans="1:17" ht="15">
      <c r="A39" s="59">
        <v>538698</v>
      </c>
      <c r="B39" s="59">
        <v>29189773</v>
      </c>
      <c r="C39" s="73">
        <v>428</v>
      </c>
      <c r="D39" s="60" t="s">
        <v>485</v>
      </c>
      <c r="E39" s="59">
        <v>10</v>
      </c>
      <c r="F39" s="60" t="s">
        <v>1302</v>
      </c>
      <c r="G39" s="60" t="s">
        <v>1302</v>
      </c>
      <c r="H39" s="60" t="s">
        <v>1302</v>
      </c>
      <c r="I39" s="59">
        <v>1</v>
      </c>
      <c r="J39" s="60" t="s">
        <v>209</v>
      </c>
      <c r="K39" s="60" t="s">
        <v>975</v>
      </c>
      <c r="L39" s="60" t="s">
        <v>371</v>
      </c>
      <c r="M39" s="59">
        <f t="shared" si="2"/>
        <v>4782</v>
      </c>
      <c r="N39" s="75">
        <v>1176</v>
      </c>
      <c r="O39" s="61">
        <v>1169</v>
      </c>
      <c r="P39" s="59">
        <v>1152</v>
      </c>
      <c r="Q39" s="59">
        <v>1285</v>
      </c>
    </row>
    <row r="40" spans="1:17" ht="15">
      <c r="A40" s="59">
        <v>5884640</v>
      </c>
      <c r="B40" s="59">
        <v>29189773</v>
      </c>
      <c r="C40" s="73">
        <v>503</v>
      </c>
      <c r="D40" s="60" t="s">
        <v>1049</v>
      </c>
      <c r="E40" s="59">
        <v>42</v>
      </c>
      <c r="F40" s="60" t="s">
        <v>1302</v>
      </c>
      <c r="G40" s="60" t="s">
        <v>1302</v>
      </c>
      <c r="H40" s="60" t="s">
        <v>1302</v>
      </c>
      <c r="I40" s="59">
        <v>0</v>
      </c>
      <c r="J40" s="60" t="s">
        <v>234</v>
      </c>
      <c r="K40" s="60" t="s">
        <v>987</v>
      </c>
      <c r="L40" s="60" t="s">
        <v>388</v>
      </c>
      <c r="M40" s="59">
        <f t="shared" si="2"/>
        <v>6166</v>
      </c>
      <c r="N40" s="75">
        <v>2056</v>
      </c>
      <c r="O40" s="59">
        <v>1249</v>
      </c>
      <c r="P40" s="62">
        <v>1497</v>
      </c>
      <c r="Q40" s="62">
        <v>1364</v>
      </c>
    </row>
    <row r="41" spans="1:17" ht="15">
      <c r="A41" s="59">
        <v>5884659</v>
      </c>
      <c r="B41" s="59">
        <v>29189773</v>
      </c>
      <c r="C41" s="73">
        <v>503</v>
      </c>
      <c r="D41" s="60" t="s">
        <v>1049</v>
      </c>
      <c r="E41" s="59">
        <v>42</v>
      </c>
      <c r="F41" s="60" t="s">
        <v>1302</v>
      </c>
      <c r="G41" s="60" t="s">
        <v>1302</v>
      </c>
      <c r="H41" s="60" t="s">
        <v>1302</v>
      </c>
      <c r="I41" s="59">
        <v>1</v>
      </c>
      <c r="J41" s="60" t="s">
        <v>234</v>
      </c>
      <c r="K41" s="60" t="s">
        <v>987</v>
      </c>
      <c r="L41" s="60" t="s">
        <v>389</v>
      </c>
      <c r="M41" s="59">
        <f t="shared" si="2"/>
        <v>591</v>
      </c>
      <c r="N41" s="75">
        <v>223</v>
      </c>
      <c r="O41" s="59">
        <v>178</v>
      </c>
      <c r="P41" s="62">
        <v>190</v>
      </c>
      <c r="Q41" s="62">
        <v>0</v>
      </c>
    </row>
    <row r="42" spans="1:17" ht="15">
      <c r="A42" s="59">
        <v>5884667</v>
      </c>
      <c r="B42" s="59">
        <v>29189773</v>
      </c>
      <c r="C42" s="73">
        <v>503</v>
      </c>
      <c r="D42" s="60" t="s">
        <v>1049</v>
      </c>
      <c r="E42" s="59">
        <v>42</v>
      </c>
      <c r="F42" s="60" t="s">
        <v>214</v>
      </c>
      <c r="G42" s="60" t="s">
        <v>525</v>
      </c>
      <c r="H42" s="60" t="s">
        <v>1302</v>
      </c>
      <c r="I42" s="59">
        <v>0</v>
      </c>
      <c r="J42" s="60" t="s">
        <v>229</v>
      </c>
      <c r="K42" s="60" t="s">
        <v>1302</v>
      </c>
      <c r="L42" s="60" t="s">
        <v>390</v>
      </c>
      <c r="M42" s="59">
        <f t="shared" si="2"/>
        <v>341</v>
      </c>
      <c r="N42" s="75">
        <v>143</v>
      </c>
      <c r="O42" s="59">
        <v>145</v>
      </c>
      <c r="P42" s="62">
        <v>44</v>
      </c>
      <c r="Q42" s="62">
        <v>9</v>
      </c>
    </row>
    <row r="43" spans="1:17" ht="15">
      <c r="A43" s="59">
        <v>5899680</v>
      </c>
      <c r="B43" s="59">
        <v>29189773</v>
      </c>
      <c r="C43" s="73">
        <v>503</v>
      </c>
      <c r="D43" s="60" t="s">
        <v>1049</v>
      </c>
      <c r="E43" s="59">
        <v>42</v>
      </c>
      <c r="F43" s="60" t="s">
        <v>214</v>
      </c>
      <c r="G43" s="60" t="s">
        <v>525</v>
      </c>
      <c r="H43" s="60" t="s">
        <v>1302</v>
      </c>
      <c r="I43" s="59">
        <v>1</v>
      </c>
      <c r="J43" s="60" t="s">
        <v>229</v>
      </c>
      <c r="K43" s="60" t="s">
        <v>1302</v>
      </c>
      <c r="L43" s="60" t="s">
        <v>391</v>
      </c>
      <c r="M43" s="59">
        <f t="shared" si="2"/>
        <v>571</v>
      </c>
      <c r="N43" s="75">
        <v>265</v>
      </c>
      <c r="O43" s="59">
        <v>242</v>
      </c>
      <c r="P43" s="59">
        <v>34</v>
      </c>
      <c r="Q43" s="59">
        <v>30</v>
      </c>
    </row>
    <row r="44" spans="1:17" ht="15">
      <c r="A44" s="59">
        <v>5884675</v>
      </c>
      <c r="B44" s="59">
        <v>29189773</v>
      </c>
      <c r="C44" s="73">
        <v>503</v>
      </c>
      <c r="D44" s="60" t="s">
        <v>1049</v>
      </c>
      <c r="E44" s="59">
        <v>42</v>
      </c>
      <c r="F44" s="60" t="s">
        <v>1279</v>
      </c>
      <c r="G44" s="60" t="s">
        <v>525</v>
      </c>
      <c r="H44" s="60" t="s">
        <v>1302</v>
      </c>
      <c r="I44" s="59">
        <v>0</v>
      </c>
      <c r="J44" s="60" t="s">
        <v>229</v>
      </c>
      <c r="K44" s="60" t="s">
        <v>1302</v>
      </c>
      <c r="L44" s="60" t="s">
        <v>392</v>
      </c>
      <c r="M44" s="59">
        <f t="shared" si="2"/>
        <v>4797</v>
      </c>
      <c r="N44" s="59">
        <v>1668</v>
      </c>
      <c r="O44" s="59">
        <v>1091</v>
      </c>
      <c r="P44" s="62">
        <v>1111</v>
      </c>
      <c r="Q44" s="62">
        <v>927</v>
      </c>
    </row>
    <row r="45" spans="1:17" ht="15">
      <c r="A45" s="59">
        <v>5884675</v>
      </c>
      <c r="B45" s="59">
        <v>29189773</v>
      </c>
      <c r="C45" s="73">
        <v>503</v>
      </c>
      <c r="D45" s="60" t="s">
        <v>1049</v>
      </c>
      <c r="E45" s="59">
        <v>42</v>
      </c>
      <c r="F45" s="60" t="s">
        <v>1279</v>
      </c>
      <c r="G45" s="60" t="s">
        <v>525</v>
      </c>
      <c r="H45" s="60" t="s">
        <v>1302</v>
      </c>
      <c r="I45" s="59">
        <v>0</v>
      </c>
      <c r="J45" s="60" t="s">
        <v>229</v>
      </c>
      <c r="K45" s="60" t="s">
        <v>1302</v>
      </c>
      <c r="L45" s="60" t="s">
        <v>393</v>
      </c>
      <c r="M45" s="59">
        <f t="shared" si="2"/>
        <v>271</v>
      </c>
      <c r="N45" s="59">
        <v>99</v>
      </c>
      <c r="O45" s="59">
        <v>68</v>
      </c>
      <c r="P45" s="62">
        <v>56</v>
      </c>
      <c r="Q45" s="62">
        <v>48</v>
      </c>
    </row>
    <row r="46" spans="1:17" ht="15">
      <c r="A46" s="59">
        <v>29718</v>
      </c>
      <c r="B46" s="59">
        <v>29189773</v>
      </c>
      <c r="C46" s="73">
        <v>507</v>
      </c>
      <c r="D46" s="60" t="s">
        <v>149</v>
      </c>
      <c r="E46" s="59">
        <v>50</v>
      </c>
      <c r="F46" s="60" t="s">
        <v>1302</v>
      </c>
      <c r="G46" s="60" t="s">
        <v>1302</v>
      </c>
      <c r="H46" s="60" t="s">
        <v>1302</v>
      </c>
      <c r="I46" s="59">
        <v>0</v>
      </c>
      <c r="J46" s="60" t="s">
        <v>209</v>
      </c>
      <c r="K46" s="60" t="s">
        <v>975</v>
      </c>
      <c r="L46" s="60" t="s">
        <v>315</v>
      </c>
      <c r="M46" s="59">
        <f t="shared" si="2"/>
        <v>47904</v>
      </c>
      <c r="N46" s="59">
        <v>11736</v>
      </c>
      <c r="O46" s="59">
        <v>12168</v>
      </c>
      <c r="P46" s="62">
        <v>11111</v>
      </c>
      <c r="Q46" s="62">
        <v>12889</v>
      </c>
    </row>
    <row r="47" spans="1:17" ht="15">
      <c r="A47" s="59">
        <v>1198599</v>
      </c>
      <c r="B47" s="59">
        <v>29189773</v>
      </c>
      <c r="C47" s="73">
        <v>508</v>
      </c>
      <c r="D47" s="60" t="s">
        <v>149</v>
      </c>
      <c r="E47" s="59">
        <v>50</v>
      </c>
      <c r="F47" s="60" t="s">
        <v>1302</v>
      </c>
      <c r="G47" s="60" t="s">
        <v>1302</v>
      </c>
      <c r="H47" s="60" t="s">
        <v>1302</v>
      </c>
      <c r="I47" s="59">
        <v>7</v>
      </c>
      <c r="J47" s="60" t="s">
        <v>209</v>
      </c>
      <c r="K47" s="60" t="s">
        <v>975</v>
      </c>
      <c r="L47" s="60" t="s">
        <v>316</v>
      </c>
      <c r="M47" s="59">
        <f t="shared" si="2"/>
        <v>139</v>
      </c>
      <c r="N47" s="59">
        <v>0</v>
      </c>
      <c r="O47" s="59">
        <v>0</v>
      </c>
      <c r="P47" s="62">
        <v>0</v>
      </c>
      <c r="Q47" s="62">
        <v>139</v>
      </c>
    </row>
    <row r="48" spans="1:17" ht="15">
      <c r="A48" s="59">
        <v>418</v>
      </c>
      <c r="B48" s="59">
        <v>29189773</v>
      </c>
      <c r="C48" s="73">
        <v>510</v>
      </c>
      <c r="D48" s="60" t="s">
        <v>1448</v>
      </c>
      <c r="E48" s="59">
        <v>25</v>
      </c>
      <c r="F48" s="60" t="s">
        <v>1302</v>
      </c>
      <c r="G48" s="60" t="s">
        <v>1302</v>
      </c>
      <c r="H48" s="60" t="s">
        <v>1302</v>
      </c>
      <c r="I48" s="59">
        <v>0</v>
      </c>
      <c r="J48" s="60" t="s">
        <v>209</v>
      </c>
      <c r="K48" s="60" t="s">
        <v>975</v>
      </c>
      <c r="L48" s="60" t="s">
        <v>405</v>
      </c>
      <c r="M48" s="59">
        <f t="shared" si="2"/>
        <v>6909</v>
      </c>
      <c r="N48" s="59">
        <v>2367</v>
      </c>
      <c r="O48" s="59">
        <v>1709</v>
      </c>
      <c r="P48" s="62">
        <v>1285</v>
      </c>
      <c r="Q48" s="62">
        <v>1548</v>
      </c>
    </row>
    <row r="49" spans="1:18" ht="15">
      <c r="A49" s="59">
        <v>418</v>
      </c>
      <c r="B49" s="59">
        <v>29189773</v>
      </c>
      <c r="C49" s="73">
        <v>510</v>
      </c>
      <c r="D49" s="60" t="s">
        <v>1448</v>
      </c>
      <c r="E49" s="59">
        <v>25</v>
      </c>
      <c r="F49" s="60" t="s">
        <v>1302</v>
      </c>
      <c r="G49" s="60" t="s">
        <v>1302</v>
      </c>
      <c r="H49" s="60" t="s">
        <v>1302</v>
      </c>
      <c r="I49" s="59">
        <v>0</v>
      </c>
      <c r="J49" s="60" t="s">
        <v>209</v>
      </c>
      <c r="K49" s="60" t="s">
        <v>975</v>
      </c>
      <c r="L49" s="60" t="s">
        <v>406</v>
      </c>
      <c r="M49" s="59">
        <f t="shared" si="2"/>
        <v>2997</v>
      </c>
      <c r="N49" s="62">
        <v>1225</v>
      </c>
      <c r="O49" s="62">
        <v>920</v>
      </c>
      <c r="P49" s="62">
        <v>467</v>
      </c>
      <c r="Q49" s="59">
        <v>385</v>
      </c>
    </row>
    <row r="50" spans="1:18" ht="15">
      <c r="A50" s="59">
        <v>607568</v>
      </c>
      <c r="B50" s="59">
        <v>29189773</v>
      </c>
      <c r="C50" s="73">
        <v>511</v>
      </c>
      <c r="D50" s="60" t="s">
        <v>735</v>
      </c>
      <c r="E50" s="59">
        <v>100</v>
      </c>
      <c r="F50" s="60" t="s">
        <v>1302</v>
      </c>
      <c r="G50" s="60" t="s">
        <v>1302</v>
      </c>
      <c r="H50" s="60" t="s">
        <v>1302</v>
      </c>
      <c r="I50" s="59">
        <v>2</v>
      </c>
      <c r="J50" s="60" t="s">
        <v>209</v>
      </c>
      <c r="K50" s="60" t="s">
        <v>975</v>
      </c>
      <c r="L50" s="60" t="s">
        <v>216</v>
      </c>
      <c r="M50" s="59">
        <f t="shared" si="2"/>
        <v>3055</v>
      </c>
      <c r="N50" s="62">
        <v>3055</v>
      </c>
      <c r="O50" s="59">
        <v>0</v>
      </c>
      <c r="P50" s="59">
        <v>0</v>
      </c>
      <c r="Q50" s="62">
        <v>0</v>
      </c>
      <c r="R50" s="77"/>
    </row>
    <row r="51" spans="1:18" ht="15">
      <c r="A51" s="59">
        <v>41041</v>
      </c>
      <c r="B51" s="59">
        <v>29189773</v>
      </c>
      <c r="C51" s="73">
        <v>513</v>
      </c>
      <c r="D51" s="60" t="s">
        <v>1053</v>
      </c>
      <c r="E51" s="59">
        <v>49</v>
      </c>
      <c r="F51" s="60" t="s">
        <v>1302</v>
      </c>
      <c r="G51" s="60" t="s">
        <v>1302</v>
      </c>
      <c r="H51" s="60" t="s">
        <v>1302</v>
      </c>
      <c r="I51" s="59">
        <v>1</v>
      </c>
      <c r="J51" s="60" t="s">
        <v>209</v>
      </c>
      <c r="K51" s="60" t="s">
        <v>975</v>
      </c>
      <c r="L51" s="60" t="s">
        <v>282</v>
      </c>
      <c r="M51" s="59">
        <f t="shared" si="2"/>
        <v>1415</v>
      </c>
      <c r="N51" s="76">
        <v>324</v>
      </c>
      <c r="O51" s="59">
        <v>258</v>
      </c>
      <c r="P51" s="59">
        <v>258</v>
      </c>
      <c r="Q51" s="59">
        <v>575</v>
      </c>
    </row>
    <row r="52" spans="1:18" ht="15">
      <c r="A52" s="59">
        <v>532215</v>
      </c>
      <c r="B52" s="59">
        <v>29189773</v>
      </c>
      <c r="C52" s="73">
        <v>513</v>
      </c>
      <c r="D52" s="60" t="s">
        <v>1053</v>
      </c>
      <c r="E52" s="59">
        <v>49</v>
      </c>
      <c r="F52" s="60" t="s">
        <v>1302</v>
      </c>
      <c r="G52" s="60" t="s">
        <v>1302</v>
      </c>
      <c r="H52" s="60" t="s">
        <v>1302</v>
      </c>
      <c r="I52" s="59">
        <v>2</v>
      </c>
      <c r="J52" s="60" t="s">
        <v>209</v>
      </c>
      <c r="K52" s="60" t="s">
        <v>975</v>
      </c>
      <c r="L52" s="60" t="s">
        <v>283</v>
      </c>
      <c r="M52" s="59">
        <f t="shared" si="2"/>
        <v>304</v>
      </c>
      <c r="N52" s="76">
        <v>54</v>
      </c>
      <c r="O52" s="62">
        <v>81</v>
      </c>
      <c r="P52" s="62">
        <v>81</v>
      </c>
      <c r="Q52" s="59">
        <v>88</v>
      </c>
    </row>
    <row r="53" spans="1:18" ht="15">
      <c r="A53" s="68">
        <v>421731</v>
      </c>
      <c r="B53" s="68">
        <v>29189773</v>
      </c>
      <c r="C53" s="74">
        <v>514</v>
      </c>
      <c r="D53" s="69" t="s">
        <v>1053</v>
      </c>
      <c r="E53" s="68">
        <v>49</v>
      </c>
      <c r="F53" s="69" t="s">
        <v>1279</v>
      </c>
      <c r="G53" s="69" t="s">
        <v>1302</v>
      </c>
      <c r="H53" s="69" t="s">
        <v>1302</v>
      </c>
      <c r="I53" s="68">
        <v>0</v>
      </c>
      <c r="J53" s="69" t="s">
        <v>209</v>
      </c>
      <c r="K53" s="69" t="s">
        <v>975</v>
      </c>
      <c r="L53" s="69" t="s">
        <v>284</v>
      </c>
      <c r="M53" s="68">
        <f t="shared" si="2"/>
        <v>34</v>
      </c>
      <c r="N53" s="79">
        <v>0</v>
      </c>
      <c r="O53" s="68">
        <v>20</v>
      </c>
      <c r="P53" s="68">
        <v>7</v>
      </c>
      <c r="Q53" s="68">
        <v>7</v>
      </c>
      <c r="R53" s="70"/>
    </row>
    <row r="54" spans="1:18" ht="15">
      <c r="A54" s="59">
        <v>421731</v>
      </c>
      <c r="B54" s="59">
        <v>29189773</v>
      </c>
      <c r="C54" s="73">
        <v>514</v>
      </c>
      <c r="D54" s="60" t="s">
        <v>1053</v>
      </c>
      <c r="E54" s="59">
        <v>49</v>
      </c>
      <c r="F54" s="60" t="s">
        <v>1279</v>
      </c>
      <c r="G54" s="60" t="s">
        <v>1302</v>
      </c>
      <c r="H54" s="60" t="s">
        <v>1302</v>
      </c>
      <c r="I54" s="59">
        <v>0</v>
      </c>
      <c r="J54" s="60" t="s">
        <v>209</v>
      </c>
      <c r="K54" s="60" t="s">
        <v>975</v>
      </c>
      <c r="L54" s="60" t="s">
        <v>285</v>
      </c>
      <c r="M54" s="59">
        <f t="shared" si="2"/>
        <v>460</v>
      </c>
      <c r="N54" s="76">
        <v>88</v>
      </c>
      <c r="O54" s="62">
        <v>125</v>
      </c>
      <c r="P54" s="62">
        <v>125</v>
      </c>
      <c r="Q54" s="59">
        <v>122</v>
      </c>
    </row>
    <row r="55" spans="1:18" s="4" customFormat="1" ht="15">
      <c r="A55" s="59">
        <v>72346</v>
      </c>
      <c r="B55" s="59">
        <v>29189773</v>
      </c>
      <c r="C55" s="59">
        <v>516</v>
      </c>
      <c r="D55" s="60" t="s">
        <v>657</v>
      </c>
      <c r="E55" s="59">
        <v>30</v>
      </c>
      <c r="F55" s="60" t="s">
        <v>1302</v>
      </c>
      <c r="G55" s="60" t="s">
        <v>1302</v>
      </c>
      <c r="H55" s="60" t="s">
        <v>1302</v>
      </c>
      <c r="I55" s="59">
        <v>0</v>
      </c>
      <c r="J55" s="60" t="s">
        <v>209</v>
      </c>
      <c r="K55" s="60" t="s">
        <v>975</v>
      </c>
      <c r="L55" s="60" t="s">
        <v>331</v>
      </c>
      <c r="M55" s="59">
        <f t="shared" si="2"/>
        <v>2623</v>
      </c>
      <c r="N55" s="62">
        <v>643</v>
      </c>
      <c r="O55" s="59">
        <v>660</v>
      </c>
      <c r="P55" s="59">
        <v>660</v>
      </c>
      <c r="Q55" s="59">
        <v>660</v>
      </c>
    </row>
    <row r="56" spans="1:18" ht="15">
      <c r="A56" s="77"/>
      <c r="B56" s="77"/>
      <c r="C56" s="98">
        <v>601</v>
      </c>
      <c r="D56" s="85" t="s">
        <v>1293</v>
      </c>
      <c r="E56" s="86">
        <v>6</v>
      </c>
      <c r="F56" s="95" t="s">
        <v>214</v>
      </c>
      <c r="G56" s="95"/>
      <c r="H56" s="95"/>
      <c r="I56" s="95"/>
      <c r="J56" s="95">
        <v>6310</v>
      </c>
      <c r="K56" s="85" t="s">
        <v>528</v>
      </c>
      <c r="L56" s="85"/>
      <c r="M56" s="85"/>
      <c r="N56" s="110">
        <v>38</v>
      </c>
      <c r="O56" s="110">
        <v>24</v>
      </c>
      <c r="P56" s="110">
        <v>16</v>
      </c>
      <c r="Q56" s="105">
        <v>14</v>
      </c>
    </row>
    <row r="57" spans="1:18" ht="15">
      <c r="A57" s="59">
        <v>1000009640</v>
      </c>
      <c r="B57" s="59">
        <v>29189773</v>
      </c>
      <c r="C57" s="73">
        <v>603</v>
      </c>
      <c r="D57" s="60" t="s">
        <v>1050</v>
      </c>
      <c r="E57" s="59">
        <v>7</v>
      </c>
      <c r="F57" s="60" t="s">
        <v>1302</v>
      </c>
      <c r="G57" s="60" t="s">
        <v>1302</v>
      </c>
      <c r="H57" s="60" t="s">
        <v>1302</v>
      </c>
      <c r="I57" s="59">
        <v>0</v>
      </c>
      <c r="J57" s="60" t="s">
        <v>211</v>
      </c>
      <c r="K57" s="60" t="s">
        <v>969</v>
      </c>
      <c r="L57" s="60" t="s">
        <v>303</v>
      </c>
      <c r="M57" s="59">
        <f>N57+O57+P57+Q57</f>
        <v>932</v>
      </c>
      <c r="N57" s="59">
        <v>350</v>
      </c>
      <c r="O57" s="59">
        <v>70</v>
      </c>
      <c r="P57" s="62">
        <v>225</v>
      </c>
      <c r="Q57" s="62">
        <v>287</v>
      </c>
    </row>
    <row r="58" spans="1:18" ht="30">
      <c r="A58" s="77"/>
      <c r="B58" s="77"/>
      <c r="C58" s="98">
        <v>605</v>
      </c>
      <c r="D58" s="60" t="s">
        <v>1053</v>
      </c>
      <c r="E58" s="102" t="s">
        <v>545</v>
      </c>
      <c r="F58" s="77"/>
      <c r="G58" s="77"/>
      <c r="H58" s="77"/>
      <c r="I58" s="77"/>
      <c r="J58" s="77">
        <v>6400</v>
      </c>
      <c r="K58" s="60" t="s">
        <v>975</v>
      </c>
      <c r="L58" s="60"/>
      <c r="M58" s="60"/>
      <c r="N58" s="110">
        <v>747</v>
      </c>
      <c r="O58" s="105">
        <v>791</v>
      </c>
      <c r="P58" s="105">
        <v>728</v>
      </c>
      <c r="Q58" s="105">
        <v>630</v>
      </c>
    </row>
    <row r="59" spans="1:18" ht="15">
      <c r="A59" s="59">
        <v>128945</v>
      </c>
      <c r="B59" s="59">
        <v>29189773</v>
      </c>
      <c r="C59" s="73">
        <v>700</v>
      </c>
      <c r="D59" s="60" t="s">
        <v>472</v>
      </c>
      <c r="E59" s="59">
        <v>48</v>
      </c>
      <c r="F59" s="60" t="s">
        <v>1302</v>
      </c>
      <c r="G59" s="60" t="s">
        <v>1302</v>
      </c>
      <c r="H59" s="60" t="s">
        <v>1302</v>
      </c>
      <c r="I59" s="59">
        <v>0</v>
      </c>
      <c r="J59" s="60" t="s">
        <v>209</v>
      </c>
      <c r="K59" s="60" t="s">
        <v>975</v>
      </c>
      <c r="L59" s="60" t="s">
        <v>291</v>
      </c>
      <c r="M59" s="59">
        <f t="shared" ref="M59:M64" si="3">N59+O59+P59+Q59</f>
        <v>67</v>
      </c>
      <c r="N59" s="76">
        <v>17</v>
      </c>
      <c r="O59" s="62">
        <v>8</v>
      </c>
      <c r="P59" s="62">
        <v>8</v>
      </c>
      <c r="Q59" s="59">
        <v>34</v>
      </c>
    </row>
    <row r="60" spans="1:18" ht="15">
      <c r="A60" s="59">
        <v>5884497</v>
      </c>
      <c r="B60" s="59">
        <v>29189773</v>
      </c>
      <c r="C60" s="73">
        <v>710</v>
      </c>
      <c r="D60" s="60" t="s">
        <v>1049</v>
      </c>
      <c r="E60" s="59">
        <v>1</v>
      </c>
      <c r="F60" s="60" t="s">
        <v>1302</v>
      </c>
      <c r="G60" s="60" t="s">
        <v>1302</v>
      </c>
      <c r="H60" s="60" t="s">
        <v>1302</v>
      </c>
      <c r="I60" s="59">
        <v>0</v>
      </c>
      <c r="J60" s="60" t="s">
        <v>234</v>
      </c>
      <c r="K60" s="60" t="s">
        <v>987</v>
      </c>
      <c r="L60" s="60" t="s">
        <v>387</v>
      </c>
      <c r="M60" s="59">
        <f t="shared" si="3"/>
        <v>401</v>
      </c>
      <c r="N60" s="75">
        <v>76</v>
      </c>
      <c r="O60" s="59">
        <v>90</v>
      </c>
      <c r="P60" s="59">
        <v>83</v>
      </c>
      <c r="Q60" s="59">
        <v>152</v>
      </c>
    </row>
    <row r="61" spans="1:18" ht="15">
      <c r="A61" s="59">
        <v>1010015770</v>
      </c>
      <c r="B61" s="59">
        <v>29189773</v>
      </c>
      <c r="C61" s="73">
        <v>712</v>
      </c>
      <c r="D61" s="60" t="s">
        <v>797</v>
      </c>
      <c r="E61" s="59">
        <v>12</v>
      </c>
      <c r="F61" s="60" t="s">
        <v>1302</v>
      </c>
      <c r="G61" s="60" t="s">
        <v>1302</v>
      </c>
      <c r="H61" s="60" t="s">
        <v>1302</v>
      </c>
      <c r="I61" s="59">
        <v>1</v>
      </c>
      <c r="J61" s="60" t="s">
        <v>206</v>
      </c>
      <c r="K61" s="60" t="s">
        <v>1405</v>
      </c>
      <c r="L61" s="60" t="s">
        <v>258</v>
      </c>
      <c r="M61" s="59">
        <f t="shared" si="3"/>
        <v>321</v>
      </c>
      <c r="N61" s="62">
        <v>104</v>
      </c>
      <c r="O61" s="62">
        <v>75</v>
      </c>
      <c r="P61" s="62">
        <v>76</v>
      </c>
      <c r="Q61" s="59">
        <v>66</v>
      </c>
    </row>
    <row r="62" spans="1:18" ht="15">
      <c r="A62" s="59">
        <v>5828716</v>
      </c>
      <c r="B62" s="59">
        <v>29189773</v>
      </c>
      <c r="C62" s="73">
        <v>713</v>
      </c>
      <c r="D62" s="60" t="s">
        <v>1065</v>
      </c>
      <c r="E62" s="59">
        <v>64</v>
      </c>
      <c r="F62" s="60" t="s">
        <v>1302</v>
      </c>
      <c r="G62" s="60" t="s">
        <v>1302</v>
      </c>
      <c r="H62" s="60" t="s">
        <v>1302</v>
      </c>
      <c r="I62" s="59">
        <v>0</v>
      </c>
      <c r="J62" s="60" t="s">
        <v>206</v>
      </c>
      <c r="K62" s="60" t="s">
        <v>1405</v>
      </c>
      <c r="L62" s="60" t="s">
        <v>239</v>
      </c>
      <c r="M62" s="59">
        <f t="shared" si="3"/>
        <v>274</v>
      </c>
      <c r="N62" s="76">
        <v>57</v>
      </c>
      <c r="O62" s="62">
        <v>57</v>
      </c>
      <c r="P62" s="62">
        <v>57</v>
      </c>
      <c r="Q62" s="59">
        <v>103</v>
      </c>
    </row>
    <row r="63" spans="1:18" ht="15">
      <c r="A63" s="59">
        <v>1010008227</v>
      </c>
      <c r="B63" s="59">
        <v>29189773</v>
      </c>
      <c r="C63" s="73">
        <v>714</v>
      </c>
      <c r="D63" s="60" t="s">
        <v>1033</v>
      </c>
      <c r="E63" s="59">
        <v>15</v>
      </c>
      <c r="F63" s="60" t="s">
        <v>1302</v>
      </c>
      <c r="G63" s="60" t="s">
        <v>1302</v>
      </c>
      <c r="H63" s="60" t="s">
        <v>1302</v>
      </c>
      <c r="I63" s="59">
        <v>0</v>
      </c>
      <c r="J63" s="60" t="s">
        <v>206</v>
      </c>
      <c r="K63" s="60" t="s">
        <v>1405</v>
      </c>
      <c r="L63" s="60" t="s">
        <v>279</v>
      </c>
      <c r="M63" s="59">
        <f t="shared" si="3"/>
        <v>84</v>
      </c>
      <c r="N63" s="62">
        <v>25</v>
      </c>
      <c r="O63" s="62">
        <v>17</v>
      </c>
      <c r="P63" s="62">
        <v>23</v>
      </c>
      <c r="Q63" s="59">
        <v>19</v>
      </c>
    </row>
    <row r="64" spans="1:18" ht="15">
      <c r="A64" s="59">
        <v>1000007923</v>
      </c>
      <c r="B64" s="59">
        <v>29189773</v>
      </c>
      <c r="C64" s="73">
        <v>719</v>
      </c>
      <c r="D64" s="60" t="s">
        <v>1048</v>
      </c>
      <c r="E64" s="59">
        <v>7</v>
      </c>
      <c r="F64" s="60" t="s">
        <v>1302</v>
      </c>
      <c r="G64" s="60" t="s">
        <v>1302</v>
      </c>
      <c r="H64" s="60" t="s">
        <v>1302</v>
      </c>
      <c r="I64" s="59">
        <v>0</v>
      </c>
      <c r="J64" s="60" t="s">
        <v>211</v>
      </c>
      <c r="K64" s="60" t="s">
        <v>969</v>
      </c>
      <c r="L64" s="60" t="s">
        <v>369</v>
      </c>
      <c r="M64" s="59">
        <f t="shared" si="3"/>
        <v>350</v>
      </c>
      <c r="N64" s="62">
        <v>90</v>
      </c>
      <c r="O64" s="62">
        <v>88</v>
      </c>
      <c r="P64" s="62">
        <v>82</v>
      </c>
      <c r="Q64" s="59">
        <v>90</v>
      </c>
    </row>
    <row r="65" spans="1:18" ht="15">
      <c r="A65" s="77"/>
      <c r="B65" s="77"/>
      <c r="C65" s="98">
        <v>720</v>
      </c>
      <c r="D65" s="85" t="s">
        <v>544</v>
      </c>
      <c r="E65" s="86">
        <v>31</v>
      </c>
      <c r="F65" s="95"/>
      <c r="G65" s="95"/>
      <c r="H65" s="95"/>
      <c r="I65" s="95"/>
      <c r="J65" s="95">
        <v>6430</v>
      </c>
      <c r="K65" s="85" t="s">
        <v>969</v>
      </c>
      <c r="L65" s="85"/>
      <c r="M65" s="85"/>
      <c r="N65" s="110">
        <v>756</v>
      </c>
      <c r="O65" s="110">
        <v>738</v>
      </c>
      <c r="P65" s="110">
        <v>656</v>
      </c>
      <c r="Q65" s="105">
        <v>1080</v>
      </c>
    </row>
    <row r="66" spans="1:18" ht="15">
      <c r="A66" s="59">
        <v>1000004576</v>
      </c>
      <c r="B66" s="59">
        <v>29189773</v>
      </c>
      <c r="C66" s="73">
        <v>723</v>
      </c>
      <c r="D66" s="60" t="s">
        <v>1272</v>
      </c>
      <c r="E66" s="59">
        <v>8</v>
      </c>
      <c r="F66" s="60" t="s">
        <v>1302</v>
      </c>
      <c r="G66" s="60" t="s">
        <v>1302</v>
      </c>
      <c r="H66" s="60" t="s">
        <v>1302</v>
      </c>
      <c r="I66" s="59">
        <v>0</v>
      </c>
      <c r="J66" s="60" t="s">
        <v>211</v>
      </c>
      <c r="K66" s="60" t="s">
        <v>969</v>
      </c>
      <c r="L66" s="60" t="s">
        <v>323</v>
      </c>
      <c r="M66" s="59">
        <f>N66+O66+P66+Q66</f>
        <v>114</v>
      </c>
      <c r="N66" s="62">
        <v>30</v>
      </c>
      <c r="O66" s="62">
        <v>30</v>
      </c>
      <c r="P66" s="62">
        <v>28</v>
      </c>
      <c r="Q66" s="59">
        <v>26</v>
      </c>
    </row>
    <row r="67" spans="1:18" ht="15">
      <c r="A67" s="59">
        <v>1000005394</v>
      </c>
      <c r="B67" s="59">
        <v>29189773</v>
      </c>
      <c r="C67" s="73">
        <v>726</v>
      </c>
      <c r="D67" s="60" t="s">
        <v>1443</v>
      </c>
      <c r="E67" s="59">
        <v>1</v>
      </c>
      <c r="F67" s="60" t="s">
        <v>1302</v>
      </c>
      <c r="G67" s="60" t="s">
        <v>1302</v>
      </c>
      <c r="H67" s="60" t="s">
        <v>1302</v>
      </c>
      <c r="I67" s="59">
        <v>0</v>
      </c>
      <c r="J67" s="60" t="s">
        <v>211</v>
      </c>
      <c r="K67" s="60" t="s">
        <v>969</v>
      </c>
      <c r="L67" s="60" t="s">
        <v>334</v>
      </c>
      <c r="M67" s="59">
        <f>N67+O67+P67+Q67</f>
        <v>1976</v>
      </c>
      <c r="N67" s="62">
        <v>539</v>
      </c>
      <c r="O67" s="62">
        <v>353</v>
      </c>
      <c r="P67" s="62">
        <v>531</v>
      </c>
      <c r="Q67" s="59">
        <v>553</v>
      </c>
    </row>
    <row r="68" spans="1:18" ht="15">
      <c r="A68" s="59">
        <v>135038</v>
      </c>
      <c r="B68" s="59">
        <v>29189773</v>
      </c>
      <c r="C68" s="73">
        <v>730</v>
      </c>
      <c r="D68" s="60" t="s">
        <v>1298</v>
      </c>
      <c r="E68" s="59">
        <v>58</v>
      </c>
      <c r="F68" s="60" t="s">
        <v>1302</v>
      </c>
      <c r="G68" s="60" t="s">
        <v>1302</v>
      </c>
      <c r="H68" s="60" t="s">
        <v>1302</v>
      </c>
      <c r="I68" s="59">
        <v>0</v>
      </c>
      <c r="J68" s="60" t="s">
        <v>209</v>
      </c>
      <c r="K68" s="60" t="s">
        <v>975</v>
      </c>
      <c r="L68" s="60" t="s">
        <v>226</v>
      </c>
      <c r="M68" s="59">
        <f>N68+O68+P68+Q68</f>
        <v>922</v>
      </c>
      <c r="N68" s="76">
        <v>185</v>
      </c>
      <c r="O68" s="59">
        <v>288</v>
      </c>
      <c r="P68" s="59">
        <v>96</v>
      </c>
      <c r="Q68" s="59">
        <v>353</v>
      </c>
    </row>
    <row r="69" spans="1:18" ht="15">
      <c r="A69" s="59">
        <v>1188178</v>
      </c>
      <c r="B69" s="59">
        <v>29189773</v>
      </c>
      <c r="C69" s="73">
        <v>731</v>
      </c>
      <c r="D69" s="60" t="s">
        <v>493</v>
      </c>
      <c r="E69" s="59">
        <v>1</v>
      </c>
      <c r="F69" s="60" t="s">
        <v>1302</v>
      </c>
      <c r="G69" s="60" t="s">
        <v>1302</v>
      </c>
      <c r="H69" s="60" t="s">
        <v>1302</v>
      </c>
      <c r="I69" s="59">
        <v>0</v>
      </c>
      <c r="J69" s="60" t="s">
        <v>209</v>
      </c>
      <c r="K69" s="60" t="s">
        <v>975</v>
      </c>
      <c r="L69" s="60" t="s">
        <v>217</v>
      </c>
      <c r="M69" s="59">
        <f>N69+O69+P69+Q69</f>
        <v>526</v>
      </c>
      <c r="N69" s="76">
        <v>196</v>
      </c>
      <c r="O69" s="59">
        <v>211</v>
      </c>
      <c r="P69" s="59">
        <v>33</v>
      </c>
      <c r="Q69" s="59">
        <v>86</v>
      </c>
    </row>
    <row r="70" spans="1:18" ht="15">
      <c r="A70" s="59">
        <v>336238</v>
      </c>
      <c r="B70" s="59">
        <v>29189773</v>
      </c>
      <c r="C70" s="73">
        <v>732</v>
      </c>
      <c r="D70" s="60" t="s">
        <v>493</v>
      </c>
      <c r="E70" s="59">
        <v>1</v>
      </c>
      <c r="F70" s="60" t="s">
        <v>214</v>
      </c>
      <c r="G70" s="60" t="s">
        <v>1302</v>
      </c>
      <c r="H70" s="60" t="s">
        <v>1302</v>
      </c>
      <c r="I70" s="59">
        <v>0</v>
      </c>
      <c r="J70" s="60" t="s">
        <v>209</v>
      </c>
      <c r="K70" s="60" t="s">
        <v>975</v>
      </c>
      <c r="L70" s="60" t="s">
        <v>218</v>
      </c>
      <c r="M70" s="59">
        <f>N70+O70+P70+Q70</f>
        <v>570</v>
      </c>
      <c r="N70" s="77">
        <v>214</v>
      </c>
      <c r="O70" s="59">
        <v>220</v>
      </c>
      <c r="P70" s="62">
        <v>36</v>
      </c>
      <c r="Q70" s="62">
        <v>100</v>
      </c>
    </row>
    <row r="71" spans="1:18" ht="15">
      <c r="A71" s="77"/>
      <c r="B71" s="77"/>
      <c r="C71" s="98">
        <v>733</v>
      </c>
      <c r="D71" s="85" t="s">
        <v>546</v>
      </c>
      <c r="E71" s="86">
        <v>1</v>
      </c>
      <c r="F71" s="95"/>
      <c r="G71" s="95"/>
      <c r="H71" s="95"/>
      <c r="I71" s="95"/>
      <c r="J71" s="95">
        <v>6400</v>
      </c>
      <c r="K71" s="85" t="s">
        <v>975</v>
      </c>
      <c r="L71" s="85"/>
      <c r="M71" s="85"/>
      <c r="N71" s="105">
        <v>953</v>
      </c>
      <c r="O71" s="105">
        <v>741</v>
      </c>
      <c r="P71" s="105">
        <v>662</v>
      </c>
      <c r="Q71" s="105">
        <v>775</v>
      </c>
    </row>
    <row r="72" spans="1:18" ht="15">
      <c r="A72" s="68">
        <v>532460</v>
      </c>
      <c r="B72" s="68">
        <v>29189773</v>
      </c>
      <c r="C72" s="74">
        <v>734</v>
      </c>
      <c r="D72" s="69" t="s">
        <v>492</v>
      </c>
      <c r="E72" s="68">
        <v>1</v>
      </c>
      <c r="F72" s="69" t="s">
        <v>1302</v>
      </c>
      <c r="G72" s="69" t="s">
        <v>1302</v>
      </c>
      <c r="H72" s="69" t="s">
        <v>1302</v>
      </c>
      <c r="I72" s="68">
        <v>0</v>
      </c>
      <c r="J72" s="69" t="s">
        <v>209</v>
      </c>
      <c r="K72" s="69" t="s">
        <v>975</v>
      </c>
      <c r="L72" s="69" t="s">
        <v>210</v>
      </c>
      <c r="M72" s="68">
        <f>N72+O72+P72+Q72</f>
        <v>68</v>
      </c>
      <c r="N72" s="79">
        <v>37</v>
      </c>
      <c r="O72" s="68">
        <v>11</v>
      </c>
      <c r="P72" s="71">
        <v>11</v>
      </c>
      <c r="Q72" s="71">
        <v>9</v>
      </c>
      <c r="R72" s="70"/>
    </row>
    <row r="73" spans="1:18" ht="15">
      <c r="A73" s="59">
        <v>544906</v>
      </c>
      <c r="B73" s="59">
        <v>29189773</v>
      </c>
      <c r="C73" s="73">
        <v>735</v>
      </c>
      <c r="D73" s="60" t="s">
        <v>652</v>
      </c>
      <c r="E73" s="59">
        <v>16</v>
      </c>
      <c r="F73" s="60" t="s">
        <v>1302</v>
      </c>
      <c r="G73" s="60" t="s">
        <v>1302</v>
      </c>
      <c r="H73" s="60" t="s">
        <v>1302</v>
      </c>
      <c r="I73" s="59">
        <v>0</v>
      </c>
      <c r="J73" s="60" t="s">
        <v>209</v>
      </c>
      <c r="K73" s="60" t="s">
        <v>975</v>
      </c>
      <c r="L73" s="60" t="s">
        <v>355</v>
      </c>
      <c r="M73" s="59">
        <f>N73+O73+P73+Q73</f>
        <v>2268</v>
      </c>
      <c r="N73" s="59">
        <v>304</v>
      </c>
      <c r="O73" s="59">
        <v>271</v>
      </c>
      <c r="P73" s="75">
        <v>1526</v>
      </c>
      <c r="Q73" s="64">
        <v>167</v>
      </c>
    </row>
    <row r="74" spans="1:18" ht="15">
      <c r="A74" s="77"/>
      <c r="B74" s="77"/>
      <c r="C74" s="98">
        <v>736</v>
      </c>
      <c r="D74" s="60" t="s">
        <v>1277</v>
      </c>
      <c r="E74" s="59">
        <v>4</v>
      </c>
      <c r="F74" s="77"/>
      <c r="G74" s="77"/>
      <c r="H74" s="77"/>
      <c r="I74" s="77"/>
      <c r="J74" s="77">
        <v>6400</v>
      </c>
      <c r="K74" s="60" t="s">
        <v>975</v>
      </c>
      <c r="L74" s="60"/>
      <c r="M74" s="60"/>
      <c r="N74" s="105">
        <v>245</v>
      </c>
      <c r="O74" s="105">
        <v>212</v>
      </c>
      <c r="P74" s="105">
        <v>193</v>
      </c>
      <c r="Q74" s="105">
        <v>157</v>
      </c>
    </row>
    <row r="75" spans="1:18" ht="15">
      <c r="A75" s="59">
        <v>5876826</v>
      </c>
      <c r="B75" s="59">
        <v>29189773</v>
      </c>
      <c r="C75" s="73">
        <v>800</v>
      </c>
      <c r="D75" s="60" t="s">
        <v>1340</v>
      </c>
      <c r="E75" s="59">
        <v>44</v>
      </c>
      <c r="F75" s="60" t="s">
        <v>1302</v>
      </c>
      <c r="G75" s="60" t="s">
        <v>526</v>
      </c>
      <c r="H75" s="60" t="s">
        <v>1302</v>
      </c>
      <c r="I75" s="59">
        <v>0</v>
      </c>
      <c r="J75" s="60" t="s">
        <v>234</v>
      </c>
      <c r="K75" s="60" t="s">
        <v>987</v>
      </c>
      <c r="L75" s="60" t="s">
        <v>252</v>
      </c>
      <c r="M75" s="59">
        <f>N75+O75+P75+Q75</f>
        <v>13007</v>
      </c>
      <c r="N75" s="62">
        <v>3966</v>
      </c>
      <c r="O75" s="59">
        <v>3292</v>
      </c>
      <c r="P75" s="59">
        <v>2902</v>
      </c>
      <c r="Q75" s="59">
        <v>2847</v>
      </c>
    </row>
    <row r="76" spans="1:18" ht="15">
      <c r="A76" s="77"/>
      <c r="B76" s="77"/>
      <c r="C76" s="98">
        <v>800</v>
      </c>
      <c r="D76" s="60" t="s">
        <v>1290</v>
      </c>
      <c r="E76" s="59">
        <v>9</v>
      </c>
      <c r="F76" s="77"/>
      <c r="G76" s="77"/>
      <c r="H76" s="77"/>
      <c r="I76" s="77"/>
      <c r="J76" s="77">
        <v>6430</v>
      </c>
      <c r="K76" s="60" t="s">
        <v>969</v>
      </c>
      <c r="L76" s="60"/>
      <c r="M76" s="60"/>
      <c r="N76" s="96">
        <v>152</v>
      </c>
      <c r="O76" s="111">
        <v>136</v>
      </c>
      <c r="P76" s="14">
        <v>64</v>
      </c>
      <c r="Q76" s="105">
        <v>71</v>
      </c>
    </row>
    <row r="77" spans="1:18" ht="30">
      <c r="A77" s="77"/>
      <c r="B77" s="77"/>
      <c r="C77" s="98">
        <v>800</v>
      </c>
      <c r="D77" s="85" t="s">
        <v>1288</v>
      </c>
      <c r="E77" s="94" t="s">
        <v>539</v>
      </c>
      <c r="F77" s="95"/>
      <c r="G77" s="95"/>
      <c r="H77" s="95"/>
      <c r="I77" s="95"/>
      <c r="J77" s="95">
        <v>6400</v>
      </c>
      <c r="K77" s="85" t="s">
        <v>975</v>
      </c>
      <c r="L77" s="85"/>
      <c r="M77" s="85"/>
      <c r="N77" s="14">
        <v>306</v>
      </c>
      <c r="O77" s="111">
        <v>373</v>
      </c>
      <c r="P77" s="112">
        <v>361</v>
      </c>
      <c r="Q77" s="105">
        <v>387</v>
      </c>
    </row>
    <row r="78" spans="1:18" ht="15">
      <c r="A78" s="77"/>
      <c r="B78" s="77"/>
      <c r="C78" s="98">
        <v>800</v>
      </c>
      <c r="D78" s="85" t="s">
        <v>1288</v>
      </c>
      <c r="E78" s="86">
        <v>19</v>
      </c>
      <c r="F78" s="95" t="s">
        <v>214</v>
      </c>
      <c r="G78" s="95"/>
      <c r="H78" s="95"/>
      <c r="I78" s="95"/>
      <c r="J78" s="95">
        <v>6400</v>
      </c>
      <c r="K78" s="85" t="s">
        <v>975</v>
      </c>
      <c r="L78" s="85"/>
      <c r="M78" s="85"/>
      <c r="N78" s="14">
        <v>92</v>
      </c>
      <c r="O78" s="105">
        <v>92</v>
      </c>
      <c r="P78" s="105">
        <v>91</v>
      </c>
      <c r="Q78" s="96">
        <v>93</v>
      </c>
    </row>
    <row r="79" spans="1:18" ht="15">
      <c r="A79" s="59">
        <v>1791</v>
      </c>
      <c r="B79" s="59">
        <v>29189773</v>
      </c>
      <c r="C79" s="73">
        <v>802</v>
      </c>
      <c r="D79" s="60" t="s">
        <v>1297</v>
      </c>
      <c r="E79" s="59">
        <v>1</v>
      </c>
      <c r="F79" s="60" t="s">
        <v>1279</v>
      </c>
      <c r="G79" s="60" t="s">
        <v>1302</v>
      </c>
      <c r="H79" s="60" t="s">
        <v>1302</v>
      </c>
      <c r="I79" s="59">
        <v>0</v>
      </c>
      <c r="J79" s="60" t="s">
        <v>244</v>
      </c>
      <c r="K79" s="60" t="s">
        <v>245</v>
      </c>
      <c r="L79" s="60" t="s">
        <v>268</v>
      </c>
      <c r="M79" s="59">
        <f t="shared" ref="M79:M85" si="4">N79+O79+P79+Q79</f>
        <v>2811</v>
      </c>
      <c r="N79" s="75">
        <v>1002</v>
      </c>
      <c r="O79" s="65">
        <v>729</v>
      </c>
      <c r="P79" s="61">
        <v>539</v>
      </c>
      <c r="Q79" s="59">
        <v>541</v>
      </c>
    </row>
    <row r="80" spans="1:18" ht="15">
      <c r="A80" s="59">
        <v>1791</v>
      </c>
      <c r="B80" s="59">
        <v>29189773</v>
      </c>
      <c r="C80" s="73">
        <v>802</v>
      </c>
      <c r="D80" s="60" t="s">
        <v>1297</v>
      </c>
      <c r="E80" s="59">
        <v>1</v>
      </c>
      <c r="F80" s="60" t="s">
        <v>1279</v>
      </c>
      <c r="G80" s="60" t="s">
        <v>1302</v>
      </c>
      <c r="H80" s="60" t="s">
        <v>1302</v>
      </c>
      <c r="I80" s="59">
        <v>0</v>
      </c>
      <c r="J80" s="60" t="s">
        <v>244</v>
      </c>
      <c r="K80" s="60" t="s">
        <v>245</v>
      </c>
      <c r="L80" s="60" t="s">
        <v>269</v>
      </c>
      <c r="M80" s="59">
        <f t="shared" si="4"/>
        <v>1458</v>
      </c>
      <c r="N80" s="75">
        <v>467</v>
      </c>
      <c r="O80" s="59">
        <v>298</v>
      </c>
      <c r="P80" s="59">
        <v>340</v>
      </c>
      <c r="Q80" s="59">
        <v>353</v>
      </c>
    </row>
    <row r="81" spans="1:18" s="70" customFormat="1" ht="15">
      <c r="A81" s="59">
        <v>3034</v>
      </c>
      <c r="B81" s="59">
        <v>29189773</v>
      </c>
      <c r="C81" s="73">
        <v>803</v>
      </c>
      <c r="D81" s="60" t="s">
        <v>806</v>
      </c>
      <c r="E81" s="59">
        <v>4</v>
      </c>
      <c r="F81" s="60" t="s">
        <v>1302</v>
      </c>
      <c r="G81" s="60" t="s">
        <v>1302</v>
      </c>
      <c r="H81" s="60" t="s">
        <v>1302</v>
      </c>
      <c r="I81" s="59">
        <v>0</v>
      </c>
      <c r="J81" s="60" t="s">
        <v>244</v>
      </c>
      <c r="K81" s="60" t="s">
        <v>245</v>
      </c>
      <c r="L81" s="60" t="s">
        <v>300</v>
      </c>
      <c r="M81" s="59">
        <f t="shared" si="4"/>
        <v>1165</v>
      </c>
      <c r="N81" s="75">
        <v>466</v>
      </c>
      <c r="O81" s="59">
        <v>476</v>
      </c>
      <c r="P81" s="59">
        <v>152</v>
      </c>
      <c r="Q81" s="59">
        <v>71</v>
      </c>
      <c r="R81"/>
    </row>
    <row r="82" spans="1:18" ht="15">
      <c r="A82" s="59">
        <v>3034</v>
      </c>
      <c r="B82" s="59">
        <v>29189773</v>
      </c>
      <c r="C82" s="73">
        <v>803</v>
      </c>
      <c r="D82" s="60" t="s">
        <v>806</v>
      </c>
      <c r="E82" s="59">
        <v>4</v>
      </c>
      <c r="F82" s="60" t="s">
        <v>1302</v>
      </c>
      <c r="G82" s="60" t="s">
        <v>1302</v>
      </c>
      <c r="H82" s="60" t="s">
        <v>1302</v>
      </c>
      <c r="I82" s="59">
        <v>0</v>
      </c>
      <c r="J82" s="60" t="s">
        <v>244</v>
      </c>
      <c r="K82" s="60" t="s">
        <v>245</v>
      </c>
      <c r="L82" s="60" t="s">
        <v>301</v>
      </c>
      <c r="M82" s="59">
        <f t="shared" si="4"/>
        <v>19</v>
      </c>
      <c r="N82" s="75">
        <v>2</v>
      </c>
      <c r="O82" s="59">
        <v>10</v>
      </c>
      <c r="P82" s="59">
        <v>6</v>
      </c>
      <c r="Q82" s="59">
        <v>1</v>
      </c>
    </row>
    <row r="83" spans="1:18" ht="15">
      <c r="A83" s="59">
        <v>1805</v>
      </c>
      <c r="B83" s="59">
        <v>29189773</v>
      </c>
      <c r="C83" s="73">
        <v>804</v>
      </c>
      <c r="D83" s="60" t="s">
        <v>1297</v>
      </c>
      <c r="E83" s="59">
        <v>1</v>
      </c>
      <c r="F83" s="60" t="s">
        <v>214</v>
      </c>
      <c r="G83" s="60" t="s">
        <v>1302</v>
      </c>
      <c r="H83" s="60" t="s">
        <v>1302</v>
      </c>
      <c r="I83" s="59">
        <v>0</v>
      </c>
      <c r="J83" s="60" t="s">
        <v>244</v>
      </c>
      <c r="K83" s="60" t="s">
        <v>245</v>
      </c>
      <c r="L83" s="60" t="s">
        <v>265</v>
      </c>
      <c r="M83" s="59">
        <f t="shared" si="4"/>
        <v>96</v>
      </c>
      <c r="N83" s="75">
        <v>0</v>
      </c>
      <c r="O83" s="59">
        <v>96</v>
      </c>
      <c r="P83" s="59">
        <v>0</v>
      </c>
      <c r="Q83" s="59">
        <v>0</v>
      </c>
    </row>
    <row r="84" spans="1:18" ht="15">
      <c r="A84" s="59">
        <v>1805</v>
      </c>
      <c r="B84" s="59">
        <v>29189773</v>
      </c>
      <c r="C84" s="73">
        <v>804</v>
      </c>
      <c r="D84" s="60" t="s">
        <v>1297</v>
      </c>
      <c r="E84" s="59">
        <v>1</v>
      </c>
      <c r="F84" s="60" t="s">
        <v>214</v>
      </c>
      <c r="G84" s="60" t="s">
        <v>1302</v>
      </c>
      <c r="H84" s="60" t="s">
        <v>1302</v>
      </c>
      <c r="I84" s="59">
        <v>0</v>
      </c>
      <c r="J84" s="60" t="s">
        <v>244</v>
      </c>
      <c r="K84" s="60" t="s">
        <v>245</v>
      </c>
      <c r="L84" s="60" t="s">
        <v>266</v>
      </c>
      <c r="M84" s="59">
        <f t="shared" si="4"/>
        <v>1047</v>
      </c>
      <c r="N84" s="59">
        <v>223</v>
      </c>
      <c r="O84" s="59">
        <v>305</v>
      </c>
      <c r="P84" s="59">
        <v>305</v>
      </c>
      <c r="Q84" s="59">
        <v>214</v>
      </c>
    </row>
    <row r="85" spans="1:18" ht="15">
      <c r="A85" s="59">
        <v>619043</v>
      </c>
      <c r="B85" s="59">
        <v>29189773</v>
      </c>
      <c r="C85" s="73">
        <v>804</v>
      </c>
      <c r="D85" s="60" t="s">
        <v>1297</v>
      </c>
      <c r="E85" s="59">
        <v>1</v>
      </c>
      <c r="F85" s="60" t="s">
        <v>214</v>
      </c>
      <c r="G85" s="60" t="s">
        <v>1302</v>
      </c>
      <c r="H85" s="60" t="s">
        <v>1302</v>
      </c>
      <c r="I85" s="59">
        <v>1</v>
      </c>
      <c r="J85" s="60" t="s">
        <v>244</v>
      </c>
      <c r="K85" s="60" t="s">
        <v>245</v>
      </c>
      <c r="L85" s="60" t="s">
        <v>267</v>
      </c>
      <c r="M85" s="59">
        <f t="shared" si="4"/>
        <v>174</v>
      </c>
      <c r="O85" s="59">
        <v>96</v>
      </c>
      <c r="P85" s="59">
        <v>57</v>
      </c>
      <c r="Q85" s="59">
        <v>21</v>
      </c>
    </row>
    <row r="86" spans="1:18" ht="15">
      <c r="A86" s="77"/>
      <c r="B86" s="77"/>
      <c r="C86" s="98">
        <v>805</v>
      </c>
      <c r="D86" s="85" t="s">
        <v>536</v>
      </c>
      <c r="E86" s="94">
        <v>98</v>
      </c>
      <c r="F86" s="95"/>
      <c r="G86" s="95"/>
      <c r="H86" s="95"/>
      <c r="I86" s="95"/>
      <c r="J86" s="95">
        <v>6440</v>
      </c>
      <c r="K86" s="85" t="s">
        <v>245</v>
      </c>
      <c r="L86" s="85"/>
      <c r="M86" s="85"/>
      <c r="N86" s="14">
        <v>2324</v>
      </c>
      <c r="O86" s="110">
        <v>3517</v>
      </c>
      <c r="P86" s="110">
        <v>3860</v>
      </c>
      <c r="Q86" s="105">
        <v>1340</v>
      </c>
    </row>
    <row r="87" spans="1:18" ht="15">
      <c r="A87" s="59">
        <v>1856</v>
      </c>
      <c r="B87" s="59">
        <v>29189773</v>
      </c>
      <c r="C87" s="73">
        <v>809</v>
      </c>
      <c r="D87" s="60" t="s">
        <v>1297</v>
      </c>
      <c r="E87" s="59">
        <v>5</v>
      </c>
      <c r="F87" s="60" t="s">
        <v>1302</v>
      </c>
      <c r="G87" s="60" t="s">
        <v>1302</v>
      </c>
      <c r="H87" s="60" t="s">
        <v>1302</v>
      </c>
      <c r="I87" s="59">
        <v>0</v>
      </c>
      <c r="J87" s="60" t="s">
        <v>244</v>
      </c>
      <c r="K87" s="60" t="s">
        <v>245</v>
      </c>
      <c r="L87" s="60" t="s">
        <v>271</v>
      </c>
      <c r="M87" s="59">
        <f>N87+O87+P87+Q87</f>
        <v>23</v>
      </c>
      <c r="N87" s="75">
        <v>7</v>
      </c>
      <c r="O87" s="59">
        <v>6</v>
      </c>
      <c r="P87" s="59">
        <v>9</v>
      </c>
      <c r="Q87" s="59">
        <v>1</v>
      </c>
    </row>
    <row r="88" spans="1:18" ht="15">
      <c r="A88" s="59">
        <v>1856</v>
      </c>
      <c r="B88" s="59">
        <v>29189773</v>
      </c>
      <c r="C88" s="73">
        <v>809</v>
      </c>
      <c r="D88" s="60" t="s">
        <v>1297</v>
      </c>
      <c r="E88" s="59">
        <v>5</v>
      </c>
      <c r="F88" s="60" t="s">
        <v>1302</v>
      </c>
      <c r="G88" s="60" t="s">
        <v>1302</v>
      </c>
      <c r="H88" s="60" t="s">
        <v>1302</v>
      </c>
      <c r="I88" s="59">
        <v>0</v>
      </c>
      <c r="J88" s="60" t="s">
        <v>244</v>
      </c>
      <c r="K88" s="60" t="s">
        <v>245</v>
      </c>
      <c r="L88" s="60" t="s">
        <v>272</v>
      </c>
      <c r="M88" s="59">
        <f>N88+O88+P88+Q88</f>
        <v>308</v>
      </c>
      <c r="N88" s="59">
        <v>70</v>
      </c>
      <c r="O88" s="59">
        <v>52</v>
      </c>
      <c r="P88" s="59">
        <v>59</v>
      </c>
      <c r="Q88" s="59">
        <v>127</v>
      </c>
    </row>
    <row r="89" spans="1:18" ht="15">
      <c r="A89" s="77"/>
      <c r="B89" s="77"/>
      <c r="C89" s="98">
        <v>810</v>
      </c>
      <c r="D89" s="60" t="s">
        <v>1042</v>
      </c>
      <c r="E89" s="59">
        <v>13</v>
      </c>
      <c r="F89" s="105" t="s">
        <v>321</v>
      </c>
      <c r="G89" s="77"/>
      <c r="H89" s="77"/>
      <c r="I89" s="77"/>
      <c r="J89" s="77">
        <v>6310</v>
      </c>
      <c r="K89" s="60" t="s">
        <v>528</v>
      </c>
      <c r="L89" s="60"/>
      <c r="M89" s="60"/>
      <c r="N89" s="14">
        <v>420</v>
      </c>
      <c r="O89" s="110">
        <v>420</v>
      </c>
      <c r="P89" s="110">
        <v>373</v>
      </c>
      <c r="Q89" s="105">
        <v>337</v>
      </c>
    </row>
    <row r="90" spans="1:18" ht="15">
      <c r="A90" s="77"/>
      <c r="B90" s="77"/>
      <c r="C90" s="98">
        <v>811</v>
      </c>
      <c r="D90" s="85" t="s">
        <v>1044</v>
      </c>
      <c r="E90" s="86">
        <v>19</v>
      </c>
      <c r="F90" s="95"/>
      <c r="G90" s="95"/>
      <c r="H90" s="95"/>
      <c r="I90" s="95"/>
      <c r="J90" s="95">
        <v>6310</v>
      </c>
      <c r="K90" s="85" t="s">
        <v>528</v>
      </c>
      <c r="L90" s="85"/>
      <c r="M90" s="85"/>
      <c r="N90" s="14">
        <v>1905</v>
      </c>
      <c r="O90" s="110">
        <v>1966</v>
      </c>
      <c r="P90" s="110">
        <v>1425</v>
      </c>
      <c r="Q90" s="105">
        <v>1469</v>
      </c>
    </row>
    <row r="91" spans="1:18" ht="15">
      <c r="A91" s="77"/>
      <c r="B91" s="77"/>
      <c r="C91" s="98">
        <v>812</v>
      </c>
      <c r="D91" s="60" t="s">
        <v>1059</v>
      </c>
      <c r="E91" s="59">
        <v>13</v>
      </c>
      <c r="F91" s="77"/>
      <c r="G91" s="77"/>
      <c r="H91" s="77"/>
      <c r="I91" s="77"/>
      <c r="J91" s="77">
        <v>6320</v>
      </c>
      <c r="K91" s="60" t="s">
        <v>538</v>
      </c>
      <c r="L91" s="60"/>
      <c r="M91" s="60"/>
      <c r="N91" s="14">
        <v>1567</v>
      </c>
      <c r="O91" s="105">
        <v>2387</v>
      </c>
      <c r="P91" s="105">
        <v>1228</v>
      </c>
      <c r="Q91" s="105">
        <v>2411</v>
      </c>
    </row>
    <row r="92" spans="1:18" ht="15">
      <c r="A92" s="77"/>
      <c r="B92" s="77"/>
      <c r="C92" s="98">
        <v>819</v>
      </c>
      <c r="D92" s="85" t="s">
        <v>1077</v>
      </c>
      <c r="E92" s="86">
        <v>10</v>
      </c>
      <c r="F92" s="95"/>
      <c r="G92" s="95"/>
      <c r="H92" s="95"/>
      <c r="I92" s="95"/>
      <c r="J92" s="95">
        <v>6300</v>
      </c>
      <c r="K92" s="85" t="s">
        <v>1405</v>
      </c>
      <c r="L92" s="85"/>
      <c r="M92" s="85"/>
      <c r="N92" s="14">
        <v>61</v>
      </c>
      <c r="O92" s="110">
        <v>60</v>
      </c>
      <c r="P92" s="105">
        <v>85</v>
      </c>
      <c r="Q92" s="110">
        <v>43</v>
      </c>
    </row>
    <row r="93" spans="1:18" ht="15">
      <c r="A93" s="59">
        <v>1010006143</v>
      </c>
      <c r="B93" s="59">
        <v>29189773</v>
      </c>
      <c r="C93" s="73">
        <v>821</v>
      </c>
      <c r="D93" s="60" t="s">
        <v>1034</v>
      </c>
      <c r="E93" s="59">
        <v>2</v>
      </c>
      <c r="F93" s="60" t="s">
        <v>1302</v>
      </c>
      <c r="G93" s="60" t="s">
        <v>1302</v>
      </c>
      <c r="H93" s="60" t="s">
        <v>1302</v>
      </c>
      <c r="I93" s="59">
        <v>0</v>
      </c>
      <c r="J93" s="60" t="s">
        <v>206</v>
      </c>
      <c r="K93" s="60" t="s">
        <v>1405</v>
      </c>
      <c r="L93" s="60" t="s">
        <v>223</v>
      </c>
      <c r="M93" s="59">
        <f>N93+O93+P93+Q93</f>
        <v>10276</v>
      </c>
      <c r="N93" s="77">
        <v>2558</v>
      </c>
      <c r="O93" s="59">
        <v>2865</v>
      </c>
      <c r="P93" s="62">
        <v>2368</v>
      </c>
      <c r="Q93" s="62">
        <v>2485</v>
      </c>
    </row>
    <row r="94" spans="1:18" s="70" customFormat="1" ht="15">
      <c r="A94" s="59">
        <v>1010006143</v>
      </c>
      <c r="B94" s="59">
        <v>29189773</v>
      </c>
      <c r="C94" s="73">
        <v>821</v>
      </c>
      <c r="D94" s="60" t="s">
        <v>1034</v>
      </c>
      <c r="E94" s="59">
        <v>2</v>
      </c>
      <c r="F94" s="60" t="s">
        <v>1302</v>
      </c>
      <c r="G94" s="60" t="s">
        <v>1302</v>
      </c>
      <c r="H94" s="60" t="s">
        <v>1302</v>
      </c>
      <c r="I94" s="59">
        <v>0</v>
      </c>
      <c r="J94" s="60" t="s">
        <v>206</v>
      </c>
      <c r="K94" s="60" t="s">
        <v>1405</v>
      </c>
      <c r="L94" s="63">
        <v>29042510</v>
      </c>
      <c r="M94" s="59">
        <f>N94+O94+P94+Q94</f>
        <v>579</v>
      </c>
      <c r="N94" s="59">
        <v>87</v>
      </c>
      <c r="O94" s="59">
        <v>177</v>
      </c>
      <c r="P94" s="62">
        <v>96</v>
      </c>
      <c r="Q94" s="62">
        <v>219</v>
      </c>
      <c r="R94" t="s">
        <v>224</v>
      </c>
    </row>
    <row r="95" spans="1:18" ht="15">
      <c r="A95" s="77"/>
      <c r="B95" s="77"/>
      <c r="C95" s="98">
        <v>822</v>
      </c>
      <c r="D95" s="85" t="s">
        <v>1341</v>
      </c>
      <c r="E95" s="86">
        <v>10</v>
      </c>
      <c r="F95" s="95"/>
      <c r="G95" s="95"/>
      <c r="H95" s="95"/>
      <c r="I95" s="95"/>
      <c r="J95" s="95">
        <v>6300</v>
      </c>
      <c r="K95" s="85" t="s">
        <v>1405</v>
      </c>
      <c r="L95" s="85"/>
      <c r="M95" s="85"/>
      <c r="N95" s="105">
        <v>470</v>
      </c>
      <c r="O95" s="105">
        <v>477</v>
      </c>
      <c r="P95" s="110">
        <v>425</v>
      </c>
      <c r="Q95" s="110">
        <v>363</v>
      </c>
    </row>
    <row r="96" spans="1:18" ht="15">
      <c r="A96" s="59">
        <v>1000006447</v>
      </c>
      <c r="B96" s="59">
        <v>29189773</v>
      </c>
      <c r="C96" s="73">
        <v>823</v>
      </c>
      <c r="D96" s="60" t="s">
        <v>1293</v>
      </c>
      <c r="E96" s="59">
        <v>16</v>
      </c>
      <c r="F96" s="60" t="s">
        <v>1302</v>
      </c>
      <c r="G96" s="60" t="s">
        <v>1302</v>
      </c>
      <c r="H96" s="60" t="s">
        <v>1302</v>
      </c>
      <c r="I96" s="59">
        <v>0</v>
      </c>
      <c r="J96" s="60" t="s">
        <v>211</v>
      </c>
      <c r="K96" s="60" t="s">
        <v>969</v>
      </c>
      <c r="L96" s="60" t="s">
        <v>361</v>
      </c>
      <c r="M96" s="59">
        <f>N96+O96+P96+Q96</f>
        <v>563</v>
      </c>
      <c r="N96" s="59">
        <v>97</v>
      </c>
      <c r="O96" s="59">
        <v>26</v>
      </c>
      <c r="P96" s="62">
        <v>429</v>
      </c>
      <c r="Q96" s="62">
        <v>11</v>
      </c>
    </row>
    <row r="97" spans="1:18" ht="15">
      <c r="A97" s="77"/>
      <c r="B97" s="77"/>
      <c r="C97" s="98">
        <v>825</v>
      </c>
      <c r="D97" s="60" t="s">
        <v>554</v>
      </c>
      <c r="E97" s="59">
        <v>62</v>
      </c>
      <c r="F97" s="77"/>
      <c r="G97" s="77"/>
      <c r="H97" s="77"/>
      <c r="I97" s="77"/>
      <c r="J97" s="77">
        <v>6430</v>
      </c>
      <c r="K97" s="60" t="s">
        <v>969</v>
      </c>
      <c r="L97" s="60"/>
      <c r="M97" s="60"/>
      <c r="N97" s="110">
        <v>354</v>
      </c>
      <c r="O97" s="105">
        <v>298</v>
      </c>
      <c r="P97" s="110">
        <v>298</v>
      </c>
      <c r="Q97" s="110">
        <v>299</v>
      </c>
    </row>
    <row r="98" spans="1:18" ht="15">
      <c r="A98" s="77"/>
      <c r="B98" s="77"/>
      <c r="C98" s="98">
        <v>826</v>
      </c>
      <c r="D98" s="60" t="s">
        <v>1290</v>
      </c>
      <c r="E98" s="77" t="s">
        <v>553</v>
      </c>
      <c r="F98" s="77"/>
      <c r="G98" s="77"/>
      <c r="H98" s="77"/>
      <c r="I98" s="77"/>
      <c r="J98" s="77">
        <v>6430</v>
      </c>
      <c r="K98" s="60" t="s">
        <v>969</v>
      </c>
      <c r="L98" s="60"/>
      <c r="M98" s="60"/>
      <c r="N98" s="110">
        <v>1914</v>
      </c>
      <c r="O98" s="105">
        <v>1901</v>
      </c>
      <c r="P98" s="110">
        <v>1337</v>
      </c>
      <c r="Q98" s="110">
        <v>1024</v>
      </c>
    </row>
    <row r="99" spans="1:18" ht="15">
      <c r="A99" s="59">
        <v>5845343</v>
      </c>
      <c r="B99" s="59">
        <v>29189773</v>
      </c>
      <c r="C99" s="73">
        <v>827</v>
      </c>
      <c r="D99" s="60" t="s">
        <v>799</v>
      </c>
      <c r="E99" s="59">
        <v>2</v>
      </c>
      <c r="F99" s="60" t="s">
        <v>1302</v>
      </c>
      <c r="G99" s="60" t="s">
        <v>1302</v>
      </c>
      <c r="H99" s="60" t="s">
        <v>1302</v>
      </c>
      <c r="I99" s="59">
        <v>0</v>
      </c>
      <c r="J99" s="60" t="s">
        <v>211</v>
      </c>
      <c r="K99" s="60" t="s">
        <v>969</v>
      </c>
      <c r="L99" s="60" t="s">
        <v>319</v>
      </c>
      <c r="M99" s="59">
        <f>N99+O99+P99+Q99</f>
        <v>5395</v>
      </c>
      <c r="N99" s="62">
        <v>1574</v>
      </c>
      <c r="O99" s="59">
        <v>1303</v>
      </c>
      <c r="P99" s="62">
        <v>1174</v>
      </c>
      <c r="Q99" s="62">
        <v>1344</v>
      </c>
    </row>
    <row r="100" spans="1:18" ht="15">
      <c r="A100" s="59">
        <v>1000005637</v>
      </c>
      <c r="B100" s="59">
        <v>29189773</v>
      </c>
      <c r="C100" s="73">
        <v>828</v>
      </c>
      <c r="D100" s="60" t="s">
        <v>1288</v>
      </c>
      <c r="E100" s="59">
        <v>4</v>
      </c>
      <c r="F100" s="60" t="s">
        <v>1302</v>
      </c>
      <c r="G100" s="60" t="s">
        <v>443</v>
      </c>
      <c r="H100" s="60" t="s">
        <v>1302</v>
      </c>
      <c r="I100" s="59">
        <v>0</v>
      </c>
      <c r="J100" s="60" t="s">
        <v>211</v>
      </c>
      <c r="K100" s="60" t="s">
        <v>969</v>
      </c>
      <c r="L100" s="60" t="s">
        <v>341</v>
      </c>
      <c r="M100" s="59">
        <f>N100+O100+P100+Q100</f>
        <v>7838</v>
      </c>
      <c r="N100" s="62">
        <v>2452</v>
      </c>
      <c r="O100" s="62">
        <v>1782</v>
      </c>
      <c r="P100" s="62">
        <v>2445</v>
      </c>
      <c r="Q100" s="59">
        <v>1159</v>
      </c>
    </row>
    <row r="101" spans="1:18" ht="15">
      <c r="A101" s="77"/>
      <c r="B101" s="77"/>
      <c r="C101" s="98">
        <v>829</v>
      </c>
      <c r="D101" s="89" t="s">
        <v>551</v>
      </c>
      <c r="E101" s="59">
        <v>6</v>
      </c>
      <c r="F101" s="107" t="s">
        <v>552</v>
      </c>
      <c r="G101" s="77"/>
      <c r="H101" s="77"/>
      <c r="I101" s="77"/>
      <c r="J101" s="77">
        <v>6400</v>
      </c>
      <c r="K101" s="60" t="s">
        <v>975</v>
      </c>
      <c r="L101" s="60"/>
      <c r="M101" s="60"/>
      <c r="N101" s="110">
        <v>675</v>
      </c>
      <c r="O101" s="110">
        <v>589</v>
      </c>
      <c r="P101" s="110">
        <v>585</v>
      </c>
      <c r="Q101" s="105">
        <v>426</v>
      </c>
    </row>
    <row r="102" spans="1:18" ht="15">
      <c r="A102" s="77"/>
      <c r="B102" s="77"/>
      <c r="C102" s="98">
        <v>830</v>
      </c>
      <c r="D102" s="85" t="s">
        <v>1288</v>
      </c>
      <c r="E102" s="86">
        <v>21</v>
      </c>
      <c r="F102" s="106" t="s">
        <v>555</v>
      </c>
      <c r="G102" s="95"/>
      <c r="H102" s="95"/>
      <c r="I102" s="95"/>
      <c r="J102" s="95">
        <v>6400</v>
      </c>
      <c r="K102" s="85" t="s">
        <v>975</v>
      </c>
      <c r="L102" s="85"/>
      <c r="M102" s="85"/>
      <c r="N102" s="105">
        <v>1708</v>
      </c>
      <c r="O102" s="105">
        <v>2301</v>
      </c>
      <c r="P102" s="110">
        <v>1862</v>
      </c>
      <c r="Q102" s="110">
        <v>1778</v>
      </c>
    </row>
    <row r="103" spans="1:18" ht="15">
      <c r="A103" s="77"/>
      <c r="B103" s="77"/>
      <c r="C103" s="98">
        <v>832</v>
      </c>
      <c r="D103" s="60" t="s">
        <v>534</v>
      </c>
      <c r="E103" s="59">
        <v>4</v>
      </c>
      <c r="F103" s="105" t="s">
        <v>556</v>
      </c>
      <c r="G103" s="77"/>
      <c r="H103" s="77"/>
      <c r="I103" s="77"/>
      <c r="J103" s="77">
        <v>6400</v>
      </c>
      <c r="K103" s="60" t="s">
        <v>975</v>
      </c>
      <c r="L103" s="60"/>
      <c r="M103" s="60"/>
      <c r="N103" s="105">
        <v>606</v>
      </c>
      <c r="O103" s="105">
        <v>537</v>
      </c>
      <c r="P103" s="105">
        <v>400</v>
      </c>
      <c r="Q103" s="105">
        <v>350</v>
      </c>
    </row>
    <row r="104" spans="1:18" ht="15">
      <c r="A104" s="59">
        <v>40797</v>
      </c>
      <c r="B104" s="59">
        <v>29189773</v>
      </c>
      <c r="C104" s="73">
        <v>835</v>
      </c>
      <c r="D104" s="60" t="s">
        <v>1053</v>
      </c>
      <c r="E104" s="59">
        <v>35</v>
      </c>
      <c r="F104" s="60" t="s">
        <v>1302</v>
      </c>
      <c r="G104" s="60" t="s">
        <v>1302</v>
      </c>
      <c r="H104" s="60" t="s">
        <v>1302</v>
      </c>
      <c r="I104" s="59">
        <v>0</v>
      </c>
      <c r="J104" s="60" t="s">
        <v>209</v>
      </c>
      <c r="K104" s="60" t="s">
        <v>975</v>
      </c>
      <c r="L104" s="60" t="s">
        <v>280</v>
      </c>
      <c r="M104" s="59">
        <f>N104+O104+P104+Q104</f>
        <v>1368</v>
      </c>
      <c r="N104" s="59">
        <v>407</v>
      </c>
      <c r="O104" s="59">
        <v>322</v>
      </c>
      <c r="P104" s="77">
        <v>366</v>
      </c>
      <c r="Q104" s="59">
        <v>273</v>
      </c>
    </row>
    <row r="105" spans="1:18" ht="15">
      <c r="A105" s="59">
        <v>40770</v>
      </c>
      <c r="B105" s="59">
        <v>29189773</v>
      </c>
      <c r="C105" s="73">
        <v>835</v>
      </c>
      <c r="D105" s="60" t="s">
        <v>1053</v>
      </c>
      <c r="E105" s="59">
        <v>35</v>
      </c>
      <c r="F105" s="60" t="s">
        <v>1302</v>
      </c>
      <c r="G105" s="60" t="s">
        <v>1302</v>
      </c>
      <c r="H105" s="60" t="s">
        <v>1302</v>
      </c>
      <c r="I105" s="59">
        <v>1</v>
      </c>
      <c r="J105" s="60" t="s">
        <v>209</v>
      </c>
      <c r="K105" s="60" t="s">
        <v>975</v>
      </c>
      <c r="L105" s="60" t="s">
        <v>281</v>
      </c>
      <c r="M105" s="59">
        <f>N105+O105+P105+Q105</f>
        <v>4500</v>
      </c>
      <c r="N105" s="77">
        <v>1116</v>
      </c>
      <c r="O105" s="59">
        <v>1188</v>
      </c>
      <c r="P105" s="59">
        <v>1232</v>
      </c>
      <c r="Q105" s="59">
        <v>964</v>
      </c>
    </row>
    <row r="106" spans="1:18" ht="15">
      <c r="A106" s="77"/>
      <c r="B106" s="77"/>
      <c r="C106" s="98">
        <v>838</v>
      </c>
      <c r="D106" s="60" t="s">
        <v>783</v>
      </c>
      <c r="E106" s="59">
        <v>12</v>
      </c>
      <c r="F106" s="77"/>
      <c r="G106" s="77"/>
      <c r="H106" s="77"/>
      <c r="I106" s="77"/>
      <c r="J106" s="77">
        <v>6400</v>
      </c>
      <c r="K106" s="60" t="s">
        <v>975</v>
      </c>
      <c r="L106" s="60"/>
      <c r="M106" s="60"/>
      <c r="N106" s="105">
        <v>211</v>
      </c>
      <c r="O106" s="105">
        <v>70</v>
      </c>
      <c r="P106" s="105">
        <v>59</v>
      </c>
      <c r="Q106" s="105">
        <v>56</v>
      </c>
    </row>
    <row r="107" spans="1:18" ht="15">
      <c r="A107" s="59">
        <v>22152</v>
      </c>
      <c r="B107" s="59">
        <v>29189773</v>
      </c>
      <c r="C107" s="73">
        <v>840</v>
      </c>
      <c r="D107" s="60" t="s">
        <v>471</v>
      </c>
      <c r="E107" s="59">
        <v>100</v>
      </c>
      <c r="F107" s="60" t="s">
        <v>1302</v>
      </c>
      <c r="G107" s="60" t="s">
        <v>1302</v>
      </c>
      <c r="H107" s="60" t="s">
        <v>1302</v>
      </c>
      <c r="I107" s="59">
        <v>0</v>
      </c>
      <c r="J107" s="60" t="s">
        <v>209</v>
      </c>
      <c r="K107" s="60" t="s">
        <v>975</v>
      </c>
      <c r="L107" s="60" t="s">
        <v>240</v>
      </c>
      <c r="M107" s="59">
        <f>N107+O107+P107+Q107</f>
        <v>8514</v>
      </c>
      <c r="N107" s="77">
        <v>3070</v>
      </c>
      <c r="O107" s="59">
        <v>2152</v>
      </c>
      <c r="P107" s="62">
        <v>2071</v>
      </c>
      <c r="Q107" s="62">
        <v>1221</v>
      </c>
    </row>
    <row r="108" spans="1:18" ht="15">
      <c r="A108" s="77"/>
      <c r="B108" s="77"/>
      <c r="C108" s="98">
        <v>841</v>
      </c>
      <c r="D108" s="60" t="s">
        <v>1060</v>
      </c>
      <c r="E108" s="59">
        <v>3</v>
      </c>
      <c r="F108" s="77"/>
      <c r="G108" s="77"/>
      <c r="H108" s="77"/>
      <c r="I108" s="77"/>
      <c r="J108" s="77">
        <v>6400</v>
      </c>
      <c r="K108" s="60" t="s">
        <v>975</v>
      </c>
      <c r="L108" s="60"/>
      <c r="M108" s="60"/>
      <c r="N108" s="105">
        <v>2552</v>
      </c>
      <c r="O108" s="105">
        <v>2400</v>
      </c>
      <c r="P108" s="110">
        <v>2297</v>
      </c>
      <c r="Q108" s="110">
        <v>1421</v>
      </c>
    </row>
    <row r="109" spans="1:18" ht="15">
      <c r="A109" s="77"/>
      <c r="B109" s="77"/>
      <c r="C109" s="98">
        <v>842</v>
      </c>
      <c r="D109" s="60" t="s">
        <v>1275</v>
      </c>
      <c r="E109" s="59">
        <v>13</v>
      </c>
      <c r="F109" s="77"/>
      <c r="G109" s="77"/>
      <c r="H109" s="77"/>
      <c r="I109" s="77"/>
      <c r="J109" s="77">
        <v>6400</v>
      </c>
      <c r="K109" s="60" t="s">
        <v>975</v>
      </c>
      <c r="L109" s="60"/>
      <c r="M109" s="60"/>
      <c r="N109" s="105">
        <v>1553</v>
      </c>
      <c r="O109" s="105">
        <v>265</v>
      </c>
      <c r="P109" s="110">
        <v>297</v>
      </c>
      <c r="Q109" s="110">
        <v>260</v>
      </c>
    </row>
    <row r="110" spans="1:18" s="70" customFormat="1" ht="15">
      <c r="A110" s="59">
        <v>608920</v>
      </c>
      <c r="B110" s="59">
        <v>29189773</v>
      </c>
      <c r="C110" s="73">
        <v>843</v>
      </c>
      <c r="D110" s="60" t="s">
        <v>1071</v>
      </c>
      <c r="E110" s="59">
        <v>1</v>
      </c>
      <c r="F110" s="60" t="s">
        <v>1302</v>
      </c>
      <c r="G110" s="60" t="s">
        <v>1302</v>
      </c>
      <c r="H110" s="60" t="s">
        <v>1302</v>
      </c>
      <c r="I110" s="59">
        <v>0</v>
      </c>
      <c r="J110" s="60" t="s">
        <v>209</v>
      </c>
      <c r="K110" s="60" t="s">
        <v>975</v>
      </c>
      <c r="L110" s="60" t="s">
        <v>278</v>
      </c>
      <c r="M110" s="59">
        <f>N110+O110+P110+Q110</f>
        <v>8322</v>
      </c>
      <c r="N110" s="59">
        <v>454</v>
      </c>
      <c r="O110" s="59">
        <v>2378</v>
      </c>
      <c r="P110" s="62">
        <v>2378</v>
      </c>
      <c r="Q110" s="62">
        <v>3112</v>
      </c>
      <c r="R110"/>
    </row>
    <row r="111" spans="1:18" s="70" customFormat="1" ht="15">
      <c r="A111" s="59">
        <v>501603</v>
      </c>
      <c r="B111" s="59">
        <v>29189773</v>
      </c>
      <c r="C111" s="73">
        <v>844</v>
      </c>
      <c r="D111" s="60" t="s">
        <v>470</v>
      </c>
      <c r="E111" s="59">
        <v>5</v>
      </c>
      <c r="F111" s="60" t="s">
        <v>1302</v>
      </c>
      <c r="G111" s="60" t="s">
        <v>1302</v>
      </c>
      <c r="H111" s="60" t="s">
        <v>1302</v>
      </c>
      <c r="I111" s="59">
        <v>0</v>
      </c>
      <c r="J111" s="60" t="s">
        <v>209</v>
      </c>
      <c r="K111" s="60" t="s">
        <v>975</v>
      </c>
      <c r="L111" s="60" t="s">
        <v>394</v>
      </c>
      <c r="M111" s="59">
        <f>N111+O111+P111+Q111</f>
        <v>3548</v>
      </c>
      <c r="N111" s="59">
        <v>1240</v>
      </c>
      <c r="O111" s="59">
        <v>700</v>
      </c>
      <c r="P111" s="62">
        <v>812</v>
      </c>
      <c r="Q111" s="62">
        <v>796</v>
      </c>
      <c r="R111"/>
    </row>
    <row r="112" spans="1:18" s="70" customFormat="1" ht="15">
      <c r="A112" s="59">
        <v>501603</v>
      </c>
      <c r="B112" s="59">
        <v>29189773</v>
      </c>
      <c r="C112" s="73">
        <v>844</v>
      </c>
      <c r="D112" s="60" t="s">
        <v>470</v>
      </c>
      <c r="E112" s="59">
        <v>5</v>
      </c>
      <c r="F112" s="60" t="s">
        <v>1302</v>
      </c>
      <c r="G112" s="60" t="s">
        <v>1302</v>
      </c>
      <c r="H112" s="60" t="s">
        <v>1302</v>
      </c>
      <c r="I112" s="59">
        <v>0</v>
      </c>
      <c r="J112" s="60" t="s">
        <v>209</v>
      </c>
      <c r="K112" s="60" t="s">
        <v>975</v>
      </c>
      <c r="L112" s="60" t="s">
        <v>395</v>
      </c>
      <c r="M112" s="59">
        <f>N112+O112+P112+Q112</f>
        <v>3631</v>
      </c>
      <c r="N112" s="59">
        <v>899</v>
      </c>
      <c r="O112" s="59">
        <v>724</v>
      </c>
      <c r="P112" s="62">
        <v>869</v>
      </c>
      <c r="Q112" s="62">
        <v>1139</v>
      </c>
      <c r="R112"/>
    </row>
    <row r="113" spans="1:18" s="70" customFormat="1" ht="15">
      <c r="A113" s="59">
        <v>5889960</v>
      </c>
      <c r="B113" s="59">
        <v>29189773</v>
      </c>
      <c r="C113" s="73">
        <v>900</v>
      </c>
      <c r="D113" s="60" t="s">
        <v>1074</v>
      </c>
      <c r="E113" s="59">
        <v>2</v>
      </c>
      <c r="F113" s="60" t="s">
        <v>1302</v>
      </c>
      <c r="G113" s="60" t="s">
        <v>1302</v>
      </c>
      <c r="H113" s="60" t="s">
        <v>1302</v>
      </c>
      <c r="I113" s="59">
        <v>0</v>
      </c>
      <c r="J113" s="60" t="s">
        <v>234</v>
      </c>
      <c r="K113" s="60" t="s">
        <v>987</v>
      </c>
      <c r="L113" s="60" t="s">
        <v>302</v>
      </c>
      <c r="M113" s="59">
        <f>N113+O113+P113+Q113</f>
        <v>4178</v>
      </c>
      <c r="N113" s="59">
        <v>1327</v>
      </c>
      <c r="O113" s="59">
        <v>1050</v>
      </c>
      <c r="P113" s="62">
        <v>1050</v>
      </c>
      <c r="Q113" s="62">
        <v>751</v>
      </c>
      <c r="R113"/>
    </row>
    <row r="114" spans="1:18" s="70" customFormat="1" ht="15">
      <c r="A114" s="77"/>
      <c r="B114" s="77"/>
      <c r="C114" s="98">
        <v>900</v>
      </c>
      <c r="D114" s="85" t="s">
        <v>1450</v>
      </c>
      <c r="E114" s="94">
        <v>15</v>
      </c>
      <c r="F114" s="95"/>
      <c r="G114" s="95"/>
      <c r="H114" s="95"/>
      <c r="I114" s="95"/>
      <c r="J114" s="95">
        <v>6430</v>
      </c>
      <c r="K114" s="88" t="s">
        <v>969</v>
      </c>
      <c r="L114" s="88"/>
      <c r="M114" s="88"/>
      <c r="N114" s="105">
        <v>223</v>
      </c>
      <c r="O114" s="105">
        <v>223</v>
      </c>
      <c r="P114" s="110">
        <v>449</v>
      </c>
      <c r="Q114" s="110">
        <v>244</v>
      </c>
      <c r="R114" s="76"/>
    </row>
    <row r="115" spans="1:18" s="70" customFormat="1" ht="15">
      <c r="A115" s="77"/>
      <c r="B115" s="77"/>
      <c r="C115" s="98">
        <v>900</v>
      </c>
      <c r="D115" s="85" t="s">
        <v>762</v>
      </c>
      <c r="E115" s="86">
        <v>76</v>
      </c>
      <c r="F115" s="95"/>
      <c r="G115" s="95"/>
      <c r="H115" s="95"/>
      <c r="I115" s="95"/>
      <c r="J115" s="95">
        <v>6400</v>
      </c>
      <c r="K115" s="85" t="s">
        <v>975</v>
      </c>
      <c r="L115" s="85"/>
      <c r="M115" s="85"/>
      <c r="N115" s="105">
        <v>675</v>
      </c>
      <c r="O115" s="105">
        <v>787</v>
      </c>
      <c r="P115" s="110">
        <v>836</v>
      </c>
      <c r="Q115" s="110">
        <v>526</v>
      </c>
      <c r="R115"/>
    </row>
    <row r="116" spans="1:18" s="70" customFormat="1" ht="15">
      <c r="A116" s="77"/>
      <c r="B116" s="77"/>
      <c r="C116" s="98">
        <v>900</v>
      </c>
      <c r="D116" s="85" t="s">
        <v>1341</v>
      </c>
      <c r="E116" s="86">
        <v>27</v>
      </c>
      <c r="F116" s="95"/>
      <c r="G116" s="95"/>
      <c r="H116" s="95"/>
      <c r="I116" s="95"/>
      <c r="J116" s="95">
        <v>6300</v>
      </c>
      <c r="K116" s="85" t="s">
        <v>1405</v>
      </c>
      <c r="L116" s="85"/>
      <c r="M116" s="85"/>
      <c r="N116" s="105">
        <v>222</v>
      </c>
      <c r="O116" s="105">
        <v>234</v>
      </c>
      <c r="P116" s="110">
        <v>294</v>
      </c>
      <c r="Q116" s="110">
        <v>281</v>
      </c>
      <c r="R116"/>
    </row>
    <row r="117" spans="1:18" s="70" customFormat="1" ht="15">
      <c r="A117" s="59">
        <v>4952</v>
      </c>
      <c r="B117" s="59">
        <v>29189773</v>
      </c>
      <c r="C117" s="73">
        <v>901</v>
      </c>
      <c r="D117" s="60" t="s">
        <v>700</v>
      </c>
      <c r="E117" s="59">
        <v>2</v>
      </c>
      <c r="F117" s="60" t="s">
        <v>1302</v>
      </c>
      <c r="G117" s="60" t="s">
        <v>1302</v>
      </c>
      <c r="H117" s="60" t="s">
        <v>1302</v>
      </c>
      <c r="I117" s="59">
        <v>0</v>
      </c>
      <c r="J117" s="60" t="s">
        <v>244</v>
      </c>
      <c r="K117" s="60" t="s">
        <v>245</v>
      </c>
      <c r="L117" s="60" t="s">
        <v>325</v>
      </c>
      <c r="M117" s="59">
        <f>N117+O117+P117+Q117</f>
        <v>2097</v>
      </c>
      <c r="N117" s="59">
        <v>864</v>
      </c>
      <c r="O117" s="59">
        <v>528</v>
      </c>
      <c r="P117" s="62">
        <v>514</v>
      </c>
      <c r="Q117" s="62">
        <v>191</v>
      </c>
      <c r="R117"/>
    </row>
    <row r="118" spans="1:18" s="70" customFormat="1" ht="15">
      <c r="A118" s="77"/>
      <c r="B118" s="77"/>
      <c r="C118" s="98">
        <v>903</v>
      </c>
      <c r="D118" s="85" t="s">
        <v>634</v>
      </c>
      <c r="E118" s="95">
        <v>4</v>
      </c>
      <c r="F118" s="95" t="s">
        <v>214</v>
      </c>
      <c r="G118" s="95"/>
      <c r="H118" s="95"/>
      <c r="I118" s="95"/>
      <c r="J118" s="95">
        <v>6440</v>
      </c>
      <c r="K118" s="85" t="s">
        <v>245</v>
      </c>
      <c r="L118" s="85"/>
      <c r="M118" s="85"/>
      <c r="N118" s="105">
        <v>232</v>
      </c>
      <c r="O118" s="105">
        <v>334</v>
      </c>
      <c r="P118" s="110">
        <v>306</v>
      </c>
      <c r="Q118" s="110">
        <v>380</v>
      </c>
      <c r="R118"/>
    </row>
    <row r="119" spans="1:18" s="70" customFormat="1" ht="15">
      <c r="A119" s="77"/>
      <c r="B119" s="77"/>
      <c r="C119" s="98">
        <v>904</v>
      </c>
      <c r="D119" s="85" t="s">
        <v>533</v>
      </c>
      <c r="E119" s="94">
        <v>32</v>
      </c>
      <c r="F119" s="95"/>
      <c r="G119" s="95"/>
      <c r="H119" s="95"/>
      <c r="I119" s="95"/>
      <c r="J119" s="95">
        <v>6440</v>
      </c>
      <c r="K119" s="88" t="s">
        <v>245</v>
      </c>
      <c r="L119" s="88"/>
      <c r="M119" s="88"/>
      <c r="N119" s="105">
        <v>103</v>
      </c>
      <c r="O119" s="105">
        <v>811</v>
      </c>
      <c r="P119" s="110">
        <v>305</v>
      </c>
      <c r="Q119" s="110">
        <v>244</v>
      </c>
      <c r="R119"/>
    </row>
    <row r="120" spans="1:18" s="70" customFormat="1" ht="15">
      <c r="A120" s="59">
        <v>10812</v>
      </c>
      <c r="B120" s="59">
        <v>29189773</v>
      </c>
      <c r="C120" s="73">
        <v>905</v>
      </c>
      <c r="D120" s="60" t="s">
        <v>746</v>
      </c>
      <c r="E120" s="59">
        <v>8</v>
      </c>
      <c r="F120" s="60" t="s">
        <v>1302</v>
      </c>
      <c r="G120" s="60" t="s">
        <v>1302</v>
      </c>
      <c r="H120" s="60" t="s">
        <v>1302</v>
      </c>
      <c r="I120" s="59">
        <v>0</v>
      </c>
      <c r="J120" s="60" t="s">
        <v>244</v>
      </c>
      <c r="K120" s="60" t="s">
        <v>245</v>
      </c>
      <c r="L120" s="60" t="s">
        <v>357</v>
      </c>
      <c r="M120" s="59">
        <f>N120+O120+P120+Q120</f>
        <v>1687</v>
      </c>
      <c r="N120" s="62">
        <v>566</v>
      </c>
      <c r="O120" s="59">
        <v>474</v>
      </c>
      <c r="P120" s="62">
        <v>446</v>
      </c>
      <c r="Q120" s="62">
        <v>201</v>
      </c>
      <c r="R120"/>
    </row>
    <row r="121" spans="1:18" s="70" customFormat="1" ht="15">
      <c r="A121" s="59">
        <v>13498</v>
      </c>
      <c r="B121" s="59">
        <v>29189773</v>
      </c>
      <c r="C121" s="73">
        <v>906</v>
      </c>
      <c r="D121" s="60" t="s">
        <v>1427</v>
      </c>
      <c r="E121" s="59">
        <v>66</v>
      </c>
      <c r="F121" s="60" t="s">
        <v>1302</v>
      </c>
      <c r="G121" s="60" t="s">
        <v>1302</v>
      </c>
      <c r="H121" s="60" t="s">
        <v>1302</v>
      </c>
      <c r="I121" s="59">
        <v>0</v>
      </c>
      <c r="J121" s="60" t="s">
        <v>244</v>
      </c>
      <c r="K121" s="60" t="s">
        <v>245</v>
      </c>
      <c r="L121" s="60" t="s">
        <v>358</v>
      </c>
      <c r="M121" s="59">
        <f>N121+O121+P121+Q121</f>
        <v>2194</v>
      </c>
      <c r="N121" s="62">
        <v>764</v>
      </c>
      <c r="O121" s="59">
        <v>622</v>
      </c>
      <c r="P121" s="62">
        <v>578</v>
      </c>
      <c r="Q121" s="62">
        <v>230</v>
      </c>
      <c r="R121"/>
    </row>
    <row r="122" spans="1:18" s="70" customFormat="1" ht="15">
      <c r="A122" s="77"/>
      <c r="B122" s="77"/>
      <c r="C122" s="98">
        <v>909</v>
      </c>
      <c r="D122" s="85" t="s">
        <v>1080</v>
      </c>
      <c r="E122" s="86">
        <v>1</v>
      </c>
      <c r="F122" s="95"/>
      <c r="G122" s="95"/>
      <c r="H122" s="95"/>
      <c r="I122" s="95"/>
      <c r="J122" s="95">
        <v>6310</v>
      </c>
      <c r="K122" s="85" t="s">
        <v>528</v>
      </c>
      <c r="L122" s="85"/>
      <c r="M122" s="85"/>
      <c r="N122" s="110">
        <v>454</v>
      </c>
      <c r="O122" s="105">
        <v>301</v>
      </c>
      <c r="P122" s="110">
        <v>337</v>
      </c>
      <c r="Q122" s="110">
        <v>259</v>
      </c>
      <c r="R122"/>
    </row>
    <row r="123" spans="1:18" s="70" customFormat="1" ht="15">
      <c r="A123" s="77"/>
      <c r="B123" s="77"/>
      <c r="C123" s="98">
        <v>910</v>
      </c>
      <c r="D123" s="85" t="s">
        <v>1044</v>
      </c>
      <c r="E123" s="86">
        <v>21</v>
      </c>
      <c r="F123" s="95"/>
      <c r="G123" s="95"/>
      <c r="H123" s="95"/>
      <c r="I123" s="95"/>
      <c r="J123" s="95">
        <v>6310</v>
      </c>
      <c r="K123" s="85" t="s">
        <v>528</v>
      </c>
      <c r="L123" s="85"/>
      <c r="M123" s="85"/>
      <c r="N123" s="110">
        <v>458</v>
      </c>
      <c r="O123" s="105">
        <v>443</v>
      </c>
      <c r="P123" s="105">
        <v>200</v>
      </c>
      <c r="Q123" s="105">
        <v>335</v>
      </c>
      <c r="R123"/>
    </row>
    <row r="124" spans="1:18" ht="15">
      <c r="A124" s="59">
        <v>5878837</v>
      </c>
      <c r="B124" s="59">
        <v>29189773</v>
      </c>
      <c r="C124" s="73">
        <v>911</v>
      </c>
      <c r="D124" s="60" t="s">
        <v>459</v>
      </c>
      <c r="E124" s="59">
        <v>31</v>
      </c>
      <c r="F124" s="60" t="s">
        <v>1302</v>
      </c>
      <c r="G124" s="60" t="s">
        <v>1302</v>
      </c>
      <c r="H124" s="60" t="s">
        <v>1302</v>
      </c>
      <c r="I124" s="59">
        <v>0</v>
      </c>
      <c r="J124" s="60" t="s">
        <v>234</v>
      </c>
      <c r="K124" s="60" t="s">
        <v>987</v>
      </c>
      <c r="L124" s="60" t="s">
        <v>277</v>
      </c>
      <c r="M124" s="59">
        <f>N124+O124+P124+Q124</f>
        <v>676</v>
      </c>
      <c r="N124" s="62">
        <v>201</v>
      </c>
      <c r="O124" s="59">
        <v>186</v>
      </c>
      <c r="P124" s="59">
        <v>144</v>
      </c>
      <c r="Q124" s="59">
        <v>145</v>
      </c>
    </row>
    <row r="125" spans="1:18" ht="15">
      <c r="A125" s="59">
        <v>5885191</v>
      </c>
      <c r="B125" s="59">
        <v>29189773</v>
      </c>
      <c r="C125" s="73">
        <v>912</v>
      </c>
      <c r="D125" s="60" t="s">
        <v>740</v>
      </c>
      <c r="E125" s="59">
        <v>1</v>
      </c>
      <c r="F125" s="60" t="s">
        <v>214</v>
      </c>
      <c r="G125" s="60" t="s">
        <v>1302</v>
      </c>
      <c r="H125" s="60" t="s">
        <v>1302</v>
      </c>
      <c r="I125" s="59">
        <v>0</v>
      </c>
      <c r="J125" s="60" t="s">
        <v>234</v>
      </c>
      <c r="K125" s="60" t="s">
        <v>987</v>
      </c>
      <c r="L125" s="60" t="s">
        <v>404</v>
      </c>
      <c r="M125" s="59">
        <f>N125+O125+P125+Q125</f>
        <v>1110</v>
      </c>
      <c r="N125" s="62">
        <v>438</v>
      </c>
      <c r="O125" s="59">
        <v>293</v>
      </c>
      <c r="P125" s="59">
        <v>245</v>
      </c>
      <c r="Q125" s="59">
        <v>134</v>
      </c>
    </row>
    <row r="126" spans="1:18" ht="15">
      <c r="A126" s="59">
        <v>5895170</v>
      </c>
      <c r="B126" s="59">
        <v>29189773</v>
      </c>
      <c r="C126" s="73">
        <v>913</v>
      </c>
      <c r="D126" s="60" t="s">
        <v>1088</v>
      </c>
      <c r="E126" s="59">
        <v>2</v>
      </c>
      <c r="F126" s="60" t="s">
        <v>1302</v>
      </c>
      <c r="G126" s="60" t="s">
        <v>1302</v>
      </c>
      <c r="H126" s="60" t="s">
        <v>1302</v>
      </c>
      <c r="I126" s="59">
        <v>0</v>
      </c>
      <c r="J126" s="60" t="s">
        <v>234</v>
      </c>
      <c r="K126" s="60" t="s">
        <v>987</v>
      </c>
      <c r="L126" s="60" t="s">
        <v>372</v>
      </c>
      <c r="M126" s="59">
        <f>N126+O126+P126+Q126</f>
        <v>964</v>
      </c>
      <c r="N126" s="62">
        <v>307</v>
      </c>
      <c r="O126" s="59">
        <v>226</v>
      </c>
      <c r="P126" s="59">
        <v>200</v>
      </c>
      <c r="Q126" s="59">
        <v>231</v>
      </c>
    </row>
    <row r="127" spans="1:18" ht="15">
      <c r="A127" s="59">
        <v>5881870</v>
      </c>
      <c r="B127" s="59">
        <v>29189773</v>
      </c>
      <c r="C127" s="73">
        <v>914</v>
      </c>
      <c r="D127" s="60" t="s">
        <v>984</v>
      </c>
      <c r="E127" s="59">
        <v>2</v>
      </c>
      <c r="F127" s="60" t="s">
        <v>1302</v>
      </c>
      <c r="G127" s="60" t="s">
        <v>1302</v>
      </c>
      <c r="H127" s="60" t="s">
        <v>1302</v>
      </c>
      <c r="I127" s="59">
        <v>0</v>
      </c>
      <c r="J127" s="60" t="s">
        <v>234</v>
      </c>
      <c r="K127" s="60" t="s">
        <v>987</v>
      </c>
      <c r="L127" s="60" t="s">
        <v>375</v>
      </c>
      <c r="M127" s="59">
        <f>N127+O127+P127+Q127</f>
        <v>871</v>
      </c>
      <c r="N127" s="62">
        <v>229</v>
      </c>
      <c r="O127" s="62">
        <v>311</v>
      </c>
      <c r="P127" s="62">
        <v>160</v>
      </c>
      <c r="Q127" s="59">
        <v>171</v>
      </c>
    </row>
    <row r="128" spans="1:18" ht="15">
      <c r="A128" s="59">
        <v>1010014243</v>
      </c>
      <c r="B128" s="59">
        <v>29189773</v>
      </c>
      <c r="C128" s="73">
        <v>915</v>
      </c>
      <c r="D128" s="60" t="s">
        <v>1285</v>
      </c>
      <c r="E128" s="59">
        <v>6</v>
      </c>
      <c r="F128" s="60" t="s">
        <v>1302</v>
      </c>
      <c r="G128" s="60" t="s">
        <v>1302</v>
      </c>
      <c r="H128" s="60" t="s">
        <v>1302</v>
      </c>
      <c r="I128" s="59">
        <v>1</v>
      </c>
      <c r="J128" s="60" t="s">
        <v>206</v>
      </c>
      <c r="K128" s="60" t="s">
        <v>1405</v>
      </c>
      <c r="L128" s="60" t="s">
        <v>233</v>
      </c>
      <c r="M128" s="59">
        <f>N128+O128+P128+Q128</f>
        <v>987</v>
      </c>
      <c r="N128" s="62">
        <v>238</v>
      </c>
      <c r="O128" s="59">
        <v>212</v>
      </c>
      <c r="P128" s="59">
        <v>266</v>
      </c>
      <c r="Q128" s="59">
        <v>271</v>
      </c>
    </row>
    <row r="129" spans="1:18" ht="15">
      <c r="A129" s="77"/>
      <c r="B129" s="77"/>
      <c r="C129" s="98">
        <v>916</v>
      </c>
      <c r="D129" s="85" t="s">
        <v>602</v>
      </c>
      <c r="E129" s="94">
        <v>1</v>
      </c>
      <c r="F129" s="95" t="s">
        <v>557</v>
      </c>
      <c r="G129" s="95"/>
      <c r="H129" s="95"/>
      <c r="I129" s="95"/>
      <c r="J129" s="95">
        <v>6300</v>
      </c>
      <c r="K129" s="88" t="s">
        <v>1405</v>
      </c>
      <c r="L129" s="88"/>
      <c r="M129" s="88"/>
      <c r="N129" s="110">
        <v>222</v>
      </c>
      <c r="O129" s="105">
        <v>227</v>
      </c>
      <c r="P129" s="110">
        <v>173</v>
      </c>
      <c r="Q129" s="110">
        <v>3</v>
      </c>
    </row>
    <row r="130" spans="1:18" ht="15">
      <c r="A130" s="77"/>
      <c r="B130" s="77"/>
      <c r="C130" s="98">
        <v>917</v>
      </c>
      <c r="D130" s="60" t="s">
        <v>1341</v>
      </c>
      <c r="E130" s="102">
        <v>28</v>
      </c>
      <c r="F130" s="77"/>
      <c r="G130" s="77"/>
      <c r="H130" s="77"/>
      <c r="I130" s="77"/>
      <c r="J130" s="77">
        <v>6300</v>
      </c>
      <c r="K130" s="89" t="s">
        <v>1405</v>
      </c>
      <c r="L130" s="89"/>
      <c r="M130" s="89"/>
      <c r="N130" s="105">
        <v>302</v>
      </c>
      <c r="O130" s="105">
        <v>465</v>
      </c>
      <c r="P130" s="105">
        <v>368</v>
      </c>
      <c r="Q130" s="105">
        <v>381</v>
      </c>
    </row>
    <row r="131" spans="1:18" ht="15">
      <c r="A131" s="59">
        <v>1010007905</v>
      </c>
      <c r="B131" s="59">
        <v>29189773</v>
      </c>
      <c r="C131" s="73">
        <v>918</v>
      </c>
      <c r="D131" s="60" t="s">
        <v>792</v>
      </c>
      <c r="E131" s="59">
        <v>63</v>
      </c>
      <c r="F131" s="60" t="s">
        <v>1302</v>
      </c>
      <c r="G131" s="60" t="s">
        <v>1302</v>
      </c>
      <c r="H131" s="60" t="s">
        <v>1302</v>
      </c>
      <c r="I131" s="59">
        <v>1</v>
      </c>
      <c r="J131" s="60" t="s">
        <v>206</v>
      </c>
      <c r="K131" s="60" t="s">
        <v>1405</v>
      </c>
      <c r="L131" s="60" t="s">
        <v>359</v>
      </c>
      <c r="M131" s="59">
        <f>N131+O131+P131+Q131</f>
        <v>951</v>
      </c>
      <c r="N131" s="62">
        <v>240</v>
      </c>
      <c r="O131" s="59">
        <v>243</v>
      </c>
      <c r="P131" s="59">
        <v>205</v>
      </c>
      <c r="Q131" s="59">
        <v>263</v>
      </c>
    </row>
    <row r="132" spans="1:18" ht="15">
      <c r="A132" s="59">
        <v>1010021304</v>
      </c>
      <c r="B132" s="59">
        <v>29189773</v>
      </c>
      <c r="C132" s="73">
        <v>919</v>
      </c>
      <c r="D132" s="60" t="s">
        <v>737</v>
      </c>
      <c r="E132" s="59">
        <v>12</v>
      </c>
      <c r="F132" s="60" t="s">
        <v>1302</v>
      </c>
      <c r="G132" s="60" t="s">
        <v>1302</v>
      </c>
      <c r="H132" s="60" t="s">
        <v>1302</v>
      </c>
      <c r="I132" s="59">
        <v>1</v>
      </c>
      <c r="J132" s="60" t="s">
        <v>206</v>
      </c>
      <c r="K132" s="60" t="s">
        <v>1405</v>
      </c>
      <c r="L132" s="60" t="s">
        <v>326</v>
      </c>
      <c r="M132" s="59">
        <f>N132+O132+P132+Q132</f>
        <v>765</v>
      </c>
      <c r="N132" s="59">
        <v>139</v>
      </c>
      <c r="O132" s="59">
        <v>166</v>
      </c>
      <c r="P132" s="59">
        <v>293</v>
      </c>
      <c r="Q132" s="59">
        <v>167</v>
      </c>
    </row>
    <row r="133" spans="1:18" ht="15">
      <c r="A133" s="59">
        <v>5870429</v>
      </c>
      <c r="B133" s="59">
        <v>29189773</v>
      </c>
      <c r="C133" s="73">
        <v>920</v>
      </c>
      <c r="D133" s="60" t="s">
        <v>468</v>
      </c>
      <c r="E133" s="59">
        <v>2</v>
      </c>
      <c r="F133" s="60" t="s">
        <v>1302</v>
      </c>
      <c r="G133" s="60" t="s">
        <v>1302</v>
      </c>
      <c r="H133" s="60" t="s">
        <v>1302</v>
      </c>
      <c r="I133" s="59">
        <v>0</v>
      </c>
      <c r="J133" s="60" t="s">
        <v>211</v>
      </c>
      <c r="K133" s="60" t="s">
        <v>969</v>
      </c>
      <c r="L133" s="60" t="s">
        <v>238</v>
      </c>
      <c r="M133" s="59">
        <f>N133+O133+P133+Q133</f>
        <v>1324</v>
      </c>
      <c r="N133" s="59">
        <v>398</v>
      </c>
      <c r="O133" s="59">
        <v>289</v>
      </c>
      <c r="P133" s="59">
        <v>303</v>
      </c>
      <c r="Q133" s="59">
        <v>334</v>
      </c>
    </row>
    <row r="134" spans="1:18" ht="15">
      <c r="A134" s="59">
        <v>5870410</v>
      </c>
      <c r="B134" s="59">
        <v>29189773</v>
      </c>
      <c r="C134" s="73">
        <v>921</v>
      </c>
      <c r="D134" s="60" t="s">
        <v>1052</v>
      </c>
      <c r="E134" s="59">
        <v>103</v>
      </c>
      <c r="F134" s="60" t="s">
        <v>1302</v>
      </c>
      <c r="G134" s="60" t="s">
        <v>1302</v>
      </c>
      <c r="H134" s="60" t="s">
        <v>1302</v>
      </c>
      <c r="I134" s="59">
        <v>1</v>
      </c>
      <c r="J134" s="60" t="s">
        <v>211</v>
      </c>
      <c r="K134" s="60" t="s">
        <v>969</v>
      </c>
      <c r="L134" s="60" t="s">
        <v>306</v>
      </c>
      <c r="M134" s="59">
        <f>N134+O134+P134+Q134</f>
        <v>1909</v>
      </c>
      <c r="N134" s="59">
        <v>416</v>
      </c>
      <c r="O134" s="59">
        <v>397</v>
      </c>
      <c r="P134" s="59">
        <v>397</v>
      </c>
      <c r="Q134" s="59">
        <v>699</v>
      </c>
    </row>
    <row r="135" spans="1:18" ht="15">
      <c r="A135" s="77"/>
      <c r="B135" s="77"/>
      <c r="C135" s="98">
        <v>923</v>
      </c>
      <c r="D135" s="85" t="s">
        <v>1447</v>
      </c>
      <c r="E135" s="86">
        <v>17</v>
      </c>
      <c r="F135" s="95"/>
      <c r="G135" s="95"/>
      <c r="H135" s="95"/>
      <c r="I135" s="95"/>
      <c r="J135" s="95">
        <v>6430</v>
      </c>
      <c r="K135" s="85" t="s">
        <v>969</v>
      </c>
      <c r="L135" s="85"/>
      <c r="M135" s="85"/>
      <c r="N135" s="110">
        <v>361</v>
      </c>
      <c r="O135" s="105">
        <v>688</v>
      </c>
      <c r="P135" s="105">
        <v>265</v>
      </c>
      <c r="Q135" s="105">
        <v>175</v>
      </c>
    </row>
    <row r="136" spans="1:18" ht="15">
      <c r="A136" s="77"/>
      <c r="B136" s="77"/>
      <c r="C136" s="98">
        <v>924</v>
      </c>
      <c r="D136" s="85" t="s">
        <v>1342</v>
      </c>
      <c r="E136" s="94">
        <v>67</v>
      </c>
      <c r="F136" s="95"/>
      <c r="G136" s="95"/>
      <c r="H136" s="95"/>
      <c r="I136" s="95"/>
      <c r="J136" s="95">
        <v>6430</v>
      </c>
      <c r="K136" s="88" t="s">
        <v>969</v>
      </c>
      <c r="L136" s="88"/>
      <c r="M136" s="88"/>
      <c r="N136" s="105">
        <v>195</v>
      </c>
      <c r="O136" s="105">
        <v>282</v>
      </c>
      <c r="P136" s="105">
        <v>215</v>
      </c>
      <c r="Q136" s="105">
        <v>224</v>
      </c>
    </row>
    <row r="137" spans="1:18" ht="15">
      <c r="A137" s="77"/>
      <c r="B137" s="77"/>
      <c r="C137" s="98">
        <v>925</v>
      </c>
      <c r="D137" s="85" t="s">
        <v>534</v>
      </c>
      <c r="E137" s="94">
        <v>14</v>
      </c>
      <c r="F137" s="95"/>
      <c r="G137" s="95"/>
      <c r="H137" s="95"/>
      <c r="I137" s="95"/>
      <c r="J137" s="95">
        <v>6430</v>
      </c>
      <c r="K137" s="88" t="s">
        <v>969</v>
      </c>
      <c r="L137" s="88"/>
      <c r="M137" s="88"/>
      <c r="N137" s="110">
        <v>69</v>
      </c>
      <c r="O137" s="110">
        <v>68</v>
      </c>
      <c r="P137" s="110">
        <v>464</v>
      </c>
      <c r="Q137" s="105">
        <v>464</v>
      </c>
    </row>
    <row r="138" spans="1:18" s="70" customFormat="1" ht="15">
      <c r="A138" s="59">
        <v>1000005777</v>
      </c>
      <c r="B138" s="59">
        <v>29189773</v>
      </c>
      <c r="C138" s="73">
        <v>926</v>
      </c>
      <c r="D138" s="60" t="s">
        <v>1272</v>
      </c>
      <c r="E138" s="59">
        <v>4</v>
      </c>
      <c r="F138" s="60" t="s">
        <v>321</v>
      </c>
      <c r="G138" s="60" t="s">
        <v>1302</v>
      </c>
      <c r="H138" s="60" t="s">
        <v>1302</v>
      </c>
      <c r="I138" s="59">
        <v>0</v>
      </c>
      <c r="J138" s="60" t="s">
        <v>211</v>
      </c>
      <c r="K138" s="60" t="s">
        <v>969</v>
      </c>
      <c r="L138" s="60" t="s">
        <v>322</v>
      </c>
      <c r="M138" s="59">
        <f>N138+O138+P138+Q138</f>
        <v>1650</v>
      </c>
      <c r="N138" s="62">
        <v>406</v>
      </c>
      <c r="O138" s="59">
        <v>417</v>
      </c>
      <c r="P138" s="59">
        <v>362</v>
      </c>
      <c r="Q138" s="59">
        <v>465</v>
      </c>
      <c r="R138"/>
    </row>
    <row r="139" spans="1:18" ht="15">
      <c r="A139" s="59">
        <v>5845483</v>
      </c>
      <c r="B139" s="59">
        <v>29189773</v>
      </c>
      <c r="C139" s="73">
        <v>926</v>
      </c>
      <c r="D139" s="60" t="s">
        <v>1272</v>
      </c>
      <c r="E139" s="59">
        <v>2</v>
      </c>
      <c r="F139" s="60" t="s">
        <v>1302</v>
      </c>
      <c r="G139" s="60" t="s">
        <v>1302</v>
      </c>
      <c r="H139" s="60" t="s">
        <v>1302</v>
      </c>
      <c r="I139" s="59">
        <v>0</v>
      </c>
      <c r="J139" s="60" t="s">
        <v>229</v>
      </c>
      <c r="K139" s="60" t="s">
        <v>1302</v>
      </c>
      <c r="L139" s="60" t="s">
        <v>320</v>
      </c>
      <c r="M139" s="59">
        <f>N139+O139+P139+Q139</f>
        <v>2180</v>
      </c>
      <c r="N139" s="62">
        <v>426</v>
      </c>
      <c r="O139" s="59">
        <v>513</v>
      </c>
      <c r="P139" s="59">
        <v>398</v>
      </c>
      <c r="Q139" s="59">
        <v>843</v>
      </c>
    </row>
    <row r="140" spans="1:18" ht="15">
      <c r="A140" s="77"/>
      <c r="B140" s="77"/>
      <c r="C140" s="98">
        <v>927</v>
      </c>
      <c r="D140" s="85" t="s">
        <v>537</v>
      </c>
      <c r="E140" s="86">
        <v>11</v>
      </c>
      <c r="F140" s="95"/>
      <c r="G140" s="95"/>
      <c r="H140" s="95"/>
      <c r="I140" s="95"/>
      <c r="J140" s="95">
        <v>6400</v>
      </c>
      <c r="K140" s="85" t="s">
        <v>975</v>
      </c>
      <c r="L140" s="85"/>
      <c r="M140" s="85"/>
      <c r="N140" s="110">
        <v>270</v>
      </c>
      <c r="O140" s="105">
        <v>202</v>
      </c>
      <c r="P140" s="105">
        <v>213</v>
      </c>
      <c r="Q140" s="105">
        <v>215</v>
      </c>
    </row>
    <row r="141" spans="1:18" s="57" customFormat="1" ht="15">
      <c r="A141" s="98"/>
      <c r="B141" s="98"/>
      <c r="C141" s="98">
        <v>929</v>
      </c>
      <c r="D141" s="115" t="s">
        <v>1056</v>
      </c>
      <c r="E141" s="123" t="s">
        <v>540</v>
      </c>
      <c r="F141" s="123"/>
      <c r="G141" s="123"/>
      <c r="H141" s="123"/>
      <c r="I141" s="123"/>
      <c r="J141" s="123">
        <v>6400</v>
      </c>
      <c r="K141" s="115" t="s">
        <v>975</v>
      </c>
      <c r="L141" s="115"/>
      <c r="M141" s="115"/>
      <c r="N141" s="119">
        <v>295</v>
      </c>
      <c r="O141" s="119">
        <v>285</v>
      </c>
      <c r="P141" s="119">
        <v>279</v>
      </c>
      <c r="Q141" s="119">
        <v>282</v>
      </c>
    </row>
    <row r="142" spans="1:18" s="57" customFormat="1" ht="15">
      <c r="A142" s="98"/>
      <c r="B142" s="98"/>
      <c r="C142" s="98">
        <v>930</v>
      </c>
      <c r="D142" s="115" t="s">
        <v>1442</v>
      </c>
      <c r="E142" s="114">
        <v>29</v>
      </c>
      <c r="F142" s="123"/>
      <c r="G142" s="123"/>
      <c r="H142" s="123"/>
      <c r="I142" s="123"/>
      <c r="J142" s="123">
        <v>6400</v>
      </c>
      <c r="K142" s="115" t="s">
        <v>975</v>
      </c>
      <c r="L142" s="115"/>
      <c r="M142" s="115"/>
      <c r="N142" s="124">
        <v>469</v>
      </c>
      <c r="O142" s="119">
        <v>471</v>
      </c>
      <c r="P142" s="119">
        <v>468</v>
      </c>
      <c r="Q142" s="119">
        <v>425</v>
      </c>
    </row>
    <row r="143" spans="1:18" s="57" customFormat="1" ht="15">
      <c r="A143" s="98"/>
      <c r="B143" s="98"/>
      <c r="C143" s="98">
        <v>931</v>
      </c>
      <c r="D143" s="115" t="s">
        <v>535</v>
      </c>
      <c r="E143" s="125">
        <v>22</v>
      </c>
      <c r="F143" s="123"/>
      <c r="G143" s="123"/>
      <c r="H143" s="123"/>
      <c r="I143" s="123"/>
      <c r="J143" s="123">
        <v>6400</v>
      </c>
      <c r="K143" s="126" t="s">
        <v>975</v>
      </c>
      <c r="L143" s="126"/>
      <c r="M143" s="126"/>
      <c r="N143" s="119">
        <v>404</v>
      </c>
      <c r="O143" s="119">
        <v>395</v>
      </c>
      <c r="P143" s="119">
        <v>310</v>
      </c>
      <c r="Q143" s="119">
        <v>278</v>
      </c>
    </row>
    <row r="144" spans="1:18" ht="15">
      <c r="A144" s="59">
        <v>63215</v>
      </c>
      <c r="B144" s="59">
        <v>29189773</v>
      </c>
      <c r="C144" s="73">
        <v>932</v>
      </c>
      <c r="D144" s="60" t="s">
        <v>130</v>
      </c>
      <c r="E144" s="59">
        <v>4</v>
      </c>
      <c r="F144" s="60" t="s">
        <v>1302</v>
      </c>
      <c r="G144" s="60" t="s">
        <v>1302</v>
      </c>
      <c r="H144" s="60" t="s">
        <v>1302</v>
      </c>
      <c r="I144" s="59">
        <v>0</v>
      </c>
      <c r="J144" s="60" t="s">
        <v>209</v>
      </c>
      <c r="K144" s="60" t="s">
        <v>975</v>
      </c>
      <c r="L144" s="60" t="s">
        <v>324</v>
      </c>
      <c r="M144" s="59">
        <f>N144+O144+P144+Q144</f>
        <v>1070</v>
      </c>
      <c r="N144" s="62">
        <v>342</v>
      </c>
      <c r="O144" s="59">
        <v>231</v>
      </c>
      <c r="P144" s="59">
        <v>249</v>
      </c>
      <c r="Q144" s="59">
        <v>248</v>
      </c>
    </row>
    <row r="145" spans="1:18" ht="15">
      <c r="A145" s="59">
        <v>387193</v>
      </c>
      <c r="B145" s="59">
        <v>29189773</v>
      </c>
      <c r="C145" s="73">
        <v>933</v>
      </c>
      <c r="D145" s="60" t="s">
        <v>127</v>
      </c>
      <c r="E145" s="59">
        <v>1</v>
      </c>
      <c r="F145" s="60" t="s">
        <v>1302</v>
      </c>
      <c r="G145" s="60" t="s">
        <v>1302</v>
      </c>
      <c r="H145" s="60" t="s">
        <v>1302</v>
      </c>
      <c r="I145" s="59">
        <v>0</v>
      </c>
      <c r="J145" s="60" t="s">
        <v>209</v>
      </c>
      <c r="K145" s="60" t="s">
        <v>975</v>
      </c>
      <c r="L145" s="60">
        <v>65976675</v>
      </c>
      <c r="M145" s="59">
        <f>N145+O145+P145+Q145</f>
        <v>1732</v>
      </c>
      <c r="N145" s="76">
        <v>388</v>
      </c>
      <c r="O145" s="59">
        <v>398</v>
      </c>
      <c r="P145" s="59">
        <v>491</v>
      </c>
      <c r="Q145" s="59">
        <v>455</v>
      </c>
    </row>
    <row r="146" spans="1:18" ht="15">
      <c r="A146" s="59">
        <v>424005</v>
      </c>
      <c r="B146" s="59">
        <v>29189773</v>
      </c>
      <c r="C146" s="73">
        <v>935</v>
      </c>
      <c r="D146" s="60" t="s">
        <v>791</v>
      </c>
      <c r="E146" s="59">
        <v>54</v>
      </c>
      <c r="F146" s="60" t="s">
        <v>1302</v>
      </c>
      <c r="G146" s="60" t="s">
        <v>1302</v>
      </c>
      <c r="H146" s="60" t="s">
        <v>1302</v>
      </c>
      <c r="I146" s="59">
        <v>0</v>
      </c>
      <c r="J146" s="60" t="s">
        <v>209</v>
      </c>
      <c r="K146" s="60" t="s">
        <v>975</v>
      </c>
      <c r="L146" s="60" t="s">
        <v>318</v>
      </c>
      <c r="M146" s="59">
        <f>N146+O146+P146+Q146</f>
        <v>1709</v>
      </c>
      <c r="N146" s="62">
        <v>438</v>
      </c>
      <c r="O146" s="59">
        <v>357</v>
      </c>
      <c r="P146" s="59">
        <v>396</v>
      </c>
      <c r="Q146" s="59">
        <v>518</v>
      </c>
    </row>
    <row r="147" spans="1:18" ht="15">
      <c r="A147" s="59">
        <v>529664</v>
      </c>
      <c r="B147" s="59">
        <v>29189773</v>
      </c>
      <c r="C147" s="73">
        <v>936</v>
      </c>
      <c r="D147" s="60" t="s">
        <v>742</v>
      </c>
      <c r="E147" s="59">
        <v>1</v>
      </c>
      <c r="F147" s="60" t="s">
        <v>214</v>
      </c>
      <c r="G147" s="60" t="s">
        <v>1302</v>
      </c>
      <c r="H147" s="60" t="s">
        <v>1302</v>
      </c>
      <c r="I147" s="59">
        <v>0</v>
      </c>
      <c r="J147" s="60" t="s">
        <v>209</v>
      </c>
      <c r="K147" s="60" t="s">
        <v>975</v>
      </c>
      <c r="L147" s="60" t="s">
        <v>339</v>
      </c>
      <c r="M147" s="59">
        <f>N147+O147+P147+Q147</f>
        <v>1610</v>
      </c>
      <c r="N147" s="62">
        <v>435</v>
      </c>
      <c r="O147" s="59">
        <v>364</v>
      </c>
      <c r="P147" s="59">
        <v>407</v>
      </c>
      <c r="Q147" s="59">
        <v>404</v>
      </c>
    </row>
    <row r="148" spans="1:18" s="57" customFormat="1" ht="15">
      <c r="A148" s="98"/>
      <c r="B148" s="98"/>
      <c r="C148" s="98">
        <v>937</v>
      </c>
      <c r="D148" s="118" t="s">
        <v>186</v>
      </c>
      <c r="E148" s="120">
        <v>14</v>
      </c>
      <c r="F148" s="98"/>
      <c r="G148" s="98"/>
      <c r="H148" s="98"/>
      <c r="I148" s="98"/>
      <c r="J148" s="98">
        <v>6400</v>
      </c>
      <c r="K148" s="121" t="s">
        <v>975</v>
      </c>
      <c r="L148" s="121"/>
      <c r="M148" s="121">
        <f>N148+O148+P148+Q148</f>
        <v>1290</v>
      </c>
      <c r="N148" s="124">
        <v>374</v>
      </c>
      <c r="O148" s="119">
        <v>228</v>
      </c>
      <c r="P148" s="119">
        <v>325</v>
      </c>
      <c r="Q148" s="119">
        <v>363</v>
      </c>
    </row>
    <row r="149" spans="1:18" ht="15">
      <c r="A149" s="59">
        <v>412252</v>
      </c>
      <c r="B149" s="59">
        <v>29189773</v>
      </c>
      <c r="C149" s="73">
        <v>938</v>
      </c>
      <c r="D149" s="60" t="s">
        <v>129</v>
      </c>
      <c r="E149" s="59">
        <v>45</v>
      </c>
      <c r="F149" s="60" t="s">
        <v>214</v>
      </c>
      <c r="G149" s="60" t="s">
        <v>1302</v>
      </c>
      <c r="H149" s="60" t="s">
        <v>1302</v>
      </c>
      <c r="I149" s="59">
        <v>0</v>
      </c>
      <c r="J149" s="60" t="s">
        <v>209</v>
      </c>
      <c r="K149" s="60" t="s">
        <v>975</v>
      </c>
      <c r="L149" s="60" t="s">
        <v>236</v>
      </c>
      <c r="M149" s="59">
        <f t="shared" ref="M149:M167" si="5">N149+O149+P149+Q149</f>
        <v>1069</v>
      </c>
      <c r="N149" s="76">
        <v>288</v>
      </c>
      <c r="O149" s="59">
        <v>274</v>
      </c>
      <c r="P149" s="59">
        <v>237</v>
      </c>
      <c r="Q149" s="59">
        <v>270</v>
      </c>
    </row>
    <row r="150" spans="1:18" ht="15">
      <c r="A150" s="59">
        <v>416088</v>
      </c>
      <c r="B150" s="59">
        <v>29189773</v>
      </c>
      <c r="C150" s="73">
        <v>939</v>
      </c>
      <c r="D150" s="60" t="s">
        <v>472</v>
      </c>
      <c r="E150" s="59">
        <v>17</v>
      </c>
      <c r="F150" s="60" t="s">
        <v>1302</v>
      </c>
      <c r="G150" s="60" t="s">
        <v>1302</v>
      </c>
      <c r="H150" s="60" t="s">
        <v>288</v>
      </c>
      <c r="I150" s="59">
        <v>0</v>
      </c>
      <c r="J150" s="60" t="s">
        <v>209</v>
      </c>
      <c r="K150" s="60" t="s">
        <v>975</v>
      </c>
      <c r="L150" s="60" t="s">
        <v>289</v>
      </c>
      <c r="M150" s="59">
        <f t="shared" si="5"/>
        <v>1560</v>
      </c>
      <c r="N150" s="76">
        <v>508</v>
      </c>
      <c r="O150" s="59">
        <v>433</v>
      </c>
      <c r="P150" s="59">
        <v>414</v>
      </c>
      <c r="Q150" s="59">
        <v>205</v>
      </c>
    </row>
    <row r="151" spans="1:18" ht="15">
      <c r="A151" s="59">
        <v>622206</v>
      </c>
      <c r="B151" s="59">
        <v>29189773</v>
      </c>
      <c r="C151" s="73">
        <v>1006</v>
      </c>
      <c r="D151" s="60" t="s">
        <v>1293</v>
      </c>
      <c r="E151" s="59">
        <v>41</v>
      </c>
      <c r="F151" s="60" t="s">
        <v>1302</v>
      </c>
      <c r="G151" s="60" t="s">
        <v>1302</v>
      </c>
      <c r="H151" s="60" t="s">
        <v>1302</v>
      </c>
      <c r="I151" s="59">
        <v>0</v>
      </c>
      <c r="J151" s="60" t="s">
        <v>211</v>
      </c>
      <c r="K151" s="60" t="s">
        <v>969</v>
      </c>
      <c r="L151" s="60" t="s">
        <v>366</v>
      </c>
      <c r="M151" s="59">
        <f t="shared" si="5"/>
        <v>19</v>
      </c>
      <c r="N151" s="62">
        <v>9</v>
      </c>
      <c r="O151" s="59">
        <v>9</v>
      </c>
      <c r="P151" s="62">
        <v>0</v>
      </c>
      <c r="Q151" s="62">
        <v>1</v>
      </c>
    </row>
    <row r="152" spans="1:18" ht="15">
      <c r="A152" s="59">
        <v>46329</v>
      </c>
      <c r="B152" s="59">
        <v>29189773</v>
      </c>
      <c r="C152" s="73">
        <v>1015</v>
      </c>
      <c r="D152" s="60" t="s">
        <v>482</v>
      </c>
      <c r="E152" s="59">
        <v>3</v>
      </c>
      <c r="F152" s="60" t="s">
        <v>1302</v>
      </c>
      <c r="G152" s="60" t="s">
        <v>1302</v>
      </c>
      <c r="H152" s="60" t="s">
        <v>1302</v>
      </c>
      <c r="I152" s="59">
        <v>0</v>
      </c>
      <c r="J152" s="60" t="s">
        <v>209</v>
      </c>
      <c r="K152" s="60" t="s">
        <v>975</v>
      </c>
      <c r="L152" s="60" t="s">
        <v>297</v>
      </c>
      <c r="M152" s="59">
        <f t="shared" si="5"/>
        <v>859</v>
      </c>
      <c r="N152" s="59">
        <v>261</v>
      </c>
      <c r="O152" s="59">
        <v>219</v>
      </c>
      <c r="P152" s="59">
        <v>189</v>
      </c>
      <c r="Q152" s="59">
        <v>190</v>
      </c>
    </row>
    <row r="153" spans="1:18" ht="15">
      <c r="A153" s="59">
        <v>202975</v>
      </c>
      <c r="B153" s="59">
        <v>29189773</v>
      </c>
      <c r="C153" s="73">
        <v>1016</v>
      </c>
      <c r="D153" s="60" t="s">
        <v>482</v>
      </c>
      <c r="E153" s="59">
        <v>5</v>
      </c>
      <c r="F153" s="60" t="s">
        <v>1302</v>
      </c>
      <c r="G153" s="60" t="s">
        <v>1302</v>
      </c>
      <c r="H153" s="60" t="s">
        <v>1302</v>
      </c>
      <c r="I153" s="59">
        <v>0</v>
      </c>
      <c r="J153" s="60" t="s">
        <v>209</v>
      </c>
      <c r="K153" s="60" t="s">
        <v>975</v>
      </c>
      <c r="L153" s="60" t="s">
        <v>298</v>
      </c>
      <c r="M153" s="59">
        <f t="shared" si="5"/>
        <v>898</v>
      </c>
      <c r="N153" s="62">
        <v>238</v>
      </c>
      <c r="O153" s="59">
        <v>166</v>
      </c>
      <c r="P153" s="59">
        <v>238</v>
      </c>
      <c r="Q153" s="59">
        <v>256</v>
      </c>
    </row>
    <row r="154" spans="1:18" ht="15">
      <c r="A154" s="59">
        <v>219819</v>
      </c>
      <c r="B154" s="59">
        <v>29189773</v>
      </c>
      <c r="C154" s="73">
        <v>1017</v>
      </c>
      <c r="D154" s="60" t="s">
        <v>482</v>
      </c>
      <c r="E154" s="59">
        <v>7</v>
      </c>
      <c r="F154" s="60" t="s">
        <v>1302</v>
      </c>
      <c r="G154" s="60" t="s">
        <v>1302</v>
      </c>
      <c r="H154" s="60" t="s">
        <v>1302</v>
      </c>
      <c r="I154" s="59">
        <v>0</v>
      </c>
      <c r="J154" s="60" t="s">
        <v>209</v>
      </c>
      <c r="K154" s="60" t="s">
        <v>975</v>
      </c>
      <c r="L154" s="60" t="s">
        <v>299</v>
      </c>
      <c r="M154" s="59">
        <f t="shared" si="5"/>
        <v>347</v>
      </c>
      <c r="N154" s="59">
        <v>91</v>
      </c>
      <c r="O154" s="59">
        <v>86</v>
      </c>
      <c r="P154" s="59">
        <v>87</v>
      </c>
      <c r="Q154" s="59">
        <v>83</v>
      </c>
    </row>
    <row r="155" spans="1:18" ht="15">
      <c r="A155" s="59">
        <v>119415</v>
      </c>
      <c r="B155" s="59">
        <v>29189773</v>
      </c>
      <c r="C155" s="73">
        <v>1019</v>
      </c>
      <c r="D155" s="60" t="s">
        <v>742</v>
      </c>
      <c r="E155" s="59">
        <v>79</v>
      </c>
      <c r="F155" s="60" t="s">
        <v>1302</v>
      </c>
      <c r="G155" s="60" t="s">
        <v>1302</v>
      </c>
      <c r="H155" s="60" t="s">
        <v>1302</v>
      </c>
      <c r="I155" s="59">
        <v>0</v>
      </c>
      <c r="J155" s="60" t="s">
        <v>209</v>
      </c>
      <c r="K155" s="60" t="s">
        <v>975</v>
      </c>
      <c r="L155" s="60" t="s">
        <v>340</v>
      </c>
      <c r="M155" s="59">
        <f t="shared" si="5"/>
        <v>8016</v>
      </c>
      <c r="N155" s="59">
        <v>2132</v>
      </c>
      <c r="O155" s="59">
        <v>1962</v>
      </c>
      <c r="P155" s="59">
        <v>2353</v>
      </c>
      <c r="Q155" s="59">
        <v>1569</v>
      </c>
    </row>
    <row r="156" spans="1:18" ht="15">
      <c r="A156" s="59">
        <v>336246</v>
      </c>
      <c r="B156" s="59">
        <v>29189773</v>
      </c>
      <c r="C156" s="73">
        <v>1020</v>
      </c>
      <c r="D156" s="60" t="s">
        <v>811</v>
      </c>
      <c r="E156" s="59">
        <v>3</v>
      </c>
      <c r="F156" s="60" t="s">
        <v>1302</v>
      </c>
      <c r="G156" s="60" t="s">
        <v>1302</v>
      </c>
      <c r="H156" s="60" t="s">
        <v>1302</v>
      </c>
      <c r="I156" s="59">
        <v>0</v>
      </c>
      <c r="J156" s="60" t="s">
        <v>209</v>
      </c>
      <c r="K156" s="60" t="s">
        <v>975</v>
      </c>
      <c r="L156" s="60" t="s">
        <v>219</v>
      </c>
      <c r="M156" s="59">
        <f t="shared" si="5"/>
        <v>1320</v>
      </c>
      <c r="N156" s="77">
        <v>408</v>
      </c>
      <c r="O156" s="59">
        <v>346</v>
      </c>
      <c r="P156" s="59">
        <v>267</v>
      </c>
      <c r="Q156" s="59">
        <v>299</v>
      </c>
    </row>
    <row r="157" spans="1:18" ht="15">
      <c r="A157" s="59">
        <v>31216</v>
      </c>
      <c r="B157" s="59">
        <v>29189773</v>
      </c>
      <c r="C157" s="73">
        <v>1021</v>
      </c>
      <c r="D157" s="60" t="s">
        <v>483</v>
      </c>
      <c r="E157" s="59">
        <v>8</v>
      </c>
      <c r="F157" s="60" t="s">
        <v>1302</v>
      </c>
      <c r="G157" s="60" t="s">
        <v>1302</v>
      </c>
      <c r="H157" s="60" t="s">
        <v>1302</v>
      </c>
      <c r="I157" s="59">
        <v>0</v>
      </c>
      <c r="J157" s="60" t="s">
        <v>209</v>
      </c>
      <c r="K157" s="60" t="s">
        <v>975</v>
      </c>
      <c r="L157" s="60" t="s">
        <v>246</v>
      </c>
      <c r="M157" s="59">
        <f t="shared" si="5"/>
        <v>914</v>
      </c>
      <c r="N157" s="77">
        <v>182</v>
      </c>
      <c r="O157" s="59">
        <v>178</v>
      </c>
      <c r="P157" s="62">
        <v>325</v>
      </c>
      <c r="Q157" s="62">
        <v>229</v>
      </c>
    </row>
    <row r="158" spans="1:18" ht="15">
      <c r="A158" s="59">
        <v>31372</v>
      </c>
      <c r="B158" s="59">
        <v>29189773</v>
      </c>
      <c r="C158" s="73">
        <v>1023</v>
      </c>
      <c r="D158" s="60" t="s">
        <v>483</v>
      </c>
      <c r="E158" s="59">
        <v>12</v>
      </c>
      <c r="F158" s="60" t="s">
        <v>1302</v>
      </c>
      <c r="G158" s="60" t="s">
        <v>1302</v>
      </c>
      <c r="H158" s="60" t="s">
        <v>1302</v>
      </c>
      <c r="I158" s="59">
        <v>0</v>
      </c>
      <c r="J158" s="60" t="s">
        <v>209</v>
      </c>
      <c r="K158" s="60" t="s">
        <v>975</v>
      </c>
      <c r="L158" s="60" t="s">
        <v>248</v>
      </c>
      <c r="M158" s="59">
        <f t="shared" si="5"/>
        <v>534</v>
      </c>
      <c r="N158" s="77">
        <v>178</v>
      </c>
      <c r="O158" s="62">
        <v>125</v>
      </c>
      <c r="P158" s="62">
        <v>128</v>
      </c>
      <c r="Q158" s="62">
        <v>103</v>
      </c>
    </row>
    <row r="159" spans="1:18" ht="15">
      <c r="A159" s="68">
        <v>336335</v>
      </c>
      <c r="B159" s="68">
        <v>29189773</v>
      </c>
      <c r="C159" s="74">
        <v>1024</v>
      </c>
      <c r="D159" s="69" t="s">
        <v>477</v>
      </c>
      <c r="E159" s="68">
        <v>1</v>
      </c>
      <c r="F159" s="69" t="s">
        <v>1302</v>
      </c>
      <c r="G159" s="69" t="s">
        <v>1302</v>
      </c>
      <c r="H159" s="69" t="s">
        <v>1302</v>
      </c>
      <c r="I159" s="68">
        <v>0</v>
      </c>
      <c r="J159" s="69" t="s">
        <v>209</v>
      </c>
      <c r="K159" s="69" t="s">
        <v>975</v>
      </c>
      <c r="L159" s="69" t="s">
        <v>308</v>
      </c>
      <c r="M159" s="68">
        <f t="shared" si="5"/>
        <v>911</v>
      </c>
      <c r="N159" s="68">
        <v>281</v>
      </c>
      <c r="O159" s="71">
        <v>216</v>
      </c>
      <c r="P159" s="71">
        <v>207</v>
      </c>
      <c r="Q159" s="71">
        <v>207</v>
      </c>
      <c r="R159" s="70"/>
    </row>
    <row r="160" spans="1:18" ht="15">
      <c r="A160" s="68">
        <v>336351</v>
      </c>
      <c r="B160" s="68">
        <v>29189773</v>
      </c>
      <c r="C160" s="74">
        <v>1025</v>
      </c>
      <c r="D160" s="69" t="s">
        <v>477</v>
      </c>
      <c r="E160" s="68">
        <v>2</v>
      </c>
      <c r="F160" s="69" t="s">
        <v>1302</v>
      </c>
      <c r="G160" s="69" t="s">
        <v>1302</v>
      </c>
      <c r="H160" s="69" t="s">
        <v>1302</v>
      </c>
      <c r="I160" s="68">
        <v>0</v>
      </c>
      <c r="J160" s="69" t="s">
        <v>209</v>
      </c>
      <c r="K160" s="69" t="s">
        <v>975</v>
      </c>
      <c r="L160" s="69" t="s">
        <v>309</v>
      </c>
      <c r="M160" s="68">
        <f t="shared" si="5"/>
        <v>818</v>
      </c>
      <c r="N160" s="71">
        <v>578</v>
      </c>
      <c r="O160" s="68">
        <v>240</v>
      </c>
      <c r="P160" s="68">
        <v>0</v>
      </c>
      <c r="Q160" s="68">
        <v>0</v>
      </c>
      <c r="R160" s="70"/>
    </row>
    <row r="161" spans="1:18" ht="15">
      <c r="A161" s="68">
        <v>336386</v>
      </c>
      <c r="B161" s="68">
        <v>29189773</v>
      </c>
      <c r="C161" s="74">
        <v>1026</v>
      </c>
      <c r="D161" s="69" t="s">
        <v>477</v>
      </c>
      <c r="E161" s="68">
        <v>3</v>
      </c>
      <c r="F161" s="69" t="s">
        <v>1302</v>
      </c>
      <c r="G161" s="69" t="s">
        <v>1302</v>
      </c>
      <c r="H161" s="69" t="s">
        <v>1302</v>
      </c>
      <c r="I161" s="68">
        <v>0</v>
      </c>
      <c r="J161" s="69" t="s">
        <v>209</v>
      </c>
      <c r="K161" s="69" t="s">
        <v>975</v>
      </c>
      <c r="L161" s="69" t="s">
        <v>310</v>
      </c>
      <c r="M161" s="68">
        <f t="shared" si="5"/>
        <v>1220</v>
      </c>
      <c r="N161" s="71">
        <v>316</v>
      </c>
      <c r="O161" s="68">
        <v>344</v>
      </c>
      <c r="P161" s="68">
        <v>253</v>
      </c>
      <c r="Q161" s="68">
        <v>307</v>
      </c>
      <c r="R161" s="70"/>
    </row>
    <row r="162" spans="1:18" ht="18" customHeight="1">
      <c r="A162" s="59">
        <v>336424</v>
      </c>
      <c r="B162" s="59">
        <v>29189773</v>
      </c>
      <c r="C162" s="73">
        <v>1027</v>
      </c>
      <c r="D162" s="60" t="s">
        <v>475</v>
      </c>
      <c r="E162" s="59">
        <v>14</v>
      </c>
      <c r="F162" s="60" t="s">
        <v>1302</v>
      </c>
      <c r="G162" s="60" t="s">
        <v>1302</v>
      </c>
      <c r="H162" s="60" t="s">
        <v>1302</v>
      </c>
      <c r="I162" s="59">
        <v>0</v>
      </c>
      <c r="J162" s="60" t="s">
        <v>209</v>
      </c>
      <c r="K162" s="60" t="s">
        <v>975</v>
      </c>
      <c r="L162" s="60" t="s">
        <v>383</v>
      </c>
      <c r="M162" s="59">
        <f t="shared" si="5"/>
        <v>1357</v>
      </c>
      <c r="N162" s="62">
        <v>365</v>
      </c>
      <c r="O162" s="59">
        <v>335</v>
      </c>
      <c r="P162" s="59">
        <v>348</v>
      </c>
      <c r="Q162" s="59">
        <v>309</v>
      </c>
    </row>
    <row r="163" spans="1:18" ht="15">
      <c r="A163" s="59">
        <v>605360</v>
      </c>
      <c r="B163" s="59">
        <v>29189773</v>
      </c>
      <c r="C163" s="73">
        <v>1028</v>
      </c>
      <c r="D163" s="60" t="s">
        <v>1294</v>
      </c>
      <c r="E163" s="59">
        <v>12</v>
      </c>
      <c r="F163" s="60" t="s">
        <v>1302</v>
      </c>
      <c r="G163" s="60" t="s">
        <v>1302</v>
      </c>
      <c r="H163" s="60" t="s">
        <v>1302</v>
      </c>
      <c r="I163" s="59">
        <v>0</v>
      </c>
      <c r="J163" s="60" t="s">
        <v>209</v>
      </c>
      <c r="K163" s="60" t="s">
        <v>975</v>
      </c>
      <c r="L163" s="60" t="s">
        <v>386</v>
      </c>
      <c r="M163" s="59">
        <f t="shared" si="5"/>
        <v>89</v>
      </c>
      <c r="N163" s="62">
        <v>2</v>
      </c>
      <c r="O163" s="59">
        <v>10</v>
      </c>
      <c r="P163" s="59">
        <v>66</v>
      </c>
      <c r="Q163" s="59">
        <v>11</v>
      </c>
    </row>
    <row r="164" spans="1:18" ht="15">
      <c r="A164" s="59">
        <v>526606</v>
      </c>
      <c r="B164" s="59">
        <v>29189773</v>
      </c>
      <c r="C164" s="73">
        <v>1103</v>
      </c>
      <c r="D164" s="60" t="s">
        <v>479</v>
      </c>
      <c r="E164" s="59">
        <v>1</v>
      </c>
      <c r="F164" s="60" t="s">
        <v>1302</v>
      </c>
      <c r="G164" s="60" t="s">
        <v>1302</v>
      </c>
      <c r="H164" s="60" t="s">
        <v>1302</v>
      </c>
      <c r="I164" s="59">
        <v>3</v>
      </c>
      <c r="J164" s="60" t="s">
        <v>209</v>
      </c>
      <c r="K164" s="60" t="s">
        <v>975</v>
      </c>
      <c r="L164" s="60" t="s">
        <v>312</v>
      </c>
      <c r="M164" s="59">
        <f t="shared" si="5"/>
        <v>4296</v>
      </c>
      <c r="N164" s="62">
        <v>1220</v>
      </c>
      <c r="O164" s="59">
        <v>1171</v>
      </c>
      <c r="P164" s="59">
        <v>973</v>
      </c>
      <c r="Q164" s="59">
        <v>932</v>
      </c>
    </row>
    <row r="165" spans="1:18" ht="15">
      <c r="A165" s="59">
        <v>106348</v>
      </c>
      <c r="B165" s="59">
        <v>29189773</v>
      </c>
      <c r="C165" s="73">
        <v>1105</v>
      </c>
      <c r="D165" s="60" t="s">
        <v>487</v>
      </c>
      <c r="E165" s="59">
        <v>7</v>
      </c>
      <c r="F165" s="60" t="s">
        <v>1302</v>
      </c>
      <c r="G165" s="60" t="s">
        <v>1302</v>
      </c>
      <c r="H165" s="60" t="s">
        <v>1302</v>
      </c>
      <c r="I165" s="59">
        <v>0</v>
      </c>
      <c r="J165" s="60" t="s">
        <v>209</v>
      </c>
      <c r="K165" s="60" t="s">
        <v>975</v>
      </c>
      <c r="L165" s="60" t="s">
        <v>335</v>
      </c>
      <c r="M165" s="59">
        <f t="shared" si="5"/>
        <v>159</v>
      </c>
      <c r="N165" s="62">
        <v>39</v>
      </c>
      <c r="O165" s="59">
        <v>43</v>
      </c>
      <c r="P165" s="59">
        <v>43</v>
      </c>
      <c r="Q165" s="59">
        <v>34</v>
      </c>
    </row>
    <row r="166" spans="1:18" ht="15">
      <c r="A166" s="59">
        <v>37303</v>
      </c>
      <c r="B166" s="59">
        <v>29189773</v>
      </c>
      <c r="C166" s="73">
        <v>1200</v>
      </c>
      <c r="D166" s="60" t="s">
        <v>486</v>
      </c>
      <c r="E166" s="59">
        <v>26</v>
      </c>
      <c r="F166" s="60" t="s">
        <v>1302</v>
      </c>
      <c r="G166" s="60" t="s">
        <v>1302</v>
      </c>
      <c r="H166" s="60" t="s">
        <v>262</v>
      </c>
      <c r="I166" s="59">
        <v>0</v>
      </c>
      <c r="J166" s="60" t="s">
        <v>209</v>
      </c>
      <c r="K166" s="60" t="s">
        <v>975</v>
      </c>
      <c r="L166" s="60" t="s">
        <v>263</v>
      </c>
      <c r="M166" s="59">
        <f t="shared" si="5"/>
        <v>566</v>
      </c>
      <c r="N166" s="62">
        <v>181</v>
      </c>
      <c r="O166" s="59">
        <v>108</v>
      </c>
      <c r="P166" s="59">
        <v>158</v>
      </c>
      <c r="Q166" s="59">
        <v>119</v>
      </c>
    </row>
    <row r="167" spans="1:18" ht="15">
      <c r="A167" s="59">
        <v>6998</v>
      </c>
      <c r="B167" s="59">
        <v>29189773</v>
      </c>
      <c r="C167" s="73">
        <v>1201</v>
      </c>
      <c r="D167" s="60" t="s">
        <v>1293</v>
      </c>
      <c r="E167" s="59">
        <v>20</v>
      </c>
      <c r="F167" s="60" t="s">
        <v>1302</v>
      </c>
      <c r="G167" s="60" t="s">
        <v>1302</v>
      </c>
      <c r="H167" s="60" t="s">
        <v>1302</v>
      </c>
      <c r="I167" s="59">
        <v>0</v>
      </c>
      <c r="J167" s="60" t="s">
        <v>244</v>
      </c>
      <c r="K167" s="60" t="s">
        <v>245</v>
      </c>
      <c r="L167" s="60" t="s">
        <v>362</v>
      </c>
      <c r="M167" s="59">
        <f t="shared" si="5"/>
        <v>987</v>
      </c>
      <c r="N167" s="59">
        <v>369</v>
      </c>
      <c r="O167" s="59">
        <v>193</v>
      </c>
      <c r="P167" s="59">
        <v>193</v>
      </c>
      <c r="Q167" s="59">
        <v>232</v>
      </c>
    </row>
    <row r="168" spans="1:18" ht="15">
      <c r="A168" s="77"/>
      <c r="B168" s="77"/>
      <c r="C168" s="98">
        <v>1202</v>
      </c>
      <c r="D168" s="100" t="s">
        <v>527</v>
      </c>
      <c r="E168" s="102">
        <v>4</v>
      </c>
      <c r="F168" s="100"/>
      <c r="G168" s="100"/>
      <c r="H168" s="100"/>
      <c r="I168" s="100"/>
      <c r="J168" s="100">
        <v>6310</v>
      </c>
      <c r="K168" s="89" t="s">
        <v>528</v>
      </c>
      <c r="L168" s="89"/>
      <c r="M168" s="89"/>
      <c r="N168" s="105">
        <v>174</v>
      </c>
      <c r="O168" s="105">
        <v>166</v>
      </c>
      <c r="P168" s="105">
        <v>153</v>
      </c>
      <c r="Q168" s="105">
        <v>108</v>
      </c>
    </row>
    <row r="169" spans="1:18" ht="15">
      <c r="A169" s="59">
        <v>5881854</v>
      </c>
      <c r="B169" s="59">
        <v>29189773</v>
      </c>
      <c r="C169" s="73">
        <v>1203</v>
      </c>
      <c r="D169" s="60" t="s">
        <v>786</v>
      </c>
      <c r="E169" s="59">
        <v>1</v>
      </c>
      <c r="F169" s="60" t="s">
        <v>1302</v>
      </c>
      <c r="G169" s="60" t="s">
        <v>1302</v>
      </c>
      <c r="H169" s="60" t="s">
        <v>1302</v>
      </c>
      <c r="I169" s="59">
        <v>0</v>
      </c>
      <c r="J169" s="60" t="s">
        <v>234</v>
      </c>
      <c r="K169" s="60" t="s">
        <v>987</v>
      </c>
      <c r="L169" s="60" t="s">
        <v>345</v>
      </c>
      <c r="M169" s="59">
        <f>N169+O169+P169+Q169</f>
        <v>720</v>
      </c>
      <c r="N169" s="59">
        <v>205</v>
      </c>
      <c r="O169" s="59">
        <v>156</v>
      </c>
      <c r="P169" s="59">
        <v>174</v>
      </c>
      <c r="Q169" s="59">
        <v>185</v>
      </c>
    </row>
    <row r="170" spans="1:18" ht="15">
      <c r="A170" s="59">
        <v>1010008979</v>
      </c>
      <c r="B170" s="59">
        <v>29189773</v>
      </c>
      <c r="C170" s="73">
        <v>1204</v>
      </c>
      <c r="D170" s="60" t="s">
        <v>1035</v>
      </c>
      <c r="E170" s="59">
        <v>8</v>
      </c>
      <c r="F170" s="60" t="s">
        <v>1302</v>
      </c>
      <c r="G170" s="60" t="s">
        <v>1302</v>
      </c>
      <c r="H170" s="60" t="s">
        <v>1302</v>
      </c>
      <c r="I170" s="59">
        <v>1</v>
      </c>
      <c r="J170" s="60" t="s">
        <v>206</v>
      </c>
      <c r="K170" s="60" t="s">
        <v>1405</v>
      </c>
      <c r="L170" s="60" t="s">
        <v>380</v>
      </c>
      <c r="M170" s="59">
        <f>N170+O170+P170+Q170</f>
        <v>610</v>
      </c>
      <c r="N170" s="59">
        <v>199</v>
      </c>
      <c r="O170" s="59">
        <v>157</v>
      </c>
      <c r="P170" s="59">
        <v>125</v>
      </c>
      <c r="Q170" s="59">
        <v>129</v>
      </c>
    </row>
    <row r="171" spans="1:18" ht="15">
      <c r="A171" s="59">
        <v>1010008979</v>
      </c>
      <c r="B171" s="59">
        <v>29189773</v>
      </c>
      <c r="C171" s="73">
        <v>1204</v>
      </c>
      <c r="D171" s="60" t="s">
        <v>1035</v>
      </c>
      <c r="E171" s="59">
        <v>8</v>
      </c>
      <c r="F171" s="60" t="s">
        <v>1302</v>
      </c>
      <c r="G171" s="60" t="s">
        <v>1302</v>
      </c>
      <c r="H171" s="60" t="s">
        <v>1302</v>
      </c>
      <c r="I171" s="59">
        <v>1</v>
      </c>
      <c r="J171" s="60" t="s">
        <v>206</v>
      </c>
      <c r="K171" s="60" t="s">
        <v>1405</v>
      </c>
      <c r="L171" s="60" t="s">
        <v>381</v>
      </c>
      <c r="M171" s="59">
        <f>N171+O171+P171+Q171</f>
        <v>1395</v>
      </c>
      <c r="N171" s="59">
        <v>286</v>
      </c>
      <c r="O171" s="59">
        <v>306</v>
      </c>
      <c r="P171" s="59">
        <v>398</v>
      </c>
      <c r="Q171" s="59">
        <v>405</v>
      </c>
    </row>
    <row r="172" spans="1:18" ht="15">
      <c r="A172" s="59">
        <v>1000016574</v>
      </c>
      <c r="B172" s="59">
        <v>29189773</v>
      </c>
      <c r="C172" s="73">
        <v>1205</v>
      </c>
      <c r="D172" s="60" t="s">
        <v>1052</v>
      </c>
      <c r="E172" s="59">
        <v>13</v>
      </c>
      <c r="F172" s="60" t="s">
        <v>1302</v>
      </c>
      <c r="G172" s="60" t="s">
        <v>1302</v>
      </c>
      <c r="H172" s="60" t="s">
        <v>1302</v>
      </c>
      <c r="I172" s="59">
        <v>1</v>
      </c>
      <c r="J172" s="60" t="s">
        <v>211</v>
      </c>
      <c r="K172" s="60" t="s">
        <v>969</v>
      </c>
      <c r="L172" s="60" t="s">
        <v>305</v>
      </c>
      <c r="M172" s="59">
        <f>N172+O172+P172+Q172</f>
        <v>2444</v>
      </c>
      <c r="N172" s="59">
        <v>573</v>
      </c>
      <c r="O172" s="59">
        <v>650</v>
      </c>
      <c r="P172" s="59">
        <v>601</v>
      </c>
      <c r="Q172" s="59">
        <v>620</v>
      </c>
    </row>
    <row r="173" spans="1:18" s="57" customFormat="1" ht="15">
      <c r="A173" s="98"/>
      <c r="B173" s="98"/>
      <c r="C173" s="98">
        <v>1206</v>
      </c>
      <c r="D173" s="118" t="s">
        <v>189</v>
      </c>
      <c r="E173" s="73">
        <v>11</v>
      </c>
      <c r="F173" s="98"/>
      <c r="G173" s="98"/>
      <c r="H173" s="98"/>
      <c r="I173" s="98"/>
      <c r="J173" s="98">
        <v>6430</v>
      </c>
      <c r="K173" s="118" t="s">
        <v>969</v>
      </c>
      <c r="L173" s="118"/>
      <c r="M173" s="118"/>
      <c r="N173" s="119">
        <v>17</v>
      </c>
      <c r="O173" s="119">
        <v>0</v>
      </c>
      <c r="P173" s="119">
        <v>54</v>
      </c>
      <c r="Q173" s="119">
        <v>24</v>
      </c>
    </row>
    <row r="174" spans="1:18" ht="15">
      <c r="A174" s="59">
        <v>77623</v>
      </c>
      <c r="B174" s="59">
        <v>29189773</v>
      </c>
      <c r="C174" s="73">
        <v>1208</v>
      </c>
      <c r="D174" s="60" t="s">
        <v>487</v>
      </c>
      <c r="E174" s="59">
        <v>10</v>
      </c>
      <c r="F174" s="60" t="s">
        <v>1302</v>
      </c>
      <c r="G174" s="60" t="s">
        <v>1302</v>
      </c>
      <c r="H174" s="60" t="s">
        <v>1302</v>
      </c>
      <c r="I174" s="59">
        <v>0</v>
      </c>
      <c r="J174" s="60" t="s">
        <v>209</v>
      </c>
      <c r="K174" s="60" t="s">
        <v>975</v>
      </c>
      <c r="L174" s="60" t="s">
        <v>336</v>
      </c>
      <c r="M174" s="59">
        <f t="shared" ref="M174:M184" si="6">N174+O174+P174+Q174</f>
        <v>2006</v>
      </c>
      <c r="N174" s="59">
        <v>568</v>
      </c>
      <c r="O174" s="59">
        <v>398</v>
      </c>
      <c r="P174" s="59">
        <v>472</v>
      </c>
      <c r="Q174" s="59">
        <v>568</v>
      </c>
    </row>
    <row r="175" spans="1:18" ht="15">
      <c r="A175" s="59">
        <v>77623</v>
      </c>
      <c r="B175" s="59">
        <v>29189773</v>
      </c>
      <c r="C175" s="73">
        <v>1208</v>
      </c>
      <c r="D175" s="60" t="s">
        <v>487</v>
      </c>
      <c r="E175" s="59">
        <v>10</v>
      </c>
      <c r="F175" s="60" t="s">
        <v>1302</v>
      </c>
      <c r="G175" s="60" t="s">
        <v>1302</v>
      </c>
      <c r="H175" s="60" t="s">
        <v>1302</v>
      </c>
      <c r="I175" s="59">
        <v>0</v>
      </c>
      <c r="J175" s="60" t="s">
        <v>209</v>
      </c>
      <c r="K175" s="60" t="s">
        <v>975</v>
      </c>
      <c r="L175" s="60" t="s">
        <v>337</v>
      </c>
      <c r="M175" s="59">
        <f t="shared" si="6"/>
        <v>1051</v>
      </c>
      <c r="N175" s="59">
        <v>188</v>
      </c>
      <c r="O175" s="59">
        <v>430</v>
      </c>
      <c r="P175" s="59">
        <v>178</v>
      </c>
      <c r="Q175" s="59">
        <v>255</v>
      </c>
    </row>
    <row r="176" spans="1:18" ht="15">
      <c r="A176" s="59">
        <v>77631</v>
      </c>
      <c r="B176" s="59">
        <v>29189773</v>
      </c>
      <c r="C176" s="73">
        <v>1208</v>
      </c>
      <c r="D176" s="60" t="s">
        <v>487</v>
      </c>
      <c r="E176" s="59">
        <v>10</v>
      </c>
      <c r="F176" s="60" t="s">
        <v>1302</v>
      </c>
      <c r="G176" s="60" t="s">
        <v>1302</v>
      </c>
      <c r="H176" s="60" t="s">
        <v>1302</v>
      </c>
      <c r="I176" s="59">
        <v>1</v>
      </c>
      <c r="J176" s="60" t="s">
        <v>209</v>
      </c>
      <c r="K176" s="60" t="s">
        <v>975</v>
      </c>
      <c r="L176" s="60" t="s">
        <v>338</v>
      </c>
      <c r="M176" s="59">
        <f t="shared" si="6"/>
        <v>960</v>
      </c>
      <c r="N176" s="59">
        <v>70</v>
      </c>
      <c r="O176" s="59">
        <v>678</v>
      </c>
      <c r="P176" s="59">
        <v>102</v>
      </c>
      <c r="Q176" s="62">
        <v>110</v>
      </c>
    </row>
    <row r="177" spans="1:18" ht="15">
      <c r="A177" s="59">
        <v>179388</v>
      </c>
      <c r="B177" s="59">
        <v>29189773</v>
      </c>
      <c r="C177" s="73">
        <v>1209</v>
      </c>
      <c r="D177" s="60" t="s">
        <v>488</v>
      </c>
      <c r="E177" s="59">
        <v>7</v>
      </c>
      <c r="F177" s="60" t="s">
        <v>1302</v>
      </c>
      <c r="G177" s="60" t="s">
        <v>1302</v>
      </c>
      <c r="H177" s="60" t="s">
        <v>1302</v>
      </c>
      <c r="I177" s="59">
        <v>0</v>
      </c>
      <c r="J177" s="60" t="s">
        <v>209</v>
      </c>
      <c r="K177" s="60" t="s">
        <v>975</v>
      </c>
      <c r="L177" s="60" t="s">
        <v>295</v>
      </c>
      <c r="M177" s="59">
        <f t="shared" si="6"/>
        <v>4641</v>
      </c>
      <c r="N177" s="77">
        <v>1338</v>
      </c>
      <c r="O177" s="59">
        <v>1037</v>
      </c>
      <c r="P177" s="59">
        <v>1320</v>
      </c>
      <c r="Q177" s="59">
        <v>946</v>
      </c>
    </row>
    <row r="178" spans="1:18" ht="15">
      <c r="A178" s="59">
        <v>526622</v>
      </c>
      <c r="B178" s="59">
        <v>29189773</v>
      </c>
      <c r="C178" s="73">
        <v>1210</v>
      </c>
      <c r="D178" s="60" t="s">
        <v>488</v>
      </c>
      <c r="E178" s="59">
        <v>10</v>
      </c>
      <c r="F178" s="60" t="s">
        <v>1302</v>
      </c>
      <c r="G178" s="60" t="s">
        <v>1302</v>
      </c>
      <c r="H178" s="60" t="s">
        <v>1302</v>
      </c>
      <c r="I178" s="59">
        <v>0</v>
      </c>
      <c r="J178" s="60" t="s">
        <v>209</v>
      </c>
      <c r="K178" s="60" t="s">
        <v>975</v>
      </c>
      <c r="L178" s="60" t="s">
        <v>296</v>
      </c>
      <c r="M178" s="59">
        <f t="shared" si="6"/>
        <v>1559</v>
      </c>
      <c r="N178" s="77">
        <v>348</v>
      </c>
      <c r="O178" s="59">
        <v>336</v>
      </c>
      <c r="P178" s="59">
        <v>336</v>
      </c>
      <c r="Q178" s="59">
        <v>539</v>
      </c>
    </row>
    <row r="179" spans="1:18" ht="15">
      <c r="A179" s="59">
        <v>37192</v>
      </c>
      <c r="B179" s="59">
        <v>29189773</v>
      </c>
      <c r="C179" s="73">
        <v>1211</v>
      </c>
      <c r="D179" s="60" t="s">
        <v>486</v>
      </c>
      <c r="E179" s="59">
        <v>24</v>
      </c>
      <c r="F179" s="60" t="s">
        <v>1302</v>
      </c>
      <c r="G179" s="60" t="s">
        <v>1302</v>
      </c>
      <c r="H179" s="60" t="s">
        <v>1302</v>
      </c>
      <c r="I179" s="59">
        <v>0</v>
      </c>
      <c r="J179" s="60" t="s">
        <v>209</v>
      </c>
      <c r="K179" s="60" t="s">
        <v>975</v>
      </c>
      <c r="L179" s="60" t="s">
        <v>261</v>
      </c>
      <c r="M179" s="59">
        <f t="shared" si="6"/>
        <v>369</v>
      </c>
      <c r="N179" s="62">
        <v>141</v>
      </c>
      <c r="O179" s="62">
        <v>71</v>
      </c>
      <c r="P179" s="59">
        <v>72</v>
      </c>
      <c r="Q179" s="59">
        <v>85</v>
      </c>
    </row>
    <row r="180" spans="1:18" ht="15">
      <c r="A180" s="59">
        <v>616133</v>
      </c>
      <c r="B180" s="59">
        <v>29189773</v>
      </c>
      <c r="C180" s="73">
        <v>1300</v>
      </c>
      <c r="D180" s="60" t="s">
        <v>313</v>
      </c>
      <c r="E180" s="59">
        <v>1</v>
      </c>
      <c r="F180" s="60" t="s">
        <v>1302</v>
      </c>
      <c r="G180" s="60" t="s">
        <v>1302</v>
      </c>
      <c r="H180" s="60" t="s">
        <v>1302</v>
      </c>
      <c r="I180" s="59">
        <v>6</v>
      </c>
      <c r="J180" s="60" t="s">
        <v>209</v>
      </c>
      <c r="K180" s="60" t="s">
        <v>975</v>
      </c>
      <c r="L180" s="60" t="s">
        <v>314</v>
      </c>
      <c r="M180" s="59">
        <f t="shared" si="6"/>
        <v>278</v>
      </c>
      <c r="N180" s="62">
        <v>0</v>
      </c>
      <c r="O180" s="59">
        <v>38</v>
      </c>
      <c r="P180" s="59">
        <v>98</v>
      </c>
      <c r="Q180" s="59">
        <v>142</v>
      </c>
    </row>
    <row r="181" spans="1:18" ht="15">
      <c r="A181" s="68">
        <v>5897246</v>
      </c>
      <c r="B181" s="68">
        <v>29189773</v>
      </c>
      <c r="C181" s="74">
        <v>1300</v>
      </c>
      <c r="D181" s="69" t="s">
        <v>1270</v>
      </c>
      <c r="E181" s="68">
        <v>16</v>
      </c>
      <c r="F181" s="69" t="s">
        <v>1302</v>
      </c>
      <c r="G181" s="69"/>
      <c r="H181" s="69" t="s">
        <v>1302</v>
      </c>
      <c r="I181" s="68">
        <v>0</v>
      </c>
      <c r="J181" s="69" t="s">
        <v>234</v>
      </c>
      <c r="K181" s="69" t="s">
        <v>987</v>
      </c>
      <c r="L181" s="69" t="s">
        <v>307</v>
      </c>
      <c r="M181" s="68">
        <f t="shared" si="6"/>
        <v>428</v>
      </c>
      <c r="N181" s="71">
        <v>140</v>
      </c>
      <c r="O181" s="68">
        <v>112</v>
      </c>
      <c r="P181" s="68">
        <v>90</v>
      </c>
      <c r="Q181" s="68">
        <v>86</v>
      </c>
      <c r="R181" s="70"/>
    </row>
    <row r="182" spans="1:18" ht="15">
      <c r="A182" s="59">
        <v>5848512</v>
      </c>
      <c r="B182" s="59">
        <v>29189773</v>
      </c>
      <c r="C182" s="73">
        <v>1300</v>
      </c>
      <c r="D182" s="60" t="s">
        <v>1293</v>
      </c>
      <c r="E182" s="59">
        <v>22</v>
      </c>
      <c r="F182" s="60" t="s">
        <v>1302</v>
      </c>
      <c r="G182" s="60"/>
      <c r="H182" s="60" t="s">
        <v>1302</v>
      </c>
      <c r="I182" s="59">
        <v>0</v>
      </c>
      <c r="J182" s="60" t="s">
        <v>211</v>
      </c>
      <c r="K182" s="60" t="s">
        <v>969</v>
      </c>
      <c r="L182" s="60" t="s">
        <v>363</v>
      </c>
      <c r="M182" s="59">
        <f t="shared" si="6"/>
        <v>163</v>
      </c>
      <c r="N182" s="59">
        <v>53</v>
      </c>
      <c r="O182" s="59">
        <v>53</v>
      </c>
      <c r="P182" s="59">
        <v>20</v>
      </c>
      <c r="Q182" s="59">
        <v>37</v>
      </c>
    </row>
    <row r="183" spans="1:18" s="117" customFormat="1" ht="15">
      <c r="A183" s="114">
        <v>526592</v>
      </c>
      <c r="B183" s="114">
        <v>29189773</v>
      </c>
      <c r="C183" s="114">
        <v>1300</v>
      </c>
      <c r="D183" s="115" t="s">
        <v>484</v>
      </c>
      <c r="E183" s="114">
        <v>49</v>
      </c>
      <c r="F183" s="115" t="s">
        <v>1302</v>
      </c>
      <c r="G183" s="115" t="s">
        <v>1302</v>
      </c>
      <c r="H183" s="115" t="s">
        <v>1302</v>
      </c>
      <c r="I183" s="114">
        <v>0</v>
      </c>
      <c r="J183" s="115" t="s">
        <v>209</v>
      </c>
      <c r="K183" s="115" t="s">
        <v>975</v>
      </c>
      <c r="L183" s="115" t="s">
        <v>257</v>
      </c>
      <c r="M183" s="114">
        <v>92.75</v>
      </c>
      <c r="N183" s="114">
        <v>92.75</v>
      </c>
      <c r="O183" s="114">
        <v>92.75</v>
      </c>
      <c r="P183" s="116">
        <v>92.75</v>
      </c>
      <c r="Q183" s="116">
        <v>92.75</v>
      </c>
    </row>
    <row r="184" spans="1:18" ht="15">
      <c r="A184" s="59">
        <v>43079</v>
      </c>
      <c r="B184" s="59">
        <v>29189773</v>
      </c>
      <c r="C184" s="73">
        <v>1300</v>
      </c>
      <c r="D184" s="60" t="s">
        <v>472</v>
      </c>
      <c r="E184" s="59">
        <v>46</v>
      </c>
      <c r="F184" s="60" t="s">
        <v>1302</v>
      </c>
      <c r="G184" s="60" t="s">
        <v>1302</v>
      </c>
      <c r="H184" s="60" t="s">
        <v>1302</v>
      </c>
      <c r="I184" s="59">
        <v>1</v>
      </c>
      <c r="J184" s="60" t="s">
        <v>209</v>
      </c>
      <c r="K184" s="60" t="s">
        <v>975</v>
      </c>
      <c r="L184" s="60" t="s">
        <v>290</v>
      </c>
      <c r="M184" s="59">
        <f t="shared" si="6"/>
        <v>1060</v>
      </c>
      <c r="N184" s="77">
        <v>386</v>
      </c>
      <c r="O184" s="59">
        <v>256</v>
      </c>
      <c r="P184" s="62">
        <v>256</v>
      </c>
      <c r="Q184" s="62">
        <v>162</v>
      </c>
    </row>
    <row r="185" spans="1:18" ht="15">
      <c r="A185" s="77"/>
      <c r="B185" s="77"/>
      <c r="C185" s="98">
        <v>1300</v>
      </c>
      <c r="D185" s="85" t="s">
        <v>536</v>
      </c>
      <c r="E185" s="86">
        <v>19</v>
      </c>
      <c r="F185" s="95"/>
      <c r="G185" s="95"/>
      <c r="H185" s="95"/>
      <c r="I185" s="95"/>
      <c r="J185" s="95">
        <v>6440</v>
      </c>
      <c r="K185" s="85" t="s">
        <v>245</v>
      </c>
      <c r="L185" s="85"/>
      <c r="M185" s="85"/>
      <c r="N185" s="110">
        <v>106</v>
      </c>
      <c r="O185" s="105">
        <v>105</v>
      </c>
      <c r="P185" s="105">
        <v>101</v>
      </c>
      <c r="Q185" s="105">
        <v>100</v>
      </c>
    </row>
    <row r="186" spans="1:18" ht="15">
      <c r="A186" s="59">
        <v>10561</v>
      </c>
      <c r="B186" s="59">
        <v>29189773</v>
      </c>
      <c r="C186" s="73">
        <v>1304</v>
      </c>
      <c r="D186" s="60" t="s">
        <v>1446</v>
      </c>
      <c r="E186" s="59">
        <v>1</v>
      </c>
      <c r="F186" s="60" t="s">
        <v>1302</v>
      </c>
      <c r="G186" s="60" t="s">
        <v>1302</v>
      </c>
      <c r="H186" s="60" t="s">
        <v>1302</v>
      </c>
      <c r="I186" s="59">
        <v>0</v>
      </c>
      <c r="J186" s="60" t="s">
        <v>244</v>
      </c>
      <c r="K186" s="60" t="s">
        <v>245</v>
      </c>
      <c r="L186" s="60" t="s">
        <v>255</v>
      </c>
      <c r="M186" s="59">
        <f>N186+O186+P186+Q186</f>
        <v>1023</v>
      </c>
      <c r="N186" s="62">
        <v>250</v>
      </c>
      <c r="O186" s="59">
        <v>239</v>
      </c>
      <c r="P186" s="59">
        <v>281</v>
      </c>
      <c r="Q186" s="59">
        <v>253</v>
      </c>
    </row>
    <row r="187" spans="1:18" ht="15">
      <c r="A187" s="77"/>
      <c r="B187" s="77"/>
      <c r="C187" s="98">
        <v>1304</v>
      </c>
      <c r="D187" s="85" t="s">
        <v>1446</v>
      </c>
      <c r="E187" s="86">
        <v>3</v>
      </c>
      <c r="F187" s="85" t="s">
        <v>1302</v>
      </c>
      <c r="G187" s="85" t="s">
        <v>1302</v>
      </c>
      <c r="H187" s="85" t="s">
        <v>1302</v>
      </c>
      <c r="I187" s="86">
        <v>0</v>
      </c>
      <c r="J187" s="85">
        <v>6440</v>
      </c>
      <c r="K187" s="85" t="s">
        <v>245</v>
      </c>
      <c r="L187" s="85"/>
      <c r="M187" s="85"/>
      <c r="N187" s="105">
        <v>797</v>
      </c>
      <c r="O187" s="105">
        <v>627</v>
      </c>
      <c r="P187" s="105">
        <v>529</v>
      </c>
      <c r="Q187" s="105">
        <v>482</v>
      </c>
    </row>
    <row r="188" spans="1:18" ht="15">
      <c r="A188" s="59">
        <v>9636</v>
      </c>
      <c r="B188" s="59">
        <v>29189773</v>
      </c>
      <c r="C188" s="73">
        <v>1306</v>
      </c>
      <c r="D188" s="60" t="s">
        <v>259</v>
      </c>
      <c r="E188" s="59">
        <v>0</v>
      </c>
      <c r="F188" s="60" t="s">
        <v>1302</v>
      </c>
      <c r="G188" s="60" t="s">
        <v>1302</v>
      </c>
      <c r="H188" s="60" t="s">
        <v>1302</v>
      </c>
      <c r="I188" s="59">
        <v>0</v>
      </c>
      <c r="J188" s="60" t="s">
        <v>244</v>
      </c>
      <c r="K188" s="60" t="s">
        <v>245</v>
      </c>
      <c r="L188" s="60" t="s">
        <v>260</v>
      </c>
      <c r="M188" s="59">
        <f>N188+O188+P188+Q188</f>
        <v>117</v>
      </c>
      <c r="N188" s="59">
        <v>49</v>
      </c>
      <c r="O188" s="59">
        <v>36</v>
      </c>
      <c r="P188" s="62">
        <v>3</v>
      </c>
      <c r="Q188" s="62">
        <v>29</v>
      </c>
    </row>
    <row r="189" spans="1:18" ht="15">
      <c r="A189" s="59">
        <v>5793181</v>
      </c>
      <c r="B189" s="59">
        <v>29189773</v>
      </c>
      <c r="C189" s="73">
        <v>1307</v>
      </c>
      <c r="D189" s="60" t="s">
        <v>1043</v>
      </c>
      <c r="E189" s="59">
        <v>6</v>
      </c>
      <c r="F189" s="60" t="s">
        <v>1302</v>
      </c>
      <c r="G189" s="60" t="s">
        <v>1302</v>
      </c>
      <c r="H189" s="60" t="s">
        <v>1302</v>
      </c>
      <c r="I189" s="59">
        <v>0</v>
      </c>
      <c r="J189" s="60" t="s">
        <v>244</v>
      </c>
      <c r="K189" s="60" t="s">
        <v>245</v>
      </c>
      <c r="L189" s="60" t="s">
        <v>399</v>
      </c>
      <c r="M189" s="59">
        <f>N189+O189+P189+Q189</f>
        <v>455</v>
      </c>
      <c r="N189" s="59">
        <v>185</v>
      </c>
      <c r="O189" s="59">
        <v>108</v>
      </c>
      <c r="P189" s="62">
        <v>81</v>
      </c>
      <c r="Q189" s="62">
        <v>81</v>
      </c>
    </row>
    <row r="190" spans="1:18" ht="15">
      <c r="A190" s="77"/>
      <c r="B190" s="77"/>
      <c r="C190" s="98">
        <v>1321</v>
      </c>
      <c r="D190" s="85" t="s">
        <v>1072</v>
      </c>
      <c r="E190" s="86">
        <v>7</v>
      </c>
      <c r="F190" s="95"/>
      <c r="G190" s="95"/>
      <c r="H190" s="95"/>
      <c r="I190" s="95"/>
      <c r="J190" s="95">
        <v>6470</v>
      </c>
      <c r="K190" s="85" t="s">
        <v>987</v>
      </c>
      <c r="L190" s="85"/>
      <c r="M190" s="85"/>
      <c r="N190" s="105">
        <v>232</v>
      </c>
      <c r="O190" s="105">
        <v>162</v>
      </c>
      <c r="P190" s="110">
        <v>162</v>
      </c>
      <c r="Q190" s="110">
        <v>227</v>
      </c>
    </row>
    <row r="191" spans="1:18" ht="15">
      <c r="A191" s="59">
        <v>336297</v>
      </c>
      <c r="B191" s="59">
        <v>29189773</v>
      </c>
      <c r="C191" s="73">
        <v>1322</v>
      </c>
      <c r="D191" s="60" t="s">
        <v>483</v>
      </c>
      <c r="E191" s="59">
        <v>10</v>
      </c>
      <c r="F191" s="60" t="s">
        <v>1302</v>
      </c>
      <c r="G191" s="60" t="s">
        <v>1302</v>
      </c>
      <c r="H191" s="60" t="s">
        <v>1302</v>
      </c>
      <c r="I191" s="59">
        <v>0</v>
      </c>
      <c r="J191" s="60" t="s">
        <v>209</v>
      </c>
      <c r="K191" s="60" t="s">
        <v>975</v>
      </c>
      <c r="L191" s="60" t="s">
        <v>247</v>
      </c>
      <c r="M191" s="59">
        <f t="shared" ref="M191:M201" si="7">N191+O191+P191+Q191</f>
        <v>353</v>
      </c>
      <c r="N191" s="77">
        <v>104</v>
      </c>
      <c r="O191" s="59">
        <v>76</v>
      </c>
      <c r="P191" s="62">
        <v>90</v>
      </c>
      <c r="Q191" s="62">
        <v>83</v>
      </c>
    </row>
    <row r="192" spans="1:18" ht="15">
      <c r="A192" s="59">
        <v>1010013883</v>
      </c>
      <c r="B192" s="59">
        <v>29189773</v>
      </c>
      <c r="C192" s="73">
        <v>1330</v>
      </c>
      <c r="D192" s="60" t="s">
        <v>1040</v>
      </c>
      <c r="E192" s="59">
        <v>5</v>
      </c>
      <c r="F192" s="60" t="s">
        <v>1279</v>
      </c>
      <c r="G192" s="60" t="s">
        <v>1302</v>
      </c>
      <c r="H192" s="60" t="s">
        <v>1302</v>
      </c>
      <c r="I192" s="59">
        <v>0</v>
      </c>
      <c r="J192" s="60" t="s">
        <v>206</v>
      </c>
      <c r="K192" s="60" t="s">
        <v>1405</v>
      </c>
      <c r="L192" s="60" t="s">
        <v>330</v>
      </c>
      <c r="M192" s="59">
        <f t="shared" si="7"/>
        <v>466</v>
      </c>
      <c r="N192" s="59">
        <v>160</v>
      </c>
      <c r="O192" s="59">
        <v>159</v>
      </c>
      <c r="P192" s="62">
        <v>49</v>
      </c>
      <c r="Q192" s="62">
        <v>98</v>
      </c>
    </row>
    <row r="193" spans="1:18" ht="15">
      <c r="A193" s="59">
        <v>1010014219</v>
      </c>
      <c r="B193" s="59">
        <v>29189773</v>
      </c>
      <c r="C193" s="73">
        <v>1331</v>
      </c>
      <c r="D193" s="60" t="s">
        <v>710</v>
      </c>
      <c r="E193" s="59">
        <v>21</v>
      </c>
      <c r="F193" s="60" t="s">
        <v>1302</v>
      </c>
      <c r="G193" s="60" t="s">
        <v>1302</v>
      </c>
      <c r="H193" s="60" t="s">
        <v>1302</v>
      </c>
      <c r="I193" s="59">
        <v>0</v>
      </c>
      <c r="J193" s="60" t="s">
        <v>206</v>
      </c>
      <c r="K193" s="60" t="s">
        <v>1405</v>
      </c>
      <c r="L193" s="60" t="s">
        <v>382</v>
      </c>
      <c r="M193" s="59">
        <f t="shared" si="7"/>
        <v>1163</v>
      </c>
      <c r="N193" s="59">
        <v>272</v>
      </c>
      <c r="O193" s="59">
        <v>325</v>
      </c>
      <c r="P193" s="62">
        <v>297</v>
      </c>
      <c r="Q193" s="62">
        <v>269</v>
      </c>
    </row>
    <row r="194" spans="1:18" ht="15">
      <c r="A194" s="59">
        <v>5851610</v>
      </c>
      <c r="B194" s="59">
        <v>29189773</v>
      </c>
      <c r="C194" s="73">
        <v>1335</v>
      </c>
      <c r="D194" s="60" t="s">
        <v>777</v>
      </c>
      <c r="E194" s="59">
        <v>2</v>
      </c>
      <c r="F194" s="60" t="s">
        <v>1302</v>
      </c>
      <c r="G194" s="60" t="s">
        <v>1302</v>
      </c>
      <c r="H194" s="60" t="s">
        <v>1302</v>
      </c>
      <c r="I194" s="59">
        <v>1</v>
      </c>
      <c r="J194" s="60" t="s">
        <v>211</v>
      </c>
      <c r="K194" s="60" t="s">
        <v>969</v>
      </c>
      <c r="L194" s="60" t="s">
        <v>402</v>
      </c>
      <c r="M194" s="59">
        <f t="shared" si="7"/>
        <v>1940</v>
      </c>
      <c r="N194" s="59">
        <v>1356</v>
      </c>
      <c r="O194" s="59">
        <v>288</v>
      </c>
      <c r="P194" s="62">
        <v>288</v>
      </c>
      <c r="Q194" s="62">
        <v>8</v>
      </c>
    </row>
    <row r="195" spans="1:18" ht="15">
      <c r="A195" s="68">
        <v>5873347</v>
      </c>
      <c r="B195" s="68">
        <v>29189773</v>
      </c>
      <c r="C195" s="74">
        <v>1336</v>
      </c>
      <c r="D195" s="69" t="s">
        <v>777</v>
      </c>
      <c r="E195" s="68">
        <v>4</v>
      </c>
      <c r="F195" s="69" t="s">
        <v>1302</v>
      </c>
      <c r="G195" s="69" t="s">
        <v>1302</v>
      </c>
      <c r="H195" s="69" t="s">
        <v>1302</v>
      </c>
      <c r="I195" s="68">
        <v>1</v>
      </c>
      <c r="J195" s="69" t="s">
        <v>211</v>
      </c>
      <c r="K195" s="69" t="s">
        <v>969</v>
      </c>
      <c r="L195" s="69" t="s">
        <v>403</v>
      </c>
      <c r="M195" s="68">
        <f t="shared" si="7"/>
        <v>15</v>
      </c>
      <c r="N195" s="68">
        <v>0</v>
      </c>
      <c r="O195" s="68">
        <v>5</v>
      </c>
      <c r="P195" s="71">
        <v>5</v>
      </c>
      <c r="Q195" s="71">
        <v>5</v>
      </c>
      <c r="R195" s="70"/>
    </row>
    <row r="196" spans="1:18" ht="15">
      <c r="A196" s="59">
        <v>1000016914</v>
      </c>
      <c r="B196" s="59">
        <v>29189773</v>
      </c>
      <c r="C196" s="73">
        <v>1337</v>
      </c>
      <c r="D196" s="60" t="s">
        <v>1288</v>
      </c>
      <c r="E196" s="59">
        <v>53</v>
      </c>
      <c r="F196" s="60" t="s">
        <v>1302</v>
      </c>
      <c r="G196" s="60" t="s">
        <v>1302</v>
      </c>
      <c r="H196" s="60" t="s">
        <v>1302</v>
      </c>
      <c r="I196" s="59">
        <v>0</v>
      </c>
      <c r="J196" s="60" t="s">
        <v>211</v>
      </c>
      <c r="K196" s="60" t="s">
        <v>969</v>
      </c>
      <c r="L196" s="60" t="s">
        <v>342</v>
      </c>
      <c r="M196" s="59">
        <f t="shared" si="7"/>
        <v>2856</v>
      </c>
      <c r="N196" s="59">
        <v>725</v>
      </c>
      <c r="O196" s="59">
        <v>754</v>
      </c>
      <c r="P196" s="62">
        <v>780</v>
      </c>
      <c r="Q196" s="62">
        <v>597</v>
      </c>
    </row>
    <row r="197" spans="1:18" ht="15">
      <c r="A197" s="59">
        <v>5870151</v>
      </c>
      <c r="B197" s="59">
        <v>29189773</v>
      </c>
      <c r="C197" s="73">
        <v>1337</v>
      </c>
      <c r="D197" s="60" t="s">
        <v>1288</v>
      </c>
      <c r="E197" s="59">
        <v>53</v>
      </c>
      <c r="F197" s="60" t="s">
        <v>1302</v>
      </c>
      <c r="G197" s="60" t="s">
        <v>1302</v>
      </c>
      <c r="H197" s="60" t="s">
        <v>1302</v>
      </c>
      <c r="I197" s="59">
        <v>1</v>
      </c>
      <c r="J197" s="60" t="s">
        <v>211</v>
      </c>
      <c r="K197" s="60" t="s">
        <v>969</v>
      </c>
      <c r="L197" s="60" t="s">
        <v>343</v>
      </c>
      <c r="M197" s="59">
        <f t="shared" si="7"/>
        <v>0</v>
      </c>
      <c r="N197" s="62">
        <v>0</v>
      </c>
      <c r="O197" s="59">
        <v>0</v>
      </c>
      <c r="P197" s="59">
        <v>0</v>
      </c>
      <c r="Q197" s="59">
        <v>0</v>
      </c>
    </row>
    <row r="198" spans="1:18" ht="15">
      <c r="A198" s="59">
        <v>5870151</v>
      </c>
      <c r="B198" s="59">
        <v>29189773</v>
      </c>
      <c r="C198" s="73">
        <v>1337</v>
      </c>
      <c r="D198" s="60" t="s">
        <v>1288</v>
      </c>
      <c r="E198" s="59">
        <v>53</v>
      </c>
      <c r="F198" s="60" t="s">
        <v>1302</v>
      </c>
      <c r="G198" s="60" t="s">
        <v>1302</v>
      </c>
      <c r="H198" s="60" t="s">
        <v>1302</v>
      </c>
      <c r="I198" s="59">
        <v>1</v>
      </c>
      <c r="J198" s="60" t="s">
        <v>211</v>
      </c>
      <c r="K198" s="60" t="s">
        <v>969</v>
      </c>
      <c r="L198" s="60" t="s">
        <v>344</v>
      </c>
      <c r="M198" s="59">
        <f t="shared" si="7"/>
        <v>0</v>
      </c>
      <c r="N198" s="62">
        <v>0</v>
      </c>
      <c r="O198" s="59">
        <v>0</v>
      </c>
      <c r="P198" s="59">
        <v>0</v>
      </c>
      <c r="Q198" s="59">
        <v>0</v>
      </c>
    </row>
    <row r="199" spans="1:18" ht="15">
      <c r="A199" s="75">
        <v>620122</v>
      </c>
      <c r="B199" s="75">
        <v>29189773</v>
      </c>
      <c r="C199" s="97">
        <v>1352</v>
      </c>
      <c r="D199" s="80" t="s">
        <v>1293</v>
      </c>
      <c r="E199" s="75">
        <v>38</v>
      </c>
      <c r="F199" s="93" t="s">
        <v>1302</v>
      </c>
      <c r="G199" s="93" t="s">
        <v>1302</v>
      </c>
      <c r="H199" s="93" t="s">
        <v>1302</v>
      </c>
      <c r="I199" s="75">
        <v>1</v>
      </c>
      <c r="J199" s="93" t="s">
        <v>211</v>
      </c>
      <c r="K199" s="80" t="s">
        <v>969</v>
      </c>
      <c r="L199" s="80" t="s">
        <v>364</v>
      </c>
      <c r="M199" s="65">
        <f t="shared" si="7"/>
        <v>691</v>
      </c>
      <c r="N199" s="75">
        <v>277</v>
      </c>
      <c r="O199" s="75">
        <v>135</v>
      </c>
      <c r="P199" s="75">
        <v>125</v>
      </c>
      <c r="Q199" s="75">
        <v>154</v>
      </c>
    </row>
    <row r="200" spans="1:18" ht="15">
      <c r="A200" s="75">
        <v>1000018739</v>
      </c>
      <c r="B200" s="75">
        <v>29189773</v>
      </c>
      <c r="C200" s="97">
        <v>1352</v>
      </c>
      <c r="D200" s="93" t="s">
        <v>1293</v>
      </c>
      <c r="E200" s="62">
        <v>38</v>
      </c>
      <c r="F200" s="93" t="s">
        <v>1279</v>
      </c>
      <c r="G200" s="93" t="s">
        <v>1302</v>
      </c>
      <c r="H200" s="93" t="s">
        <v>1302</v>
      </c>
      <c r="I200" s="75">
        <v>0</v>
      </c>
      <c r="J200" s="93" t="s">
        <v>211</v>
      </c>
      <c r="K200" s="109" t="s">
        <v>969</v>
      </c>
      <c r="L200" s="80" t="s">
        <v>365</v>
      </c>
      <c r="M200" s="65">
        <f t="shared" si="7"/>
        <v>1436</v>
      </c>
      <c r="N200" s="75">
        <v>380</v>
      </c>
      <c r="O200" s="75">
        <v>411</v>
      </c>
      <c r="P200" s="75">
        <v>396</v>
      </c>
      <c r="Q200" s="75">
        <v>249</v>
      </c>
    </row>
    <row r="201" spans="1:18" ht="15">
      <c r="A201" s="75">
        <v>1000003413</v>
      </c>
      <c r="B201" s="75">
        <v>29189773</v>
      </c>
      <c r="C201" s="97">
        <v>1356</v>
      </c>
      <c r="D201" s="80" t="s">
        <v>1050</v>
      </c>
      <c r="E201" s="65">
        <v>32</v>
      </c>
      <c r="F201" s="93" t="s">
        <v>1302</v>
      </c>
      <c r="G201" s="93" t="s">
        <v>1302</v>
      </c>
      <c r="H201" s="93" t="s">
        <v>1302</v>
      </c>
      <c r="I201" s="75">
        <v>0</v>
      </c>
      <c r="J201" s="93" t="s">
        <v>211</v>
      </c>
      <c r="K201" s="80" t="s">
        <v>969</v>
      </c>
      <c r="L201" s="80" t="s">
        <v>304</v>
      </c>
      <c r="M201" s="65">
        <f t="shared" si="7"/>
        <v>152</v>
      </c>
      <c r="N201" s="75">
        <v>9</v>
      </c>
      <c r="O201" s="75">
        <v>9</v>
      </c>
      <c r="P201" s="75">
        <v>7</v>
      </c>
      <c r="Q201" s="75">
        <v>127</v>
      </c>
    </row>
    <row r="202" spans="1:18" ht="15">
      <c r="C202" s="57">
        <v>1359</v>
      </c>
      <c r="D202" s="80" t="s">
        <v>1064</v>
      </c>
      <c r="E202" s="65">
        <v>21</v>
      </c>
      <c r="J202">
        <v>6400</v>
      </c>
      <c r="K202" s="80" t="s">
        <v>975</v>
      </c>
      <c r="L202" s="80"/>
      <c r="M202" s="80"/>
      <c r="N202" s="14">
        <v>495</v>
      </c>
      <c r="O202" s="14">
        <v>187</v>
      </c>
      <c r="P202" s="14">
        <v>154</v>
      </c>
      <c r="Q202" s="14">
        <v>60</v>
      </c>
    </row>
    <row r="203" spans="1:18" ht="15">
      <c r="A203" s="75">
        <v>169153</v>
      </c>
      <c r="B203" s="75">
        <v>29189773</v>
      </c>
      <c r="C203" s="97">
        <v>1366</v>
      </c>
      <c r="D203" s="80" t="s">
        <v>652</v>
      </c>
      <c r="E203" s="65">
        <v>2</v>
      </c>
      <c r="F203" s="93" t="s">
        <v>214</v>
      </c>
      <c r="G203" s="93" t="s">
        <v>1302</v>
      </c>
      <c r="H203" s="93" t="s">
        <v>1302</v>
      </c>
      <c r="I203" s="75">
        <v>1</v>
      </c>
      <c r="J203" s="93" t="s">
        <v>209</v>
      </c>
      <c r="K203" s="80" t="s">
        <v>975</v>
      </c>
      <c r="L203" s="80" t="s">
        <v>348</v>
      </c>
      <c r="M203" s="65">
        <f t="shared" ref="M203:M218" si="8">N203+O203+P203+Q203</f>
        <v>27</v>
      </c>
      <c r="N203" s="75">
        <v>10</v>
      </c>
      <c r="O203" s="75">
        <v>11</v>
      </c>
      <c r="P203" s="75">
        <v>0</v>
      </c>
      <c r="Q203" s="75">
        <v>6</v>
      </c>
    </row>
    <row r="204" spans="1:18" ht="15">
      <c r="A204" s="75">
        <v>383937</v>
      </c>
      <c r="B204" s="75">
        <v>29189773</v>
      </c>
      <c r="C204" s="97">
        <v>1366</v>
      </c>
      <c r="D204" s="80" t="s">
        <v>652</v>
      </c>
      <c r="E204" s="65">
        <v>2</v>
      </c>
      <c r="F204" s="93" t="s">
        <v>214</v>
      </c>
      <c r="G204" s="93" t="s">
        <v>1302</v>
      </c>
      <c r="H204" s="93" t="s">
        <v>1302</v>
      </c>
      <c r="I204" s="75">
        <v>2</v>
      </c>
      <c r="J204" s="93" t="s">
        <v>209</v>
      </c>
      <c r="K204" s="80" t="s">
        <v>975</v>
      </c>
      <c r="L204" s="80" t="s">
        <v>349</v>
      </c>
      <c r="M204" s="65">
        <f t="shared" si="8"/>
        <v>4305</v>
      </c>
      <c r="N204" s="75">
        <v>981</v>
      </c>
      <c r="O204" s="75">
        <v>1125</v>
      </c>
      <c r="P204" s="75">
        <v>1438</v>
      </c>
      <c r="Q204" s="75">
        <v>761</v>
      </c>
    </row>
    <row r="205" spans="1:18" ht="15">
      <c r="A205" s="75">
        <v>387045</v>
      </c>
      <c r="B205" s="75">
        <v>29189773</v>
      </c>
      <c r="C205" s="97">
        <v>1366</v>
      </c>
      <c r="D205" s="80" t="s">
        <v>652</v>
      </c>
      <c r="E205" s="65">
        <v>2</v>
      </c>
      <c r="F205" s="93" t="s">
        <v>214</v>
      </c>
      <c r="G205" s="93" t="s">
        <v>1302</v>
      </c>
      <c r="H205" s="93" t="s">
        <v>1302</v>
      </c>
      <c r="I205" s="75">
        <v>3</v>
      </c>
      <c r="J205" s="93" t="s">
        <v>209</v>
      </c>
      <c r="K205" s="80" t="s">
        <v>975</v>
      </c>
      <c r="L205" s="80" t="s">
        <v>350</v>
      </c>
      <c r="M205" s="65">
        <f t="shared" si="8"/>
        <v>6</v>
      </c>
      <c r="N205" s="75">
        <v>5</v>
      </c>
      <c r="O205" s="75">
        <v>0</v>
      </c>
      <c r="P205" s="75">
        <v>1</v>
      </c>
      <c r="Q205" s="75">
        <v>0</v>
      </c>
    </row>
    <row r="206" spans="1:18" ht="15">
      <c r="A206" s="75">
        <v>612391</v>
      </c>
      <c r="B206" s="75">
        <v>29189773</v>
      </c>
      <c r="C206" s="97">
        <v>1366</v>
      </c>
      <c r="D206" s="80" t="s">
        <v>652</v>
      </c>
      <c r="E206" s="65">
        <v>2</v>
      </c>
      <c r="F206" s="93" t="s">
        <v>214</v>
      </c>
      <c r="G206" s="93" t="s">
        <v>1302</v>
      </c>
      <c r="H206" s="93" t="s">
        <v>1302</v>
      </c>
      <c r="I206" s="75">
        <v>4</v>
      </c>
      <c r="J206" s="93" t="s">
        <v>209</v>
      </c>
      <c r="K206" s="80" t="s">
        <v>975</v>
      </c>
      <c r="L206" s="80" t="s">
        <v>351</v>
      </c>
      <c r="M206" s="65">
        <f t="shared" si="8"/>
        <v>6</v>
      </c>
      <c r="N206" s="75">
        <v>0</v>
      </c>
      <c r="O206" s="75">
        <v>0</v>
      </c>
      <c r="P206" s="75">
        <v>6</v>
      </c>
      <c r="Q206" s="75">
        <v>0</v>
      </c>
    </row>
    <row r="207" spans="1:18" ht="15">
      <c r="A207" s="75">
        <v>336173</v>
      </c>
      <c r="B207" s="75">
        <v>29189773</v>
      </c>
      <c r="C207" s="97">
        <v>1370</v>
      </c>
      <c r="D207" s="80" t="s">
        <v>491</v>
      </c>
      <c r="E207" s="65">
        <v>11</v>
      </c>
      <c r="F207" s="93" t="s">
        <v>214</v>
      </c>
      <c r="G207" s="93" t="s">
        <v>1302</v>
      </c>
      <c r="H207" s="93" t="s">
        <v>1302</v>
      </c>
      <c r="I207" s="75">
        <v>0</v>
      </c>
      <c r="J207" s="93" t="s">
        <v>209</v>
      </c>
      <c r="K207" s="80" t="s">
        <v>975</v>
      </c>
      <c r="L207" s="80" t="s">
        <v>215</v>
      </c>
      <c r="M207" s="65">
        <f t="shared" si="8"/>
        <v>70</v>
      </c>
      <c r="N207">
        <v>29</v>
      </c>
      <c r="O207" s="75">
        <v>7</v>
      </c>
      <c r="P207" s="75">
        <v>21</v>
      </c>
      <c r="Q207" s="75">
        <v>13</v>
      </c>
    </row>
    <row r="208" spans="1:18" ht="15">
      <c r="A208" s="75">
        <v>38334</v>
      </c>
      <c r="B208" s="75">
        <v>29189773</v>
      </c>
      <c r="C208" s="97">
        <v>1374</v>
      </c>
      <c r="D208" s="80" t="s">
        <v>478</v>
      </c>
      <c r="E208" s="65">
        <v>9</v>
      </c>
      <c r="F208" s="93" t="s">
        <v>1302</v>
      </c>
      <c r="G208" s="93" t="s">
        <v>1302</v>
      </c>
      <c r="H208" s="93" t="s">
        <v>1302</v>
      </c>
      <c r="I208" s="75">
        <v>0</v>
      </c>
      <c r="J208" s="93" t="s">
        <v>209</v>
      </c>
      <c r="K208" s="80" t="s">
        <v>975</v>
      </c>
      <c r="L208" s="80" t="s">
        <v>275</v>
      </c>
      <c r="M208" s="65">
        <f t="shared" si="8"/>
        <v>1787</v>
      </c>
      <c r="N208" s="75">
        <v>442</v>
      </c>
      <c r="O208" s="75">
        <v>377</v>
      </c>
      <c r="P208" s="75">
        <v>522</v>
      </c>
      <c r="Q208" s="75">
        <v>446</v>
      </c>
    </row>
    <row r="209" spans="1:18" ht="15">
      <c r="A209" s="75">
        <v>603171</v>
      </c>
      <c r="B209" s="75">
        <v>29189773</v>
      </c>
      <c r="C209" s="97">
        <v>1375</v>
      </c>
      <c r="D209" s="80" t="s">
        <v>652</v>
      </c>
      <c r="E209" s="75">
        <v>2</v>
      </c>
      <c r="F209" s="93" t="s">
        <v>1302</v>
      </c>
      <c r="G209" s="93" t="s">
        <v>1302</v>
      </c>
      <c r="H209" s="93" t="s">
        <v>1302</v>
      </c>
      <c r="I209" s="75">
        <v>102</v>
      </c>
      <c r="J209" s="93" t="s">
        <v>209</v>
      </c>
      <c r="K209" s="80" t="s">
        <v>975</v>
      </c>
      <c r="L209" s="80" t="s">
        <v>347</v>
      </c>
      <c r="M209" s="65">
        <f t="shared" si="8"/>
        <v>5</v>
      </c>
      <c r="N209" s="75">
        <v>5</v>
      </c>
      <c r="O209" s="75">
        <v>0</v>
      </c>
      <c r="P209" s="75">
        <v>0</v>
      </c>
      <c r="Q209" s="75">
        <v>0</v>
      </c>
    </row>
    <row r="210" spans="1:18" ht="15">
      <c r="A210" s="75">
        <v>614017</v>
      </c>
      <c r="B210" s="75">
        <v>29189773</v>
      </c>
      <c r="C210" s="97">
        <v>1375</v>
      </c>
      <c r="D210" s="80" t="s">
        <v>652</v>
      </c>
      <c r="E210" s="65">
        <v>2</v>
      </c>
      <c r="F210" s="93" t="s">
        <v>214</v>
      </c>
      <c r="G210" s="93" t="s">
        <v>1302</v>
      </c>
      <c r="H210" s="93" t="s">
        <v>1302</v>
      </c>
      <c r="I210" s="75">
        <v>5</v>
      </c>
      <c r="J210" s="93" t="s">
        <v>209</v>
      </c>
      <c r="K210" s="80" t="s">
        <v>975</v>
      </c>
      <c r="L210" s="80" t="s">
        <v>352</v>
      </c>
      <c r="M210" s="65">
        <f t="shared" si="8"/>
        <v>109</v>
      </c>
      <c r="N210" s="75">
        <v>0</v>
      </c>
      <c r="O210" s="75">
        <v>40</v>
      </c>
      <c r="P210" s="75">
        <v>61</v>
      </c>
      <c r="Q210" s="75">
        <v>8</v>
      </c>
    </row>
    <row r="211" spans="1:18" ht="15">
      <c r="A211" s="75">
        <v>544914</v>
      </c>
      <c r="B211" s="75">
        <v>29189773</v>
      </c>
      <c r="C211" s="97">
        <v>1375</v>
      </c>
      <c r="D211" s="80" t="s">
        <v>652</v>
      </c>
      <c r="E211" s="65">
        <v>2</v>
      </c>
      <c r="F211" s="93" t="s">
        <v>321</v>
      </c>
      <c r="G211" s="93" t="s">
        <v>1302</v>
      </c>
      <c r="H211" s="93" t="s">
        <v>1302</v>
      </c>
      <c r="I211" s="75">
        <v>0</v>
      </c>
      <c r="J211" s="93" t="s">
        <v>209</v>
      </c>
      <c r="K211" s="80" t="s">
        <v>975</v>
      </c>
      <c r="L211" s="80" t="s">
        <v>353</v>
      </c>
      <c r="M211" s="65">
        <f t="shared" si="8"/>
        <v>185</v>
      </c>
      <c r="N211" s="75">
        <v>32</v>
      </c>
      <c r="O211" s="75">
        <v>43</v>
      </c>
      <c r="P211" s="75">
        <v>55</v>
      </c>
      <c r="Q211" s="75">
        <v>55</v>
      </c>
    </row>
    <row r="212" spans="1:18" ht="15">
      <c r="A212" s="75">
        <v>526258</v>
      </c>
      <c r="B212" s="75">
        <v>29189773</v>
      </c>
      <c r="C212" s="97">
        <v>1376</v>
      </c>
      <c r="D212" s="80" t="s">
        <v>652</v>
      </c>
      <c r="E212" s="65">
        <v>4</v>
      </c>
      <c r="F212" s="93" t="s">
        <v>1302</v>
      </c>
      <c r="G212" s="93" t="s">
        <v>1302</v>
      </c>
      <c r="H212" s="93" t="s">
        <v>1302</v>
      </c>
      <c r="I212" s="75">
        <v>0</v>
      </c>
      <c r="J212" s="93" t="s">
        <v>209</v>
      </c>
      <c r="K212" s="80" t="s">
        <v>975</v>
      </c>
      <c r="L212" s="80" t="s">
        <v>354</v>
      </c>
      <c r="M212" s="65">
        <f t="shared" si="8"/>
        <v>57</v>
      </c>
      <c r="N212" s="75">
        <v>11</v>
      </c>
      <c r="O212" s="75">
        <v>23</v>
      </c>
      <c r="P212" s="75">
        <v>11</v>
      </c>
      <c r="Q212" s="75">
        <v>12</v>
      </c>
    </row>
    <row r="213" spans="1:18" ht="15">
      <c r="A213" s="75">
        <v>394114</v>
      </c>
      <c r="B213" s="75">
        <v>29189773</v>
      </c>
      <c r="C213" s="97">
        <v>1385</v>
      </c>
      <c r="D213" s="80" t="s">
        <v>811</v>
      </c>
      <c r="E213" s="65">
        <v>2</v>
      </c>
      <c r="F213" s="93" t="s">
        <v>214</v>
      </c>
      <c r="G213" s="93" t="s">
        <v>1302</v>
      </c>
      <c r="H213" s="93" t="s">
        <v>1302</v>
      </c>
      <c r="I213" s="75">
        <v>0</v>
      </c>
      <c r="J213" s="93" t="s">
        <v>209</v>
      </c>
      <c r="K213" s="80" t="s">
        <v>975</v>
      </c>
      <c r="L213" s="80">
        <v>16395</v>
      </c>
      <c r="M213" s="65">
        <f t="shared" si="8"/>
        <v>159</v>
      </c>
      <c r="N213">
        <v>45</v>
      </c>
      <c r="O213" s="75">
        <v>39</v>
      </c>
      <c r="P213" s="75">
        <v>40</v>
      </c>
      <c r="Q213" s="75">
        <v>35</v>
      </c>
    </row>
    <row r="214" spans="1:18" ht="15">
      <c r="A214" s="75">
        <v>169439</v>
      </c>
      <c r="B214" s="75">
        <v>29189773</v>
      </c>
      <c r="C214" s="97">
        <v>1390</v>
      </c>
      <c r="D214" s="80" t="s">
        <v>1298</v>
      </c>
      <c r="E214" s="65">
        <v>52</v>
      </c>
      <c r="F214" s="93" t="s">
        <v>214</v>
      </c>
      <c r="G214" s="93" t="s">
        <v>1302</v>
      </c>
      <c r="H214" s="93" t="s">
        <v>1302</v>
      </c>
      <c r="I214" s="75">
        <v>0</v>
      </c>
      <c r="J214" s="93" t="s">
        <v>209</v>
      </c>
      <c r="K214" s="80" t="s">
        <v>975</v>
      </c>
      <c r="L214" s="80" t="s">
        <v>225</v>
      </c>
      <c r="M214" s="65">
        <f t="shared" si="8"/>
        <v>1970</v>
      </c>
      <c r="N214">
        <v>502</v>
      </c>
      <c r="O214" s="75">
        <v>500</v>
      </c>
      <c r="P214" s="75">
        <v>521</v>
      </c>
      <c r="Q214" s="75">
        <v>447</v>
      </c>
    </row>
    <row r="215" spans="1:18" ht="15">
      <c r="A215" s="75">
        <v>527831</v>
      </c>
      <c r="B215" s="75">
        <v>29189773</v>
      </c>
      <c r="C215" s="97">
        <v>1394</v>
      </c>
      <c r="D215" s="80" t="s">
        <v>1429</v>
      </c>
      <c r="E215" s="65">
        <v>10</v>
      </c>
      <c r="F215" s="93" t="s">
        <v>214</v>
      </c>
      <c r="G215" s="93" t="s">
        <v>1302</v>
      </c>
      <c r="H215" s="93" t="s">
        <v>1302</v>
      </c>
      <c r="I215" s="75">
        <v>0</v>
      </c>
      <c r="J215" s="93" t="s">
        <v>209</v>
      </c>
      <c r="K215" s="80" t="s">
        <v>975</v>
      </c>
      <c r="L215" s="80" t="s">
        <v>249</v>
      </c>
      <c r="M215" s="65">
        <f t="shared" si="8"/>
        <v>90</v>
      </c>
      <c r="N215">
        <v>32</v>
      </c>
      <c r="O215" s="75">
        <v>29</v>
      </c>
      <c r="P215" s="75">
        <v>29</v>
      </c>
      <c r="Q215" s="75">
        <v>0</v>
      </c>
    </row>
    <row r="216" spans="1:18" ht="15">
      <c r="A216" s="75">
        <v>544094</v>
      </c>
      <c r="B216" s="75">
        <v>29189773</v>
      </c>
      <c r="C216" s="97">
        <v>1395</v>
      </c>
      <c r="D216" s="80" t="s">
        <v>484</v>
      </c>
      <c r="E216" s="65">
        <v>11</v>
      </c>
      <c r="F216" s="93" t="s">
        <v>1302</v>
      </c>
      <c r="G216" s="93" t="s">
        <v>1302</v>
      </c>
      <c r="H216" s="93" t="s">
        <v>1302</v>
      </c>
      <c r="I216" s="75">
        <v>2</v>
      </c>
      <c r="J216" s="93" t="s">
        <v>209</v>
      </c>
      <c r="K216" s="80" t="s">
        <v>975</v>
      </c>
      <c r="L216" s="80" t="s">
        <v>256</v>
      </c>
      <c r="M216" s="65">
        <f t="shared" si="8"/>
        <v>66</v>
      </c>
      <c r="N216" s="75">
        <v>4</v>
      </c>
      <c r="O216" s="75">
        <v>7</v>
      </c>
      <c r="P216" s="75">
        <v>7</v>
      </c>
      <c r="Q216" s="75">
        <v>48</v>
      </c>
      <c r="R216" s="75">
        <v>56</v>
      </c>
    </row>
    <row r="217" spans="1:18" ht="15">
      <c r="A217" s="75">
        <v>614866</v>
      </c>
      <c r="B217" s="75">
        <v>29189773</v>
      </c>
      <c r="C217" s="97">
        <v>1398</v>
      </c>
      <c r="D217" s="60" t="s">
        <v>478</v>
      </c>
      <c r="E217" s="59">
        <v>9</v>
      </c>
      <c r="F217" s="60" t="s">
        <v>1302</v>
      </c>
      <c r="G217" s="60" t="s">
        <v>1302</v>
      </c>
      <c r="H217" s="60" t="s">
        <v>1302</v>
      </c>
      <c r="I217" s="59">
        <v>1</v>
      </c>
      <c r="J217" s="60" t="s">
        <v>209</v>
      </c>
      <c r="K217" s="60" t="s">
        <v>975</v>
      </c>
      <c r="L217" s="80" t="s">
        <v>276</v>
      </c>
      <c r="M217" s="65">
        <f t="shared" si="8"/>
        <v>159</v>
      </c>
      <c r="N217" s="75">
        <v>47</v>
      </c>
      <c r="O217" s="64">
        <v>22</v>
      </c>
      <c r="P217" s="64">
        <v>47</v>
      </c>
      <c r="Q217" s="64">
        <v>43</v>
      </c>
    </row>
    <row r="218" spans="1:18" ht="15">
      <c r="A218" s="75">
        <v>526657</v>
      </c>
      <c r="B218" s="75">
        <v>29189773</v>
      </c>
      <c r="C218" s="97">
        <v>1411</v>
      </c>
      <c r="D218" s="80" t="s">
        <v>720</v>
      </c>
      <c r="E218" s="65">
        <v>999</v>
      </c>
      <c r="F218" s="93" t="s">
        <v>1302</v>
      </c>
      <c r="G218" s="93" t="s">
        <v>1302</v>
      </c>
      <c r="H218" s="93" t="s">
        <v>1302</v>
      </c>
      <c r="I218" s="75">
        <v>0</v>
      </c>
      <c r="J218" s="93" t="s">
        <v>229</v>
      </c>
      <c r="K218" s="80" t="s">
        <v>1302</v>
      </c>
      <c r="L218" s="80" t="s">
        <v>367</v>
      </c>
      <c r="M218" s="65">
        <f t="shared" si="8"/>
        <v>501</v>
      </c>
      <c r="N218" s="75">
        <v>65</v>
      </c>
      <c r="O218" s="75">
        <v>52</v>
      </c>
      <c r="P218" s="75">
        <v>50</v>
      </c>
      <c r="Q218" s="75">
        <v>334</v>
      </c>
    </row>
    <row r="219" spans="1:18" ht="15">
      <c r="C219" s="57">
        <v>1412</v>
      </c>
      <c r="D219" s="81" t="s">
        <v>1287</v>
      </c>
      <c r="E219" s="87">
        <v>13</v>
      </c>
      <c r="F219" s="83"/>
      <c r="G219" s="83"/>
      <c r="H219" s="83"/>
      <c r="I219" s="83"/>
      <c r="J219" s="83">
        <v>6400</v>
      </c>
      <c r="K219" s="81" t="s">
        <v>975</v>
      </c>
      <c r="L219" s="81"/>
      <c r="M219" s="81"/>
      <c r="N219" s="14">
        <v>332</v>
      </c>
      <c r="O219" s="14">
        <v>129</v>
      </c>
      <c r="P219" s="14">
        <v>80</v>
      </c>
      <c r="Q219" s="14">
        <v>102</v>
      </c>
    </row>
    <row r="220" spans="1:18" ht="15">
      <c r="A220" s="75">
        <v>526614</v>
      </c>
      <c r="B220" s="75">
        <v>29189773</v>
      </c>
      <c r="C220" s="97">
        <v>1413</v>
      </c>
      <c r="D220" s="80" t="s">
        <v>490</v>
      </c>
      <c r="E220" s="65">
        <v>3</v>
      </c>
      <c r="F220" s="93" t="s">
        <v>1302</v>
      </c>
      <c r="G220" s="93" t="s">
        <v>1302</v>
      </c>
      <c r="H220" s="93" t="s">
        <v>1302</v>
      </c>
      <c r="I220" s="75">
        <v>0</v>
      </c>
      <c r="J220" s="93" t="s">
        <v>209</v>
      </c>
      <c r="K220" s="80" t="s">
        <v>975</v>
      </c>
      <c r="L220" s="80" t="s">
        <v>368</v>
      </c>
      <c r="M220" s="65">
        <f>N220+O220+P220+Q220</f>
        <v>1676</v>
      </c>
      <c r="N220" s="75">
        <v>458</v>
      </c>
      <c r="O220" s="75">
        <v>386</v>
      </c>
      <c r="P220" s="75">
        <v>495</v>
      </c>
      <c r="Q220" s="75">
        <v>337</v>
      </c>
    </row>
    <row r="221" spans="1:18" ht="15">
      <c r="A221" s="75">
        <v>532797</v>
      </c>
      <c r="B221" s="75">
        <v>29189773</v>
      </c>
      <c r="C221" s="97">
        <v>1417</v>
      </c>
      <c r="D221" s="80" t="s">
        <v>489</v>
      </c>
      <c r="E221" s="65">
        <v>2</v>
      </c>
      <c r="F221" s="93" t="s">
        <v>1302</v>
      </c>
      <c r="G221" s="93" t="s">
        <v>1302</v>
      </c>
      <c r="H221" s="93" t="s">
        <v>1302</v>
      </c>
      <c r="I221" s="75">
        <v>1</v>
      </c>
      <c r="J221" s="93" t="s">
        <v>209</v>
      </c>
      <c r="K221" s="80" t="s">
        <v>975</v>
      </c>
      <c r="L221" s="80" t="s">
        <v>333</v>
      </c>
      <c r="M221" s="65">
        <f>N221+O221+P221+Q221</f>
        <v>1637</v>
      </c>
      <c r="N221" s="75">
        <v>728</v>
      </c>
      <c r="O221" s="75">
        <v>351</v>
      </c>
      <c r="P221" s="75">
        <v>265</v>
      </c>
      <c r="Q221" s="75">
        <v>293</v>
      </c>
    </row>
    <row r="222" spans="1:18" ht="15">
      <c r="A222" s="75">
        <v>1190113</v>
      </c>
      <c r="B222" s="75">
        <v>29189773</v>
      </c>
      <c r="C222" s="97">
        <v>1502</v>
      </c>
      <c r="D222" s="80" t="s">
        <v>498</v>
      </c>
      <c r="E222" s="65">
        <v>1</v>
      </c>
      <c r="F222" s="93" t="s">
        <v>1302</v>
      </c>
      <c r="G222" s="93" t="s">
        <v>1302</v>
      </c>
      <c r="H222" s="93" t="s">
        <v>1302</v>
      </c>
      <c r="I222" s="75">
        <v>0</v>
      </c>
      <c r="J222" s="93" t="s">
        <v>209</v>
      </c>
      <c r="K222" s="80" t="s">
        <v>975</v>
      </c>
      <c r="L222" s="80" t="s">
        <v>213</v>
      </c>
      <c r="M222" s="65">
        <f>N222+O222+P222+Q222</f>
        <v>1936</v>
      </c>
      <c r="N222">
        <v>814</v>
      </c>
      <c r="O222" s="75">
        <v>585</v>
      </c>
      <c r="P222" s="75">
        <v>297</v>
      </c>
      <c r="Q222" s="75">
        <v>240</v>
      </c>
    </row>
    <row r="223" spans="1:18" ht="15">
      <c r="C223" s="57">
        <v>1503</v>
      </c>
      <c r="D223" s="81" t="s">
        <v>1444</v>
      </c>
      <c r="E223" s="87">
        <v>4</v>
      </c>
      <c r="F223" s="83"/>
      <c r="G223" s="83"/>
      <c r="H223" s="83"/>
      <c r="I223" s="83"/>
      <c r="J223" s="83">
        <v>6400</v>
      </c>
      <c r="K223" s="81" t="s">
        <v>975</v>
      </c>
      <c r="L223" s="81"/>
      <c r="M223" s="81"/>
      <c r="N223" s="14">
        <v>411</v>
      </c>
      <c r="O223" s="14">
        <v>259</v>
      </c>
      <c r="P223" s="14">
        <v>248</v>
      </c>
      <c r="Q223" s="14">
        <v>210</v>
      </c>
    </row>
    <row r="224" spans="1:18" ht="15">
      <c r="A224" s="75">
        <v>282987</v>
      </c>
      <c r="B224" s="75">
        <v>29189773</v>
      </c>
      <c r="C224" s="97">
        <v>1506</v>
      </c>
      <c r="D224" s="80" t="s">
        <v>745</v>
      </c>
      <c r="E224" s="65">
        <v>1</v>
      </c>
      <c r="F224" s="93" t="s">
        <v>1302</v>
      </c>
      <c r="G224" s="93" t="s">
        <v>1302</v>
      </c>
      <c r="H224" s="93" t="s">
        <v>1302</v>
      </c>
      <c r="I224" s="75">
        <v>0</v>
      </c>
      <c r="J224" s="93" t="s">
        <v>209</v>
      </c>
      <c r="K224" s="80" t="s">
        <v>975</v>
      </c>
      <c r="L224" s="80" t="s">
        <v>397</v>
      </c>
      <c r="M224" s="65">
        <f>N224+O224+P224+Q224</f>
        <v>462</v>
      </c>
      <c r="N224" s="75">
        <v>73</v>
      </c>
      <c r="O224" s="75">
        <v>68</v>
      </c>
      <c r="P224" s="75">
        <v>199</v>
      </c>
      <c r="Q224" s="75">
        <v>122</v>
      </c>
    </row>
    <row r="225" spans="1:17" ht="15">
      <c r="A225" s="75">
        <v>282995</v>
      </c>
      <c r="B225" s="75">
        <v>29189773</v>
      </c>
      <c r="C225" s="97">
        <v>1506</v>
      </c>
      <c r="D225" s="60" t="s">
        <v>745</v>
      </c>
      <c r="E225" s="59">
        <v>1</v>
      </c>
      <c r="F225" s="60" t="s">
        <v>1302</v>
      </c>
      <c r="G225" s="60" t="s">
        <v>1302</v>
      </c>
      <c r="H225" s="60" t="s">
        <v>1302</v>
      </c>
      <c r="I225" s="59">
        <v>1</v>
      </c>
      <c r="J225" s="60" t="s">
        <v>209</v>
      </c>
      <c r="K225" s="60" t="s">
        <v>975</v>
      </c>
      <c r="L225" s="80" t="s">
        <v>398</v>
      </c>
      <c r="M225" s="65">
        <f>N225+O225+P225+Q225</f>
        <v>1233</v>
      </c>
      <c r="N225" s="75">
        <v>274</v>
      </c>
      <c r="O225" s="64">
        <v>265</v>
      </c>
      <c r="P225" s="64">
        <v>434</v>
      </c>
      <c r="Q225" s="64">
        <v>260</v>
      </c>
    </row>
    <row r="226" spans="1:17" ht="15">
      <c r="C226" s="57">
        <v>1508</v>
      </c>
      <c r="D226" s="81" t="s">
        <v>531</v>
      </c>
      <c r="E226" s="82">
        <v>16</v>
      </c>
      <c r="F226" s="83"/>
      <c r="G226" s="83"/>
      <c r="H226" s="83"/>
      <c r="I226" s="83"/>
      <c r="J226" s="83">
        <v>6430</v>
      </c>
      <c r="K226" s="84" t="s">
        <v>969</v>
      </c>
      <c r="L226" s="84"/>
      <c r="M226" s="84"/>
      <c r="N226" s="14">
        <v>365</v>
      </c>
      <c r="O226" s="14">
        <v>759</v>
      </c>
      <c r="P226" s="14">
        <v>307</v>
      </c>
      <c r="Q226" s="14">
        <v>236</v>
      </c>
    </row>
    <row r="227" spans="1:17" ht="15">
      <c r="C227" s="57">
        <v>1509</v>
      </c>
      <c r="D227" s="81" t="s">
        <v>530</v>
      </c>
      <c r="E227" s="82">
        <v>10</v>
      </c>
      <c r="F227" s="83"/>
      <c r="G227" s="83"/>
      <c r="H227" s="83"/>
      <c r="I227" s="83"/>
      <c r="J227" s="83">
        <v>6430</v>
      </c>
      <c r="K227" s="84" t="s">
        <v>969</v>
      </c>
      <c r="L227" s="84"/>
      <c r="M227" s="84"/>
      <c r="N227" s="14">
        <v>225</v>
      </c>
      <c r="O227" s="14">
        <v>325</v>
      </c>
      <c r="P227" s="14">
        <v>334</v>
      </c>
      <c r="Q227" s="14">
        <v>377</v>
      </c>
    </row>
    <row r="228" spans="1:17" ht="15">
      <c r="C228" s="57">
        <v>1510</v>
      </c>
      <c r="D228" s="81" t="s">
        <v>529</v>
      </c>
      <c r="E228" s="103">
        <v>2</v>
      </c>
      <c r="F228" s="83"/>
      <c r="G228" s="83"/>
      <c r="H228" s="83"/>
      <c r="I228" s="83"/>
      <c r="J228" s="83">
        <v>6400</v>
      </c>
      <c r="K228" s="84" t="s">
        <v>975</v>
      </c>
      <c r="L228" s="84"/>
      <c r="M228" s="84"/>
      <c r="N228" s="14">
        <v>406</v>
      </c>
      <c r="O228" s="14">
        <v>257</v>
      </c>
      <c r="P228" s="14">
        <v>229</v>
      </c>
      <c r="Q228" s="14">
        <v>222</v>
      </c>
    </row>
    <row r="229" spans="1:17" ht="16.5" customHeight="1">
      <c r="C229" s="57">
        <v>1511</v>
      </c>
      <c r="D229" s="81" t="s">
        <v>1413</v>
      </c>
      <c r="E229" s="82">
        <v>10</v>
      </c>
      <c r="F229" s="83"/>
      <c r="G229" s="83"/>
      <c r="H229" s="83"/>
      <c r="I229" s="83"/>
      <c r="J229" s="83">
        <v>6300</v>
      </c>
      <c r="K229" s="84" t="s">
        <v>1405</v>
      </c>
      <c r="L229" s="84"/>
      <c r="M229" s="84"/>
      <c r="N229" s="14">
        <v>193</v>
      </c>
      <c r="O229" s="14">
        <v>238</v>
      </c>
      <c r="P229" s="14">
        <v>239</v>
      </c>
      <c r="Q229" s="14">
        <v>183</v>
      </c>
    </row>
    <row r="230" spans="1:17" ht="15">
      <c r="C230" s="57">
        <v>1513</v>
      </c>
      <c r="D230" s="81" t="s">
        <v>543</v>
      </c>
      <c r="E230" s="87">
        <v>4</v>
      </c>
      <c r="F230" s="83"/>
      <c r="G230" s="83"/>
      <c r="H230" s="83"/>
      <c r="I230" s="83"/>
      <c r="J230" s="83">
        <v>6430</v>
      </c>
      <c r="K230" s="81" t="s">
        <v>969</v>
      </c>
      <c r="L230" s="81"/>
      <c r="M230" s="81"/>
      <c r="N230" s="14">
        <v>1380</v>
      </c>
      <c r="O230" s="14">
        <v>1640</v>
      </c>
      <c r="P230" s="14">
        <v>1698</v>
      </c>
      <c r="Q230" s="14">
        <v>1665</v>
      </c>
    </row>
    <row r="231" spans="1:17" ht="15">
      <c r="C231" s="57">
        <v>1514</v>
      </c>
      <c r="D231" s="80" t="s">
        <v>542</v>
      </c>
      <c r="E231" s="65">
        <v>9</v>
      </c>
      <c r="J231">
        <v>6320</v>
      </c>
      <c r="K231" s="80" t="s">
        <v>538</v>
      </c>
      <c r="L231" s="80"/>
      <c r="M231" s="80"/>
      <c r="N231" s="14">
        <v>1430</v>
      </c>
      <c r="O231" s="14">
        <v>1665</v>
      </c>
      <c r="P231" s="14">
        <v>1182</v>
      </c>
      <c r="Q231" s="14">
        <v>1422</v>
      </c>
    </row>
    <row r="232" spans="1:17" ht="15">
      <c r="A232" s="75">
        <v>5827698</v>
      </c>
      <c r="B232" s="75">
        <v>29189773</v>
      </c>
      <c r="C232" s="97">
        <v>1617</v>
      </c>
      <c r="D232" s="80" t="s">
        <v>730</v>
      </c>
      <c r="E232" s="65">
        <v>4</v>
      </c>
      <c r="F232" s="93" t="s">
        <v>1302</v>
      </c>
      <c r="G232" s="93" t="s">
        <v>1302</v>
      </c>
      <c r="H232" s="93" t="s">
        <v>1302</v>
      </c>
      <c r="I232" s="75">
        <v>1</v>
      </c>
      <c r="J232" s="93" t="s">
        <v>206</v>
      </c>
      <c r="K232" s="80" t="s">
        <v>1405</v>
      </c>
      <c r="L232" s="80" t="s">
        <v>208</v>
      </c>
      <c r="M232" s="65">
        <f>N232+O232+P232+Q232</f>
        <v>3792</v>
      </c>
      <c r="N232">
        <v>1051</v>
      </c>
      <c r="O232" s="75">
        <v>1068</v>
      </c>
      <c r="P232" s="75">
        <v>876</v>
      </c>
      <c r="Q232" s="75">
        <v>797</v>
      </c>
    </row>
    <row r="233" spans="1:17" ht="15">
      <c r="C233" s="57">
        <v>1618</v>
      </c>
      <c r="D233" s="81" t="s">
        <v>184</v>
      </c>
      <c r="E233" s="82">
        <v>41</v>
      </c>
      <c r="F233" s="83"/>
      <c r="G233" s="83"/>
      <c r="H233" s="83"/>
      <c r="I233" s="83"/>
      <c r="J233" s="83">
        <v>6400</v>
      </c>
      <c r="K233" s="84" t="s">
        <v>975</v>
      </c>
      <c r="L233" s="84"/>
      <c r="M233" s="84"/>
      <c r="N233" s="14">
        <v>247</v>
      </c>
      <c r="O233" s="14">
        <v>236</v>
      </c>
      <c r="P233" s="14">
        <v>291</v>
      </c>
      <c r="Q233" s="14">
        <v>252</v>
      </c>
    </row>
    <row r="234" spans="1:17" ht="15">
      <c r="C234" s="57">
        <v>1619</v>
      </c>
      <c r="D234" s="81" t="s">
        <v>709</v>
      </c>
      <c r="E234" s="87">
        <v>8</v>
      </c>
      <c r="F234" s="83"/>
      <c r="G234" s="83"/>
      <c r="H234" s="83"/>
      <c r="I234" s="83"/>
      <c r="J234" s="83">
        <v>6400</v>
      </c>
      <c r="K234" s="81" t="s">
        <v>975</v>
      </c>
      <c r="L234" s="81"/>
      <c r="M234" s="81"/>
      <c r="N234" s="14">
        <v>226</v>
      </c>
      <c r="O234" s="14">
        <v>291</v>
      </c>
      <c r="P234" s="14">
        <v>199</v>
      </c>
      <c r="Q234" s="14">
        <v>174</v>
      </c>
    </row>
    <row r="235" spans="1:17" ht="15">
      <c r="C235" s="57">
        <v>1620</v>
      </c>
      <c r="D235" s="81" t="s">
        <v>192</v>
      </c>
      <c r="E235" s="82">
        <v>3</v>
      </c>
      <c r="F235" s="83"/>
      <c r="G235" s="83"/>
      <c r="H235" s="83"/>
      <c r="I235" s="83"/>
      <c r="J235" s="83">
        <v>6400</v>
      </c>
      <c r="K235" s="84" t="s">
        <v>975</v>
      </c>
      <c r="L235" s="84"/>
      <c r="M235" s="84"/>
      <c r="N235" s="14">
        <v>321</v>
      </c>
      <c r="O235" s="14">
        <v>290</v>
      </c>
      <c r="P235" s="14">
        <v>337</v>
      </c>
      <c r="Q235" s="14">
        <v>424</v>
      </c>
    </row>
    <row r="236" spans="1:17" ht="15">
      <c r="C236" s="57">
        <v>1622</v>
      </c>
      <c r="D236" s="81" t="s">
        <v>541</v>
      </c>
      <c r="E236" s="87">
        <v>12</v>
      </c>
      <c r="F236" s="83"/>
      <c r="G236" s="83"/>
      <c r="H236" s="83"/>
      <c r="I236" s="83"/>
      <c r="J236" s="83">
        <v>6400</v>
      </c>
      <c r="K236" s="81" t="s">
        <v>975</v>
      </c>
      <c r="L236" s="81"/>
      <c r="M236" s="81"/>
      <c r="N236" s="14">
        <v>268</v>
      </c>
      <c r="O236" s="14">
        <v>234</v>
      </c>
      <c r="P236" s="14">
        <v>263</v>
      </c>
      <c r="Q236" s="14">
        <v>210</v>
      </c>
    </row>
    <row r="237" spans="1:17" ht="15">
      <c r="C237" s="57">
        <v>1623</v>
      </c>
      <c r="D237" s="81" t="s">
        <v>471</v>
      </c>
      <c r="E237" s="87">
        <v>130</v>
      </c>
      <c r="F237" s="90" t="s">
        <v>1302</v>
      </c>
      <c r="G237" s="90" t="s">
        <v>241</v>
      </c>
      <c r="H237" s="90" t="s">
        <v>242</v>
      </c>
      <c r="I237" s="91">
        <v>0</v>
      </c>
      <c r="J237" s="90">
        <v>6400</v>
      </c>
      <c r="K237" s="81" t="s">
        <v>975</v>
      </c>
      <c r="L237" s="81"/>
      <c r="M237" s="81"/>
      <c r="N237" s="14">
        <v>499</v>
      </c>
      <c r="O237" s="92">
        <v>419</v>
      </c>
      <c r="P237" s="92">
        <v>341</v>
      </c>
      <c r="Q237" s="92">
        <v>331</v>
      </c>
    </row>
    <row r="238" spans="1:17" ht="15">
      <c r="C238" s="57">
        <v>1625</v>
      </c>
      <c r="D238" s="85" t="s">
        <v>126</v>
      </c>
      <c r="E238" s="86">
        <v>1</v>
      </c>
      <c r="F238" s="95"/>
      <c r="G238" s="95"/>
      <c r="H238" s="95"/>
      <c r="I238" s="95"/>
      <c r="J238" s="95">
        <v>6400</v>
      </c>
      <c r="K238" s="85" t="s">
        <v>975</v>
      </c>
      <c r="L238" s="81"/>
      <c r="M238" s="81"/>
      <c r="N238" s="14">
        <v>332</v>
      </c>
      <c r="O238" s="14">
        <v>215</v>
      </c>
      <c r="P238" s="14">
        <v>168</v>
      </c>
      <c r="Q238" s="14">
        <v>132</v>
      </c>
    </row>
    <row r="239" spans="1:17" ht="15">
      <c r="A239" s="75">
        <v>147842</v>
      </c>
      <c r="B239" s="75">
        <v>29189773</v>
      </c>
      <c r="C239" s="97">
        <v>1626</v>
      </c>
      <c r="D239" s="80" t="s">
        <v>811</v>
      </c>
      <c r="E239" s="65">
        <v>47</v>
      </c>
      <c r="F239" s="93" t="s">
        <v>1302</v>
      </c>
      <c r="G239" s="93" t="s">
        <v>1302</v>
      </c>
      <c r="H239" s="93" t="s">
        <v>1302</v>
      </c>
      <c r="I239" s="75">
        <v>0</v>
      </c>
      <c r="J239" s="93" t="s">
        <v>209</v>
      </c>
      <c r="K239" s="80" t="s">
        <v>975</v>
      </c>
      <c r="L239" s="80" t="s">
        <v>222</v>
      </c>
      <c r="M239" s="65">
        <f>N239+O239+P239+Q239</f>
        <v>1454</v>
      </c>
      <c r="N239">
        <v>361</v>
      </c>
      <c r="O239" s="75">
        <v>361</v>
      </c>
      <c r="P239" s="75">
        <v>370</v>
      </c>
      <c r="Q239" s="75">
        <v>362</v>
      </c>
    </row>
    <row r="240" spans="1:17" ht="15">
      <c r="A240" s="75">
        <v>94862</v>
      </c>
      <c r="B240" s="75">
        <v>29189773</v>
      </c>
      <c r="C240" s="97">
        <v>1627</v>
      </c>
      <c r="D240" s="80" t="s">
        <v>131</v>
      </c>
      <c r="E240" s="65">
        <v>66</v>
      </c>
      <c r="F240" s="93" t="s">
        <v>1302</v>
      </c>
      <c r="G240" s="93" t="s">
        <v>1302</v>
      </c>
      <c r="H240" s="93" t="s">
        <v>1302</v>
      </c>
      <c r="I240" s="75">
        <v>0</v>
      </c>
      <c r="J240" s="93" t="s">
        <v>209</v>
      </c>
      <c r="K240" s="80" t="s">
        <v>975</v>
      </c>
      <c r="L240" s="80" t="s">
        <v>384</v>
      </c>
      <c r="M240" s="65">
        <f>N240+O240+P240+Q240</f>
        <v>1115</v>
      </c>
      <c r="N240" s="75">
        <v>323</v>
      </c>
      <c r="O240" s="75">
        <v>318</v>
      </c>
      <c r="P240" s="75">
        <v>236</v>
      </c>
      <c r="Q240" s="75">
        <v>238</v>
      </c>
    </row>
    <row r="241" spans="1:17" ht="15">
      <c r="C241" s="57">
        <v>1627</v>
      </c>
      <c r="D241" s="81" t="s">
        <v>131</v>
      </c>
      <c r="E241" s="87">
        <v>66</v>
      </c>
      <c r="F241" s="83"/>
      <c r="G241" s="83"/>
      <c r="H241" s="83"/>
      <c r="I241" s="83"/>
      <c r="J241" s="83">
        <v>6400</v>
      </c>
      <c r="K241" s="81" t="s">
        <v>975</v>
      </c>
      <c r="L241" s="81"/>
      <c r="M241" s="81"/>
      <c r="N241" s="14">
        <v>323</v>
      </c>
      <c r="O241" s="14">
        <v>318</v>
      </c>
      <c r="P241" s="14">
        <v>236</v>
      </c>
      <c r="Q241" s="14">
        <v>238</v>
      </c>
    </row>
    <row r="242" spans="1:17" ht="15">
      <c r="C242" s="57">
        <v>1630</v>
      </c>
      <c r="D242" s="81" t="s">
        <v>1298</v>
      </c>
      <c r="E242" s="87">
        <v>25</v>
      </c>
      <c r="F242" s="83"/>
      <c r="G242" s="83"/>
      <c r="H242" s="83"/>
      <c r="I242" s="83"/>
      <c r="J242" s="83">
        <v>6400</v>
      </c>
      <c r="K242" s="81" t="s">
        <v>975</v>
      </c>
      <c r="L242" s="81"/>
      <c r="M242" s="81"/>
      <c r="N242" s="14">
        <v>251</v>
      </c>
      <c r="O242" s="14">
        <v>261</v>
      </c>
      <c r="P242" s="14">
        <v>236</v>
      </c>
      <c r="Q242" s="14">
        <v>238</v>
      </c>
    </row>
    <row r="243" spans="1:17" ht="15">
      <c r="C243" s="57">
        <v>1631</v>
      </c>
      <c r="D243" s="81" t="s">
        <v>1040</v>
      </c>
      <c r="E243" s="87">
        <v>145</v>
      </c>
      <c r="F243" s="83"/>
      <c r="G243" s="83"/>
      <c r="H243" s="83"/>
      <c r="I243" s="83"/>
      <c r="J243" s="83">
        <v>6400</v>
      </c>
      <c r="K243" s="81" t="s">
        <v>975</v>
      </c>
      <c r="L243" s="81"/>
      <c r="M243" s="81"/>
      <c r="N243" s="14">
        <v>570</v>
      </c>
      <c r="O243" s="14">
        <v>396</v>
      </c>
      <c r="P243" s="14">
        <v>402</v>
      </c>
      <c r="Q243" s="14">
        <v>369</v>
      </c>
    </row>
    <row r="244" spans="1:17" ht="15">
      <c r="A244" s="75">
        <v>5838460</v>
      </c>
      <c r="B244" s="75">
        <v>29189773</v>
      </c>
      <c r="C244" s="97" t="s">
        <v>1164</v>
      </c>
      <c r="D244" s="80" t="s">
        <v>782</v>
      </c>
      <c r="E244" s="65">
        <v>37</v>
      </c>
      <c r="F244" s="93" t="s">
        <v>1302</v>
      </c>
      <c r="G244" s="93" t="s">
        <v>1302</v>
      </c>
      <c r="H244" s="93" t="s">
        <v>1302</v>
      </c>
      <c r="I244" s="75">
        <v>0</v>
      </c>
      <c r="J244" s="93" t="s">
        <v>211</v>
      </c>
      <c r="K244" s="80" t="s">
        <v>969</v>
      </c>
      <c r="L244" s="80" t="s">
        <v>212</v>
      </c>
      <c r="M244" s="65">
        <f>N244+O244+P244+Q244</f>
        <v>406</v>
      </c>
      <c r="N244" s="75">
        <v>137</v>
      </c>
      <c r="O244" s="75">
        <v>134</v>
      </c>
      <c r="P244" s="75">
        <v>89</v>
      </c>
      <c r="Q244" s="75">
        <v>46</v>
      </c>
    </row>
    <row r="245" spans="1:17" ht="15">
      <c r="A245" s="75">
        <v>234710</v>
      </c>
      <c r="B245" s="75">
        <v>29189773</v>
      </c>
      <c r="C245" s="97">
        <v>836</v>
      </c>
      <c r="D245" s="80" t="s">
        <v>789</v>
      </c>
      <c r="E245" s="65">
        <v>2</v>
      </c>
      <c r="F245" s="93" t="s">
        <v>1302</v>
      </c>
      <c r="G245" s="93" t="s">
        <v>1302</v>
      </c>
      <c r="H245" s="93" t="s">
        <v>1302</v>
      </c>
      <c r="I245" s="75">
        <v>0</v>
      </c>
      <c r="J245" s="93" t="s">
        <v>209</v>
      </c>
      <c r="K245" s="80" t="s">
        <v>975</v>
      </c>
      <c r="L245" s="80" t="s">
        <v>235</v>
      </c>
      <c r="M245" s="65">
        <f>N245+O245+P245+Q245</f>
        <v>677</v>
      </c>
      <c r="N245">
        <v>169</v>
      </c>
      <c r="O245" s="75">
        <v>151</v>
      </c>
      <c r="P245" s="75">
        <v>240</v>
      </c>
      <c r="Q245" s="75">
        <v>117</v>
      </c>
    </row>
    <row r="246" spans="1:17" ht="15">
      <c r="A246" s="75">
        <v>10016088</v>
      </c>
      <c r="B246" s="75">
        <v>29189773</v>
      </c>
      <c r="C246" s="97">
        <v>1321</v>
      </c>
      <c r="D246" s="80" t="s">
        <v>1072</v>
      </c>
      <c r="E246" s="65">
        <v>2</v>
      </c>
      <c r="F246" s="93" t="s">
        <v>1302</v>
      </c>
      <c r="G246" s="93" t="s">
        <v>1302</v>
      </c>
      <c r="H246" s="93" t="s">
        <v>1302</v>
      </c>
      <c r="I246" s="75">
        <v>0</v>
      </c>
      <c r="J246" s="93" t="s">
        <v>234</v>
      </c>
      <c r="K246" s="80" t="s">
        <v>987</v>
      </c>
      <c r="L246" s="80" t="s">
        <v>373</v>
      </c>
      <c r="M246" s="65">
        <f>N246+O246+P246+Q246</f>
        <v>520</v>
      </c>
      <c r="N246" s="75">
        <v>185</v>
      </c>
      <c r="O246" s="75">
        <v>185</v>
      </c>
      <c r="P246" s="75">
        <v>62</v>
      </c>
      <c r="Q246" s="75">
        <v>88</v>
      </c>
    </row>
    <row r="247" spans="1:17" ht="15">
      <c r="A247" s="75">
        <v>5967</v>
      </c>
      <c r="B247" s="75">
        <v>29189773</v>
      </c>
      <c r="C247" s="97">
        <v>700</v>
      </c>
      <c r="D247" s="80" t="s">
        <v>1045</v>
      </c>
      <c r="E247" s="65">
        <v>10</v>
      </c>
      <c r="F247" s="93" t="s">
        <v>1302</v>
      </c>
      <c r="G247" s="93" t="s">
        <v>1302</v>
      </c>
      <c r="H247" s="93" t="s">
        <v>1302</v>
      </c>
      <c r="I247" s="75">
        <v>0</v>
      </c>
      <c r="J247" s="93" t="s">
        <v>244</v>
      </c>
      <c r="K247" s="80" t="s">
        <v>245</v>
      </c>
      <c r="L247" s="80" t="s">
        <v>356</v>
      </c>
      <c r="M247" s="65">
        <f>N247+O247+P247+Q247</f>
        <v>38</v>
      </c>
      <c r="N247" s="75">
        <v>12</v>
      </c>
      <c r="O247" s="75">
        <v>10</v>
      </c>
      <c r="P247" s="75">
        <v>8</v>
      </c>
      <c r="Q247" s="75">
        <v>8</v>
      </c>
    </row>
    <row r="248" spans="1:17" ht="15">
      <c r="A248" s="75"/>
      <c r="B248" s="75"/>
      <c r="C248" s="97"/>
      <c r="D248" s="80"/>
      <c r="E248" s="65"/>
      <c r="F248" s="93"/>
      <c r="G248" s="93"/>
      <c r="H248" s="93"/>
      <c r="I248" s="75"/>
      <c r="J248" s="93"/>
      <c r="K248" s="80"/>
      <c r="L248" s="80"/>
      <c r="M248" s="65"/>
      <c r="N248" s="75"/>
      <c r="O248" s="75"/>
      <c r="P248" s="75"/>
      <c r="Q248" s="75"/>
    </row>
    <row r="249" spans="1:17">
      <c r="N249">
        <f>SUM(N2:N246)</f>
        <v>162284.75</v>
      </c>
      <c r="O249">
        <f>SUM(O2:O246)</f>
        <v>147374.75</v>
      </c>
      <c r="P249">
        <f>SUM(P2:P246)</f>
        <v>135783.75</v>
      </c>
      <c r="Q249">
        <f>SUM(Q2:Q246)</f>
        <v>124018.75</v>
      </c>
    </row>
    <row r="251" spans="1:17">
      <c r="N251">
        <f>N249-Q249</f>
        <v>38266</v>
      </c>
    </row>
    <row r="252" spans="1:17" ht="13.5" thickBot="1">
      <c r="A252" s="12"/>
      <c r="B252" s="12"/>
      <c r="C252" s="1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>
        <f>(N249-Q249)/N249*100</f>
        <v>23.579541515761647</v>
      </c>
      <c r="O252" s="12"/>
      <c r="P252" s="12"/>
      <c r="Q252" s="12"/>
    </row>
    <row r="253" spans="1:17">
      <c r="A253" s="2"/>
    </row>
    <row r="254" spans="1:17" ht="15">
      <c r="A254" s="75">
        <v>1000019948</v>
      </c>
      <c r="B254" s="75">
        <v>29189773</v>
      </c>
      <c r="C254" s="97"/>
      <c r="D254" s="80" t="s">
        <v>1276</v>
      </c>
      <c r="E254" s="65">
        <v>0</v>
      </c>
      <c r="F254" s="93" t="s">
        <v>1302</v>
      </c>
      <c r="G254" s="93" t="s">
        <v>1302</v>
      </c>
      <c r="H254" s="93" t="s">
        <v>1302</v>
      </c>
      <c r="I254" s="75">
        <v>0</v>
      </c>
      <c r="J254" s="93" t="s">
        <v>229</v>
      </c>
      <c r="K254" s="80" t="s">
        <v>1302</v>
      </c>
      <c r="L254" s="80" t="s">
        <v>332</v>
      </c>
      <c r="M254" s="65">
        <f>N254+O254+P254+Q254</f>
        <v>94</v>
      </c>
      <c r="N254" s="75">
        <v>27</v>
      </c>
      <c r="O254" s="75">
        <v>27</v>
      </c>
      <c r="P254" s="75">
        <v>0</v>
      </c>
      <c r="Q254" s="75">
        <v>40</v>
      </c>
    </row>
    <row r="256" spans="1:17" ht="15">
      <c r="A256" s="75">
        <v>1821</v>
      </c>
      <c r="B256" s="75">
        <v>29189773</v>
      </c>
      <c r="C256" s="97">
        <v>700</v>
      </c>
      <c r="D256" s="80" t="s">
        <v>1297</v>
      </c>
      <c r="E256" s="65">
        <v>3</v>
      </c>
      <c r="F256" s="93" t="s">
        <v>1302</v>
      </c>
      <c r="G256" s="93" t="s">
        <v>1302</v>
      </c>
      <c r="H256" s="93" t="s">
        <v>1302</v>
      </c>
      <c r="I256" s="75">
        <v>0</v>
      </c>
      <c r="J256" s="93" t="s">
        <v>244</v>
      </c>
      <c r="K256" s="80" t="s">
        <v>245</v>
      </c>
      <c r="L256" s="80" t="s">
        <v>270</v>
      </c>
      <c r="M256" s="65">
        <f t="shared" ref="M256:M262" si="9">N256+O256+P256+Q256</f>
        <v>30</v>
      </c>
      <c r="N256" s="75">
        <v>14</v>
      </c>
      <c r="O256" s="75">
        <v>4</v>
      </c>
      <c r="P256" s="75">
        <v>2</v>
      </c>
      <c r="Q256" s="75">
        <v>10</v>
      </c>
    </row>
    <row r="257" spans="1:18" ht="15">
      <c r="A257" s="75">
        <v>13161</v>
      </c>
      <c r="B257" s="75">
        <v>29189773</v>
      </c>
      <c r="C257" s="97">
        <v>300</v>
      </c>
      <c r="D257" s="80" t="s">
        <v>449</v>
      </c>
      <c r="E257" s="65">
        <v>22</v>
      </c>
      <c r="F257" s="93" t="s">
        <v>1302</v>
      </c>
      <c r="G257" s="93" t="s">
        <v>1302</v>
      </c>
      <c r="H257" s="93" t="s">
        <v>1302</v>
      </c>
      <c r="I257" s="75">
        <v>0</v>
      </c>
      <c r="J257" s="93" t="s">
        <v>244</v>
      </c>
      <c r="K257" s="80" t="s">
        <v>245</v>
      </c>
      <c r="L257" s="80" t="s">
        <v>294</v>
      </c>
      <c r="M257" s="65">
        <f t="shared" si="9"/>
        <v>41</v>
      </c>
      <c r="N257">
        <v>12</v>
      </c>
      <c r="O257" s="75">
        <v>12</v>
      </c>
      <c r="P257" s="75">
        <v>8</v>
      </c>
      <c r="Q257" s="75">
        <v>9</v>
      </c>
    </row>
    <row r="258" spans="1:18" ht="15">
      <c r="A258" s="75">
        <v>239372</v>
      </c>
      <c r="B258" s="75">
        <v>29189773</v>
      </c>
      <c r="C258" s="97"/>
      <c r="D258" s="80" t="s">
        <v>1298</v>
      </c>
      <c r="E258" s="65">
        <v>93</v>
      </c>
      <c r="F258" s="93" t="s">
        <v>1302</v>
      </c>
      <c r="G258" s="93" t="s">
        <v>1302</v>
      </c>
      <c r="H258" s="93" t="s">
        <v>1302</v>
      </c>
      <c r="I258" s="75">
        <v>1</v>
      </c>
      <c r="J258" s="93" t="s">
        <v>209</v>
      </c>
      <c r="K258" s="80" t="s">
        <v>975</v>
      </c>
      <c r="L258" s="80" t="s">
        <v>227</v>
      </c>
      <c r="M258" s="65">
        <f t="shared" si="9"/>
        <v>755</v>
      </c>
      <c r="N258">
        <v>89</v>
      </c>
      <c r="O258" s="75">
        <v>193</v>
      </c>
      <c r="P258" s="75">
        <v>193</v>
      </c>
      <c r="Q258" s="75">
        <v>280</v>
      </c>
    </row>
    <row r="259" spans="1:18" ht="15">
      <c r="A259" s="75">
        <v>133159</v>
      </c>
      <c r="B259" s="75">
        <v>29189773</v>
      </c>
      <c r="C259" s="97"/>
      <c r="D259" s="60" t="s">
        <v>1298</v>
      </c>
      <c r="E259" s="59">
        <v>93</v>
      </c>
      <c r="F259" s="60" t="s">
        <v>1302</v>
      </c>
      <c r="G259" s="60" t="s">
        <v>1302</v>
      </c>
      <c r="H259" s="60" t="s">
        <v>1302</v>
      </c>
      <c r="I259" s="59">
        <v>2</v>
      </c>
      <c r="J259" s="60" t="s">
        <v>209</v>
      </c>
      <c r="K259" s="60" t="s">
        <v>975</v>
      </c>
      <c r="L259" s="80" t="s">
        <v>228</v>
      </c>
      <c r="M259" s="65">
        <f t="shared" si="9"/>
        <v>515</v>
      </c>
      <c r="N259">
        <v>176</v>
      </c>
      <c r="O259" s="75">
        <v>109</v>
      </c>
      <c r="P259" s="75">
        <v>109</v>
      </c>
      <c r="Q259" s="75">
        <v>121</v>
      </c>
    </row>
    <row r="260" spans="1:18" ht="15">
      <c r="A260" s="75">
        <v>1000010649</v>
      </c>
      <c r="B260" s="75">
        <v>29189773</v>
      </c>
      <c r="C260" s="97">
        <v>1300</v>
      </c>
      <c r="D260" s="80" t="s">
        <v>292</v>
      </c>
      <c r="E260" s="65">
        <v>56</v>
      </c>
      <c r="F260" s="93" t="s">
        <v>1302</v>
      </c>
      <c r="G260" s="93" t="s">
        <v>1302</v>
      </c>
      <c r="H260" s="93" t="s">
        <v>1302</v>
      </c>
      <c r="I260" s="75">
        <v>0</v>
      </c>
      <c r="J260" s="93" t="s">
        <v>229</v>
      </c>
      <c r="K260" s="80" t="s">
        <v>1302</v>
      </c>
      <c r="L260" s="80" t="s">
        <v>293</v>
      </c>
      <c r="M260" s="65">
        <f t="shared" si="9"/>
        <v>372</v>
      </c>
      <c r="N260" s="75">
        <v>114</v>
      </c>
      <c r="O260" s="75">
        <v>118</v>
      </c>
      <c r="P260" s="75">
        <v>62</v>
      </c>
      <c r="Q260" s="75">
        <v>78</v>
      </c>
    </row>
    <row r="261" spans="1:18" ht="15">
      <c r="A261" s="78">
        <v>526649</v>
      </c>
      <c r="B261" s="78">
        <v>29189773</v>
      </c>
      <c r="C261" s="99">
        <v>1300</v>
      </c>
      <c r="D261" s="101" t="s">
        <v>452</v>
      </c>
      <c r="E261" s="104">
        <v>78</v>
      </c>
      <c r="F261" s="108" t="s">
        <v>1302</v>
      </c>
      <c r="G261" s="108" t="s">
        <v>1302</v>
      </c>
      <c r="H261" s="108" t="s">
        <v>1302</v>
      </c>
      <c r="I261" s="78">
        <v>0</v>
      </c>
      <c r="J261" s="108" t="s">
        <v>209</v>
      </c>
      <c r="K261" s="101" t="s">
        <v>975</v>
      </c>
      <c r="L261" s="101" t="s">
        <v>311</v>
      </c>
      <c r="M261" s="104">
        <f t="shared" si="9"/>
        <v>220</v>
      </c>
      <c r="N261" s="78">
        <v>87</v>
      </c>
      <c r="O261" s="78">
        <v>75</v>
      </c>
      <c r="P261" s="78">
        <v>29</v>
      </c>
      <c r="Q261" s="78">
        <v>29</v>
      </c>
      <c r="R261" s="70"/>
    </row>
    <row r="262" spans="1:18" ht="15">
      <c r="A262" s="75">
        <v>622508</v>
      </c>
      <c r="B262" s="75">
        <v>29189773</v>
      </c>
      <c r="C262" s="97">
        <v>1300</v>
      </c>
      <c r="D262" s="80" t="s">
        <v>1289</v>
      </c>
      <c r="E262" s="65">
        <v>15</v>
      </c>
      <c r="F262" s="93" t="s">
        <v>1302</v>
      </c>
      <c r="G262" s="93" t="s">
        <v>1302</v>
      </c>
      <c r="H262" s="93" t="s">
        <v>1302</v>
      </c>
      <c r="I262" s="75">
        <v>0</v>
      </c>
      <c r="J262" s="93" t="s">
        <v>211</v>
      </c>
      <c r="K262" s="80" t="s">
        <v>969</v>
      </c>
      <c r="L262" s="80" t="s">
        <v>317</v>
      </c>
      <c r="M262" s="65">
        <f t="shared" si="9"/>
        <v>280</v>
      </c>
      <c r="N262" s="75">
        <v>209</v>
      </c>
      <c r="O262" s="75">
        <v>10</v>
      </c>
      <c r="P262" s="75">
        <v>52</v>
      </c>
      <c r="Q262" s="75">
        <v>9</v>
      </c>
    </row>
  </sheetData>
  <phoneticPr fontId="18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3"/>
  <sheetViews>
    <sheetView topLeftCell="A268" workbookViewId="0">
      <selection activeCell="E283" sqref="A1:E283"/>
    </sheetView>
  </sheetViews>
  <sheetFormatPr defaultRowHeight="12.75"/>
  <cols>
    <col min="1" max="1" width="23.7109375" bestFit="1" customWidth="1"/>
    <col min="2" max="2" width="4" bestFit="1" customWidth="1"/>
    <col min="3" max="3" width="5" bestFit="1" customWidth="1"/>
    <col min="4" max="4" width="31.140625" bestFit="1" customWidth="1"/>
    <col min="5" max="5" width="15.7109375" bestFit="1" customWidth="1"/>
  </cols>
  <sheetData>
    <row r="1" spans="1:5">
      <c r="A1" s="1" t="s">
        <v>1280</v>
      </c>
      <c r="B1">
        <v>1</v>
      </c>
      <c r="C1">
        <v>6440</v>
      </c>
      <c r="D1" s="1" t="s">
        <v>1344</v>
      </c>
      <c r="E1" s="1" t="s">
        <v>1345</v>
      </c>
    </row>
    <row r="2" spans="1:5">
      <c r="A2" s="1" t="s">
        <v>1281</v>
      </c>
      <c r="C2">
        <v>6430</v>
      </c>
      <c r="D2" s="1" t="s">
        <v>1344</v>
      </c>
      <c r="E2" s="1" t="s">
        <v>1345</v>
      </c>
    </row>
    <row r="3" spans="1:5">
      <c r="A3" s="1" t="s">
        <v>1286</v>
      </c>
      <c r="B3">
        <v>15</v>
      </c>
      <c r="C3">
        <v>6400</v>
      </c>
      <c r="D3" s="1" t="s">
        <v>1344</v>
      </c>
      <c r="E3" s="1" t="s">
        <v>1345</v>
      </c>
    </row>
    <row r="4" spans="1:5">
      <c r="A4" s="1" t="s">
        <v>1295</v>
      </c>
      <c r="B4">
        <v>14</v>
      </c>
      <c r="C4">
        <v>6440</v>
      </c>
      <c r="D4" s="1" t="s">
        <v>1344</v>
      </c>
      <c r="E4" s="1" t="s">
        <v>1345</v>
      </c>
    </row>
    <row r="5" spans="1:5">
      <c r="A5" s="1" t="s">
        <v>1296</v>
      </c>
      <c r="B5">
        <v>2</v>
      </c>
      <c r="C5">
        <v>6440</v>
      </c>
      <c r="D5" s="1" t="s">
        <v>1344</v>
      </c>
      <c r="E5" s="1" t="s">
        <v>1345</v>
      </c>
    </row>
    <row r="6" spans="1:5">
      <c r="A6" s="1" t="s">
        <v>1298</v>
      </c>
      <c r="C6">
        <v>6400</v>
      </c>
      <c r="D6" s="1" t="s">
        <v>1344</v>
      </c>
      <c r="E6" s="1" t="s">
        <v>1345</v>
      </c>
    </row>
    <row r="7" spans="1:5">
      <c r="A7" s="1" t="s">
        <v>1299</v>
      </c>
      <c r="B7">
        <v>2</v>
      </c>
      <c r="C7">
        <v>6440</v>
      </c>
      <c r="D7" s="1" t="s">
        <v>1344</v>
      </c>
      <c r="E7" s="1" t="s">
        <v>1345</v>
      </c>
    </row>
    <row r="8" spans="1:5">
      <c r="A8" s="1" t="s">
        <v>603</v>
      </c>
      <c r="B8">
        <v>39</v>
      </c>
      <c r="C8">
        <v>6440</v>
      </c>
      <c r="D8" s="1" t="s">
        <v>1344</v>
      </c>
      <c r="E8" s="1" t="s">
        <v>1345</v>
      </c>
    </row>
    <row r="9" spans="1:5">
      <c r="A9" s="1" t="s">
        <v>604</v>
      </c>
      <c r="C9">
        <v>6400</v>
      </c>
      <c r="D9" s="1" t="s">
        <v>1344</v>
      </c>
      <c r="E9" s="1" t="s">
        <v>1345</v>
      </c>
    </row>
    <row r="10" spans="1:5">
      <c r="A10" s="1" t="s">
        <v>807</v>
      </c>
      <c r="B10">
        <v>79</v>
      </c>
      <c r="C10">
        <v>6300</v>
      </c>
      <c r="D10" s="1" t="s">
        <v>1344</v>
      </c>
      <c r="E10" s="1" t="s">
        <v>1345</v>
      </c>
    </row>
    <row r="11" spans="1:5">
      <c r="A11" s="1" t="s">
        <v>808</v>
      </c>
      <c r="C11">
        <v>6400</v>
      </c>
      <c r="D11" s="1" t="s">
        <v>1344</v>
      </c>
      <c r="E11" s="1" t="s">
        <v>1345</v>
      </c>
    </row>
    <row r="12" spans="1:5">
      <c r="A12" s="1" t="s">
        <v>809</v>
      </c>
      <c r="C12">
        <v>6470</v>
      </c>
      <c r="D12" s="1" t="s">
        <v>1344</v>
      </c>
      <c r="E12" s="1" t="s">
        <v>1345</v>
      </c>
    </row>
    <row r="13" spans="1:5">
      <c r="A13" s="1" t="s">
        <v>811</v>
      </c>
      <c r="B13">
        <v>85</v>
      </c>
      <c r="C13">
        <v>6400</v>
      </c>
      <c r="D13" s="1" t="s">
        <v>1344</v>
      </c>
      <c r="E13" s="1" t="s">
        <v>1345</v>
      </c>
    </row>
    <row r="14" spans="1:5">
      <c r="A14" s="1" t="s">
        <v>812</v>
      </c>
      <c r="C14">
        <v>6310</v>
      </c>
      <c r="D14" s="1" t="s">
        <v>1344</v>
      </c>
      <c r="E14" s="1" t="s">
        <v>1345</v>
      </c>
    </row>
    <row r="15" spans="1:5">
      <c r="A15" s="1" t="s">
        <v>1040</v>
      </c>
      <c r="C15">
        <v>6300</v>
      </c>
      <c r="D15" s="1" t="s">
        <v>1344</v>
      </c>
      <c r="E15" s="1" t="s">
        <v>1345</v>
      </c>
    </row>
    <row r="16" spans="1:5">
      <c r="A16" s="1" t="s">
        <v>1043</v>
      </c>
      <c r="C16">
        <v>6310</v>
      </c>
      <c r="D16" s="1" t="s">
        <v>1344</v>
      </c>
      <c r="E16" s="1" t="s">
        <v>1345</v>
      </c>
    </row>
    <row r="17" spans="1:5">
      <c r="A17" s="1" t="s">
        <v>1046</v>
      </c>
      <c r="B17">
        <v>20</v>
      </c>
      <c r="C17">
        <v>6440</v>
      </c>
      <c r="D17" s="1" t="s">
        <v>1344</v>
      </c>
      <c r="E17" s="1" t="s">
        <v>1345</v>
      </c>
    </row>
    <row r="18" spans="1:5">
      <c r="A18" s="1" t="s">
        <v>1293</v>
      </c>
      <c r="B18">
        <v>20</v>
      </c>
      <c r="C18">
        <v>6440</v>
      </c>
      <c r="D18" s="1" t="s">
        <v>1344</v>
      </c>
      <c r="E18" s="1" t="s">
        <v>1345</v>
      </c>
    </row>
    <row r="19" spans="1:5">
      <c r="A19" s="1" t="s">
        <v>1048</v>
      </c>
      <c r="B19">
        <v>1</v>
      </c>
      <c r="C19">
        <v>6430</v>
      </c>
      <c r="D19" s="1" t="s">
        <v>1344</v>
      </c>
      <c r="E19" s="1" t="s">
        <v>1345</v>
      </c>
    </row>
    <row r="20" spans="1:5">
      <c r="A20" s="1" t="s">
        <v>1052</v>
      </c>
      <c r="C20">
        <v>6430</v>
      </c>
      <c r="D20" s="1" t="s">
        <v>1344</v>
      </c>
      <c r="E20" s="1" t="s">
        <v>1345</v>
      </c>
    </row>
    <row r="21" spans="1:5">
      <c r="A21" s="1" t="s">
        <v>1293</v>
      </c>
      <c r="C21">
        <v>6430</v>
      </c>
      <c r="D21" s="1" t="s">
        <v>1344</v>
      </c>
      <c r="E21" s="1" t="s">
        <v>1345</v>
      </c>
    </row>
    <row r="22" spans="1:5">
      <c r="A22" s="1" t="s">
        <v>1053</v>
      </c>
      <c r="C22">
        <v>6300</v>
      </c>
      <c r="D22" s="1" t="s">
        <v>1344</v>
      </c>
      <c r="E22" s="1" t="s">
        <v>1345</v>
      </c>
    </row>
    <row r="23" spans="1:5">
      <c r="A23" s="1" t="s">
        <v>1055</v>
      </c>
      <c r="B23">
        <v>9</v>
      </c>
      <c r="C23">
        <v>6300</v>
      </c>
      <c r="D23" s="1" t="s">
        <v>1344</v>
      </c>
      <c r="E23" s="1" t="s">
        <v>1345</v>
      </c>
    </row>
    <row r="24" spans="1:5">
      <c r="A24" s="1" t="s">
        <v>1056</v>
      </c>
      <c r="B24">
        <v>16</v>
      </c>
      <c r="C24">
        <v>6400</v>
      </c>
      <c r="D24" s="1" t="s">
        <v>1344</v>
      </c>
      <c r="E24" s="1" t="s">
        <v>1345</v>
      </c>
    </row>
    <row r="25" spans="1:5">
      <c r="A25" s="1" t="s">
        <v>1061</v>
      </c>
      <c r="C25">
        <v>6430</v>
      </c>
      <c r="D25" s="1" t="s">
        <v>1344</v>
      </c>
      <c r="E25" s="1" t="s">
        <v>1345</v>
      </c>
    </row>
    <row r="26" spans="1:5">
      <c r="A26" s="1" t="s">
        <v>1062</v>
      </c>
      <c r="B26">
        <v>1</v>
      </c>
      <c r="C26">
        <v>6430</v>
      </c>
      <c r="D26" s="1" t="s">
        <v>1344</v>
      </c>
      <c r="E26" s="1" t="s">
        <v>1345</v>
      </c>
    </row>
    <row r="27" spans="1:5">
      <c r="A27" s="1" t="s">
        <v>1051</v>
      </c>
      <c r="B27">
        <v>26</v>
      </c>
      <c r="C27">
        <v>6430</v>
      </c>
      <c r="D27" s="1" t="s">
        <v>1344</v>
      </c>
      <c r="E27" s="1" t="s">
        <v>1345</v>
      </c>
    </row>
    <row r="28" spans="1:5">
      <c r="A28" s="1" t="s">
        <v>1067</v>
      </c>
      <c r="B28">
        <v>26</v>
      </c>
      <c r="C28">
        <v>6470</v>
      </c>
      <c r="D28" s="1" t="s">
        <v>1344</v>
      </c>
      <c r="E28" s="1" t="s">
        <v>1345</v>
      </c>
    </row>
    <row r="29" spans="1:5">
      <c r="A29" s="1" t="s">
        <v>1070</v>
      </c>
      <c r="C29">
        <v>6430</v>
      </c>
      <c r="D29" s="1" t="s">
        <v>1344</v>
      </c>
      <c r="E29" s="1" t="s">
        <v>1345</v>
      </c>
    </row>
    <row r="30" spans="1:5">
      <c r="A30" s="1" t="s">
        <v>1284</v>
      </c>
      <c r="B30">
        <v>0</v>
      </c>
      <c r="C30">
        <v>6400</v>
      </c>
      <c r="D30" s="1" t="s">
        <v>1344</v>
      </c>
      <c r="E30" s="1" t="s">
        <v>1345</v>
      </c>
    </row>
    <row r="31" spans="1:5">
      <c r="A31" s="1" t="s">
        <v>1076</v>
      </c>
      <c r="C31">
        <v>6430</v>
      </c>
      <c r="D31" s="1" t="s">
        <v>1344</v>
      </c>
      <c r="E31" s="1" t="s">
        <v>1345</v>
      </c>
    </row>
    <row r="32" spans="1:5">
      <c r="A32" s="1" t="s">
        <v>1038</v>
      </c>
      <c r="B32">
        <v>12</v>
      </c>
      <c r="C32">
        <v>6430</v>
      </c>
      <c r="D32" s="1" t="s">
        <v>1344</v>
      </c>
      <c r="E32" s="1" t="s">
        <v>1345</v>
      </c>
    </row>
    <row r="33" spans="1:5">
      <c r="A33" s="1" t="s">
        <v>1078</v>
      </c>
      <c r="B33">
        <v>0</v>
      </c>
      <c r="C33">
        <v>6400</v>
      </c>
      <c r="D33" s="1" t="s">
        <v>1344</v>
      </c>
      <c r="E33" s="1" t="s">
        <v>1345</v>
      </c>
    </row>
    <row r="34" spans="1:5">
      <c r="A34" s="1" t="s">
        <v>1079</v>
      </c>
      <c r="B34">
        <v>0</v>
      </c>
      <c r="C34">
        <v>6300</v>
      </c>
      <c r="D34" s="1" t="s">
        <v>1344</v>
      </c>
      <c r="E34" s="1" t="s">
        <v>1345</v>
      </c>
    </row>
    <row r="35" spans="1:5">
      <c r="A35" s="1" t="s">
        <v>638</v>
      </c>
      <c r="C35">
        <v>6430</v>
      </c>
      <c r="D35" s="1" t="s">
        <v>1344</v>
      </c>
      <c r="E35" s="1" t="s">
        <v>1345</v>
      </c>
    </row>
    <row r="36" spans="1:5">
      <c r="A36" s="1" t="s">
        <v>633</v>
      </c>
      <c r="B36">
        <v>42</v>
      </c>
      <c r="C36">
        <v>6400</v>
      </c>
      <c r="D36" s="1" t="s">
        <v>1344</v>
      </c>
      <c r="E36" s="1" t="s">
        <v>1345</v>
      </c>
    </row>
    <row r="37" spans="1:5">
      <c r="A37" s="1" t="s">
        <v>653</v>
      </c>
      <c r="B37">
        <v>2</v>
      </c>
      <c r="C37">
        <v>6430</v>
      </c>
      <c r="D37" s="1" t="s">
        <v>1344</v>
      </c>
      <c r="E37" s="1" t="s">
        <v>1345</v>
      </c>
    </row>
    <row r="38" spans="1:5">
      <c r="A38" s="1" t="s">
        <v>757</v>
      </c>
      <c r="C38">
        <v>6430</v>
      </c>
      <c r="D38" s="1" t="s">
        <v>1344</v>
      </c>
      <c r="E38" s="1" t="s">
        <v>1345</v>
      </c>
    </row>
    <row r="39" spans="1:5">
      <c r="A39" s="1" t="s">
        <v>758</v>
      </c>
      <c r="B39">
        <v>0</v>
      </c>
      <c r="C39">
        <v>6440</v>
      </c>
      <c r="D39" s="1" t="s">
        <v>1344</v>
      </c>
      <c r="E39" s="1" t="s">
        <v>1345</v>
      </c>
    </row>
    <row r="40" spans="1:5">
      <c r="A40" s="1" t="s">
        <v>760</v>
      </c>
      <c r="B40">
        <v>46</v>
      </c>
      <c r="C40">
        <v>6400</v>
      </c>
      <c r="D40" s="1" t="s">
        <v>1344</v>
      </c>
      <c r="E40" s="1" t="s">
        <v>1345</v>
      </c>
    </row>
    <row r="41" spans="1:5">
      <c r="A41" s="1" t="s">
        <v>762</v>
      </c>
      <c r="B41">
        <v>35</v>
      </c>
      <c r="C41">
        <v>6430</v>
      </c>
      <c r="D41" s="1" t="s">
        <v>1344</v>
      </c>
      <c r="E41" s="1" t="s">
        <v>1345</v>
      </c>
    </row>
    <row r="42" spans="1:5">
      <c r="A42" s="1" t="s">
        <v>1274</v>
      </c>
      <c r="B42">
        <v>54</v>
      </c>
      <c r="C42">
        <v>6430</v>
      </c>
      <c r="D42" s="1" t="s">
        <v>1344</v>
      </c>
      <c r="E42" s="1" t="s">
        <v>1345</v>
      </c>
    </row>
    <row r="43" spans="1:5">
      <c r="A43" s="1" t="s">
        <v>763</v>
      </c>
      <c r="B43">
        <v>1</v>
      </c>
      <c r="C43">
        <v>6430</v>
      </c>
      <c r="D43" s="1" t="s">
        <v>1344</v>
      </c>
      <c r="E43" s="1" t="s">
        <v>1345</v>
      </c>
    </row>
    <row r="44" spans="1:5">
      <c r="A44" s="1" t="s">
        <v>766</v>
      </c>
      <c r="B44">
        <v>27</v>
      </c>
      <c r="C44">
        <v>6400</v>
      </c>
      <c r="D44" s="1" t="s">
        <v>1344</v>
      </c>
      <c r="E44" s="1" t="s">
        <v>1345</v>
      </c>
    </row>
    <row r="45" spans="1:5">
      <c r="A45" s="1" t="s">
        <v>1341</v>
      </c>
      <c r="C45">
        <v>6300</v>
      </c>
      <c r="D45" s="1" t="s">
        <v>1344</v>
      </c>
      <c r="E45" s="1" t="s">
        <v>1345</v>
      </c>
    </row>
    <row r="46" spans="1:5">
      <c r="A46" s="1" t="s">
        <v>769</v>
      </c>
      <c r="B46">
        <v>11</v>
      </c>
      <c r="C46">
        <v>6470</v>
      </c>
      <c r="D46" s="1" t="s">
        <v>1344</v>
      </c>
      <c r="E46" s="1" t="s">
        <v>1345</v>
      </c>
    </row>
    <row r="47" spans="1:5">
      <c r="A47" s="1" t="s">
        <v>767</v>
      </c>
      <c r="B47">
        <v>1</v>
      </c>
      <c r="C47">
        <v>6310</v>
      </c>
      <c r="D47" s="1" t="s">
        <v>1344</v>
      </c>
      <c r="E47" s="1" t="s">
        <v>1345</v>
      </c>
    </row>
    <row r="48" spans="1:5">
      <c r="A48" s="1" t="s">
        <v>771</v>
      </c>
      <c r="C48">
        <v>6430</v>
      </c>
      <c r="D48" s="1" t="s">
        <v>1344</v>
      </c>
      <c r="E48" s="1" t="s">
        <v>1345</v>
      </c>
    </row>
    <row r="49" spans="1:5">
      <c r="A49" s="1" t="s">
        <v>772</v>
      </c>
      <c r="C49">
        <v>6430</v>
      </c>
      <c r="D49" s="1" t="s">
        <v>1344</v>
      </c>
      <c r="E49" s="1" t="s">
        <v>1345</v>
      </c>
    </row>
    <row r="50" spans="1:5">
      <c r="A50" s="1" t="s">
        <v>773</v>
      </c>
      <c r="B50">
        <v>20</v>
      </c>
      <c r="C50">
        <v>6430</v>
      </c>
      <c r="D50" s="1" t="s">
        <v>1344</v>
      </c>
      <c r="E50" s="1" t="s">
        <v>1345</v>
      </c>
    </row>
    <row r="51" spans="1:5">
      <c r="A51" s="1" t="s">
        <v>774</v>
      </c>
      <c r="B51">
        <v>24</v>
      </c>
      <c r="C51">
        <v>6400</v>
      </c>
      <c r="D51" s="1" t="s">
        <v>1344</v>
      </c>
      <c r="E51" s="1" t="s">
        <v>1345</v>
      </c>
    </row>
    <row r="52" spans="1:5">
      <c r="A52" s="1" t="s">
        <v>775</v>
      </c>
      <c r="B52">
        <v>2</v>
      </c>
      <c r="C52">
        <v>6400</v>
      </c>
      <c r="D52" s="1" t="s">
        <v>1344</v>
      </c>
      <c r="E52" s="1" t="s">
        <v>1345</v>
      </c>
    </row>
    <row r="53" spans="1:5">
      <c r="A53" s="1" t="s">
        <v>777</v>
      </c>
      <c r="C53">
        <v>6430</v>
      </c>
      <c r="D53" s="1" t="s">
        <v>1344</v>
      </c>
      <c r="E53" s="1" t="s">
        <v>1345</v>
      </c>
    </row>
    <row r="54" spans="1:5">
      <c r="A54" s="1" t="s">
        <v>785</v>
      </c>
      <c r="C54">
        <v>6300</v>
      </c>
      <c r="D54" s="1" t="s">
        <v>1344</v>
      </c>
      <c r="E54" s="1" t="s">
        <v>1345</v>
      </c>
    </row>
    <row r="55" spans="1:5">
      <c r="A55" s="1" t="s">
        <v>786</v>
      </c>
      <c r="C55">
        <v>6470</v>
      </c>
      <c r="D55" s="1" t="s">
        <v>1344</v>
      </c>
      <c r="E55" s="1" t="s">
        <v>1345</v>
      </c>
    </row>
    <row r="56" spans="1:5">
      <c r="A56" s="1" t="s">
        <v>639</v>
      </c>
      <c r="B56">
        <v>29</v>
      </c>
      <c r="C56">
        <v>6440</v>
      </c>
      <c r="D56" s="1" t="s">
        <v>1344</v>
      </c>
      <c r="E56" s="1" t="s">
        <v>1345</v>
      </c>
    </row>
    <row r="57" spans="1:5">
      <c r="A57" s="1" t="s">
        <v>787</v>
      </c>
      <c r="C57">
        <v>6430</v>
      </c>
      <c r="D57" s="1" t="s">
        <v>1344</v>
      </c>
      <c r="E57" s="1" t="s">
        <v>1345</v>
      </c>
    </row>
    <row r="58" spans="1:5">
      <c r="A58" s="1" t="s">
        <v>1063</v>
      </c>
      <c r="B58">
        <v>2</v>
      </c>
      <c r="C58">
        <v>6430</v>
      </c>
      <c r="D58" s="1" t="s">
        <v>1344</v>
      </c>
      <c r="E58" s="1" t="s">
        <v>1345</v>
      </c>
    </row>
    <row r="59" spans="1:5">
      <c r="A59" s="1" t="s">
        <v>790</v>
      </c>
      <c r="C59">
        <v>6300</v>
      </c>
      <c r="D59" s="1" t="s">
        <v>1344</v>
      </c>
      <c r="E59" s="1" t="s">
        <v>1345</v>
      </c>
    </row>
    <row r="60" spans="1:5">
      <c r="A60" s="1" t="s">
        <v>791</v>
      </c>
      <c r="B60">
        <v>0</v>
      </c>
      <c r="C60">
        <v>6440</v>
      </c>
      <c r="D60" s="1" t="s">
        <v>1344</v>
      </c>
      <c r="E60" s="1" t="s">
        <v>1345</v>
      </c>
    </row>
    <row r="61" spans="1:5">
      <c r="A61" s="1" t="s">
        <v>793</v>
      </c>
      <c r="C61">
        <v>6470</v>
      </c>
      <c r="D61" s="1" t="s">
        <v>1344</v>
      </c>
      <c r="E61" s="1" t="s">
        <v>1345</v>
      </c>
    </row>
    <row r="62" spans="1:5">
      <c r="A62" s="1" t="s">
        <v>1278</v>
      </c>
      <c r="C62">
        <v>6470</v>
      </c>
      <c r="D62" s="1" t="s">
        <v>1344</v>
      </c>
      <c r="E62" s="1" t="s">
        <v>1345</v>
      </c>
    </row>
    <row r="63" spans="1:5">
      <c r="A63" s="1" t="s">
        <v>1074</v>
      </c>
      <c r="B63">
        <v>43</v>
      </c>
      <c r="C63">
        <v>6470</v>
      </c>
      <c r="D63" s="1" t="s">
        <v>1344</v>
      </c>
      <c r="E63" s="1" t="s">
        <v>1345</v>
      </c>
    </row>
    <row r="64" spans="1:5">
      <c r="A64" s="1" t="s">
        <v>794</v>
      </c>
      <c r="C64">
        <v>6470</v>
      </c>
      <c r="D64" s="1" t="s">
        <v>1344</v>
      </c>
      <c r="E64" s="1" t="s">
        <v>1345</v>
      </c>
    </row>
    <row r="65" spans="1:5">
      <c r="A65" s="1" t="s">
        <v>796</v>
      </c>
      <c r="B65">
        <v>22</v>
      </c>
      <c r="C65">
        <v>6430</v>
      </c>
      <c r="D65" s="1" t="s">
        <v>1344</v>
      </c>
      <c r="E65" s="1" t="s">
        <v>1345</v>
      </c>
    </row>
    <row r="66" spans="1:5">
      <c r="A66" s="1" t="s">
        <v>798</v>
      </c>
      <c r="B66">
        <v>15</v>
      </c>
      <c r="C66">
        <v>6300</v>
      </c>
      <c r="D66" s="1" t="s">
        <v>1344</v>
      </c>
      <c r="E66" s="1" t="s">
        <v>1345</v>
      </c>
    </row>
    <row r="67" spans="1:5">
      <c r="A67" s="1" t="s">
        <v>1290</v>
      </c>
      <c r="C67">
        <v>6300</v>
      </c>
      <c r="D67" s="1" t="s">
        <v>1344</v>
      </c>
      <c r="E67" s="1" t="s">
        <v>1345</v>
      </c>
    </row>
    <row r="68" spans="1:5">
      <c r="A68" s="1" t="s">
        <v>779</v>
      </c>
      <c r="B68">
        <v>86</v>
      </c>
      <c r="C68">
        <v>6430</v>
      </c>
      <c r="D68" s="1" t="s">
        <v>1344</v>
      </c>
      <c r="E68" s="1" t="s">
        <v>1345</v>
      </c>
    </row>
    <row r="69" spans="1:5">
      <c r="A69" s="1" t="s">
        <v>802</v>
      </c>
      <c r="B69">
        <v>20</v>
      </c>
      <c r="C69">
        <v>6430</v>
      </c>
      <c r="D69" s="1" t="s">
        <v>1344</v>
      </c>
      <c r="E69" s="1" t="s">
        <v>1345</v>
      </c>
    </row>
    <row r="70" spans="1:5">
      <c r="A70" s="1" t="s">
        <v>803</v>
      </c>
      <c r="C70">
        <v>6430</v>
      </c>
      <c r="D70" s="1" t="s">
        <v>1344</v>
      </c>
      <c r="E70" s="1" t="s">
        <v>1345</v>
      </c>
    </row>
    <row r="71" spans="1:5">
      <c r="A71" s="1" t="s">
        <v>1274</v>
      </c>
      <c r="C71">
        <v>6430</v>
      </c>
      <c r="D71" s="1" t="s">
        <v>1344</v>
      </c>
      <c r="E71" s="1" t="s">
        <v>1345</v>
      </c>
    </row>
    <row r="72" spans="1:5">
      <c r="A72" s="1" t="s">
        <v>804</v>
      </c>
      <c r="B72">
        <v>11</v>
      </c>
      <c r="C72">
        <v>6430</v>
      </c>
      <c r="D72" s="1" t="s">
        <v>1344</v>
      </c>
      <c r="E72" s="1" t="s">
        <v>1345</v>
      </c>
    </row>
    <row r="73" spans="1:5">
      <c r="A73" s="1" t="s">
        <v>805</v>
      </c>
      <c r="B73">
        <v>10</v>
      </c>
      <c r="C73">
        <v>6440</v>
      </c>
      <c r="D73" s="1" t="s">
        <v>1344</v>
      </c>
      <c r="E73" s="1" t="s">
        <v>1345</v>
      </c>
    </row>
    <row r="74" spans="1:5">
      <c r="A74" s="1" t="s">
        <v>1273</v>
      </c>
      <c r="B74">
        <v>4</v>
      </c>
      <c r="C74">
        <v>6430</v>
      </c>
      <c r="D74" s="1" t="s">
        <v>1344</v>
      </c>
      <c r="E74" s="1" t="s">
        <v>1345</v>
      </c>
    </row>
    <row r="75" spans="1:5">
      <c r="A75" s="1" t="s">
        <v>761</v>
      </c>
      <c r="C75">
        <v>6430</v>
      </c>
      <c r="D75" s="1" t="s">
        <v>1344</v>
      </c>
      <c r="E75" s="1" t="s">
        <v>1345</v>
      </c>
    </row>
    <row r="76" spans="1:5">
      <c r="A76" s="1" t="s">
        <v>658</v>
      </c>
      <c r="C76">
        <v>6430</v>
      </c>
      <c r="D76" s="1" t="s">
        <v>1344</v>
      </c>
      <c r="E76" s="1" t="s">
        <v>1345</v>
      </c>
    </row>
    <row r="77" spans="1:5">
      <c r="A77" s="1" t="s">
        <v>659</v>
      </c>
      <c r="C77">
        <v>6430</v>
      </c>
      <c r="D77" s="1" t="s">
        <v>1344</v>
      </c>
      <c r="E77" s="1" t="s">
        <v>1345</v>
      </c>
    </row>
    <row r="78" spans="1:5">
      <c r="A78" s="1" t="s">
        <v>788</v>
      </c>
      <c r="C78">
        <v>6430</v>
      </c>
      <c r="D78" s="1" t="s">
        <v>1344</v>
      </c>
      <c r="E78" s="1" t="s">
        <v>1345</v>
      </c>
    </row>
    <row r="79" spans="1:5">
      <c r="A79" s="1" t="s">
        <v>764</v>
      </c>
      <c r="C79">
        <v>6430</v>
      </c>
      <c r="D79" s="1" t="s">
        <v>1344</v>
      </c>
      <c r="E79" s="1" t="s">
        <v>1345</v>
      </c>
    </row>
    <row r="80" spans="1:5">
      <c r="A80" s="1" t="s">
        <v>1049</v>
      </c>
      <c r="C80">
        <v>6430</v>
      </c>
      <c r="D80" s="1" t="s">
        <v>1344</v>
      </c>
      <c r="E80" s="1" t="s">
        <v>1345</v>
      </c>
    </row>
    <row r="81" spans="1:5">
      <c r="A81" s="1" t="s">
        <v>660</v>
      </c>
      <c r="B81">
        <v>29</v>
      </c>
      <c r="C81">
        <v>6310</v>
      </c>
      <c r="D81" s="1" t="s">
        <v>1344</v>
      </c>
      <c r="E81" s="1" t="s">
        <v>1345</v>
      </c>
    </row>
    <row r="82" spans="1:5">
      <c r="A82" s="1" t="s">
        <v>661</v>
      </c>
      <c r="B82">
        <v>36</v>
      </c>
      <c r="C82">
        <v>6430</v>
      </c>
      <c r="D82" s="1" t="s">
        <v>1344</v>
      </c>
      <c r="E82" s="1" t="s">
        <v>1345</v>
      </c>
    </row>
    <row r="83" spans="1:5">
      <c r="A83" s="1" t="s">
        <v>638</v>
      </c>
      <c r="B83">
        <v>29</v>
      </c>
      <c r="C83">
        <v>6400</v>
      </c>
      <c r="D83" s="1" t="s">
        <v>1344</v>
      </c>
      <c r="E83" s="1" t="s">
        <v>1345</v>
      </c>
    </row>
    <row r="84" spans="1:5">
      <c r="A84" s="1" t="s">
        <v>640</v>
      </c>
      <c r="B84">
        <v>4</v>
      </c>
      <c r="C84">
        <v>6320</v>
      </c>
      <c r="D84" s="1" t="s">
        <v>1344</v>
      </c>
      <c r="E84" s="1" t="s">
        <v>1345</v>
      </c>
    </row>
    <row r="85" spans="1:5">
      <c r="A85" s="1" t="s">
        <v>1287</v>
      </c>
      <c r="C85">
        <v>6320</v>
      </c>
      <c r="D85" s="1" t="s">
        <v>1344</v>
      </c>
      <c r="E85" s="1" t="s">
        <v>1345</v>
      </c>
    </row>
    <row r="86" spans="1:5">
      <c r="A86" s="1" t="s">
        <v>663</v>
      </c>
      <c r="B86">
        <v>52</v>
      </c>
      <c r="C86">
        <v>6310</v>
      </c>
      <c r="D86" s="1" t="s">
        <v>1344</v>
      </c>
      <c r="E86" s="1" t="s">
        <v>1345</v>
      </c>
    </row>
    <row r="87" spans="1:5">
      <c r="A87" s="1" t="s">
        <v>663</v>
      </c>
      <c r="B87">
        <v>19</v>
      </c>
      <c r="C87">
        <v>6310</v>
      </c>
      <c r="D87" s="1" t="s">
        <v>1344</v>
      </c>
      <c r="E87" s="1" t="s">
        <v>1345</v>
      </c>
    </row>
    <row r="88" spans="1:5">
      <c r="A88" s="1" t="s">
        <v>664</v>
      </c>
      <c r="B88">
        <v>3</v>
      </c>
      <c r="C88">
        <v>6400</v>
      </c>
      <c r="D88" s="1" t="s">
        <v>1344</v>
      </c>
      <c r="E88" s="1" t="s">
        <v>1345</v>
      </c>
    </row>
    <row r="89" spans="1:5">
      <c r="A89" s="1" t="s">
        <v>665</v>
      </c>
      <c r="B89">
        <v>30</v>
      </c>
      <c r="C89">
        <v>6400</v>
      </c>
      <c r="D89" s="1" t="s">
        <v>1344</v>
      </c>
      <c r="E89" s="1" t="s">
        <v>1345</v>
      </c>
    </row>
    <row r="90" spans="1:5">
      <c r="A90" s="1" t="s">
        <v>666</v>
      </c>
      <c r="B90">
        <v>18</v>
      </c>
      <c r="C90">
        <v>6310</v>
      </c>
      <c r="D90" s="1" t="s">
        <v>1344</v>
      </c>
      <c r="E90" s="1" t="s">
        <v>1345</v>
      </c>
    </row>
    <row r="91" spans="1:5">
      <c r="A91" s="1" t="s">
        <v>667</v>
      </c>
      <c r="B91">
        <v>34</v>
      </c>
      <c r="C91">
        <v>6300</v>
      </c>
      <c r="D91" s="1" t="s">
        <v>1344</v>
      </c>
      <c r="E91" s="1" t="s">
        <v>1345</v>
      </c>
    </row>
    <row r="92" spans="1:5">
      <c r="A92" s="1" t="s">
        <v>770</v>
      </c>
      <c r="C92">
        <v>6400</v>
      </c>
      <c r="D92" s="1" t="s">
        <v>1344</v>
      </c>
      <c r="E92" s="1" t="s">
        <v>1345</v>
      </c>
    </row>
    <row r="93" spans="1:5">
      <c r="A93" s="1" t="s">
        <v>668</v>
      </c>
      <c r="C93">
        <v>6400</v>
      </c>
      <c r="D93" s="1" t="s">
        <v>1344</v>
      </c>
      <c r="E93" s="1" t="s">
        <v>1345</v>
      </c>
    </row>
    <row r="94" spans="1:5">
      <c r="A94" s="1" t="s">
        <v>1425</v>
      </c>
      <c r="C94">
        <v>6470</v>
      </c>
      <c r="D94" s="1" t="s">
        <v>1344</v>
      </c>
      <c r="E94" s="1" t="s">
        <v>1345</v>
      </c>
    </row>
    <row r="95" spans="1:5">
      <c r="A95" s="1" t="s">
        <v>1293</v>
      </c>
      <c r="C95">
        <v>6310</v>
      </c>
      <c r="D95" s="1" t="s">
        <v>1344</v>
      </c>
      <c r="E95" s="1" t="s">
        <v>1345</v>
      </c>
    </row>
    <row r="96" spans="1:5">
      <c r="A96" s="1" t="s">
        <v>1041</v>
      </c>
      <c r="B96">
        <v>2</v>
      </c>
      <c r="C96">
        <v>6310</v>
      </c>
      <c r="D96" s="1" t="s">
        <v>1344</v>
      </c>
      <c r="E96" s="1" t="s">
        <v>1345</v>
      </c>
    </row>
    <row r="97" spans="1:5">
      <c r="A97" s="1" t="s">
        <v>1426</v>
      </c>
      <c r="B97">
        <v>3</v>
      </c>
      <c r="C97">
        <v>6400</v>
      </c>
      <c r="D97" s="1" t="s">
        <v>1344</v>
      </c>
      <c r="E97" s="1" t="s">
        <v>1345</v>
      </c>
    </row>
    <row r="98" spans="1:5">
      <c r="A98" s="1" t="s">
        <v>1060</v>
      </c>
      <c r="B98">
        <v>0</v>
      </c>
      <c r="C98">
        <v>6400</v>
      </c>
      <c r="D98" s="1" t="s">
        <v>1344</v>
      </c>
      <c r="E98" s="1" t="s">
        <v>1345</v>
      </c>
    </row>
    <row r="99" spans="1:5">
      <c r="A99" s="1" t="s">
        <v>1298</v>
      </c>
      <c r="B99">
        <v>35</v>
      </c>
      <c r="C99">
        <v>6400</v>
      </c>
      <c r="D99" s="1" t="s">
        <v>1344</v>
      </c>
      <c r="E99" s="1" t="s">
        <v>1345</v>
      </c>
    </row>
    <row r="100" spans="1:5">
      <c r="A100" s="1" t="s">
        <v>1428</v>
      </c>
      <c r="B100">
        <v>0</v>
      </c>
      <c r="C100">
        <v>6400</v>
      </c>
      <c r="D100" s="1" t="s">
        <v>1344</v>
      </c>
      <c r="E100" s="1" t="s">
        <v>1345</v>
      </c>
    </row>
    <row r="101" spans="1:5">
      <c r="A101" s="1" t="s">
        <v>1429</v>
      </c>
      <c r="B101">
        <v>0</v>
      </c>
      <c r="C101">
        <v>6400</v>
      </c>
      <c r="D101" s="1" t="s">
        <v>1344</v>
      </c>
      <c r="E101" s="1" t="s">
        <v>1345</v>
      </c>
    </row>
    <row r="102" spans="1:5">
      <c r="A102" s="1" t="s">
        <v>1430</v>
      </c>
      <c r="B102">
        <v>15</v>
      </c>
      <c r="C102">
        <v>6470</v>
      </c>
      <c r="D102" s="1" t="s">
        <v>1344</v>
      </c>
      <c r="E102" s="1" t="s">
        <v>1345</v>
      </c>
    </row>
    <row r="103" spans="1:5">
      <c r="A103" s="1" t="s">
        <v>1431</v>
      </c>
      <c r="B103">
        <v>76</v>
      </c>
      <c r="C103">
        <v>6310</v>
      </c>
      <c r="D103" s="1" t="s">
        <v>1344</v>
      </c>
      <c r="E103" s="1" t="s">
        <v>1345</v>
      </c>
    </row>
    <row r="104" spans="1:5">
      <c r="A104" s="1" t="s">
        <v>1432</v>
      </c>
      <c r="B104">
        <v>0</v>
      </c>
      <c r="C104">
        <v>6400</v>
      </c>
      <c r="D104" s="1" t="s">
        <v>1344</v>
      </c>
      <c r="E104" s="1" t="s">
        <v>1345</v>
      </c>
    </row>
    <row r="105" spans="1:5">
      <c r="A105" s="1" t="s">
        <v>1433</v>
      </c>
      <c r="B105">
        <v>2</v>
      </c>
      <c r="C105">
        <v>6470</v>
      </c>
      <c r="D105" s="1" t="s">
        <v>1344</v>
      </c>
      <c r="E105" s="1" t="s">
        <v>1345</v>
      </c>
    </row>
    <row r="106" spans="1:5">
      <c r="A106" s="1" t="s">
        <v>1075</v>
      </c>
      <c r="C106">
        <v>6430</v>
      </c>
      <c r="D106" s="1" t="s">
        <v>1344</v>
      </c>
      <c r="E106" s="1" t="s">
        <v>1345</v>
      </c>
    </row>
    <row r="107" spans="1:5">
      <c r="A107" s="1" t="s">
        <v>1435</v>
      </c>
      <c r="C107">
        <v>6430</v>
      </c>
      <c r="D107" s="1" t="s">
        <v>1344</v>
      </c>
      <c r="E107" s="1" t="s">
        <v>1345</v>
      </c>
    </row>
    <row r="108" spans="1:5">
      <c r="A108" s="1" t="s">
        <v>1436</v>
      </c>
      <c r="C108">
        <v>6400</v>
      </c>
      <c r="D108" s="1" t="s">
        <v>1344</v>
      </c>
      <c r="E108" s="1" t="s">
        <v>1345</v>
      </c>
    </row>
    <row r="109" spans="1:5">
      <c r="A109" s="1" t="s">
        <v>1440</v>
      </c>
      <c r="B109">
        <v>0</v>
      </c>
      <c r="C109">
        <v>6400</v>
      </c>
      <c r="D109" s="1" t="s">
        <v>1344</v>
      </c>
      <c r="E109" s="1" t="s">
        <v>1345</v>
      </c>
    </row>
    <row r="110" spans="1:5">
      <c r="A110" s="1" t="s">
        <v>1441</v>
      </c>
      <c r="B110">
        <v>14</v>
      </c>
      <c r="C110">
        <v>6300</v>
      </c>
      <c r="D110" s="1" t="s">
        <v>1344</v>
      </c>
      <c r="E110" s="1" t="s">
        <v>1345</v>
      </c>
    </row>
    <row r="111" spans="1:5">
      <c r="A111" s="1" t="s">
        <v>1442</v>
      </c>
      <c r="B111">
        <v>0</v>
      </c>
      <c r="C111">
        <v>6400</v>
      </c>
      <c r="D111" s="1" t="s">
        <v>1344</v>
      </c>
      <c r="E111" s="1" t="s">
        <v>1345</v>
      </c>
    </row>
    <row r="112" spans="1:5">
      <c r="A112" s="1" t="s">
        <v>1444</v>
      </c>
      <c r="B112">
        <v>2</v>
      </c>
      <c r="C112">
        <v>6400</v>
      </c>
      <c r="D112" s="1" t="s">
        <v>1344</v>
      </c>
      <c r="E112" s="1" t="s">
        <v>1345</v>
      </c>
    </row>
    <row r="113" spans="1:5">
      <c r="A113" s="1" t="s">
        <v>795</v>
      </c>
      <c r="C113">
        <v>6400</v>
      </c>
      <c r="D113" s="1" t="s">
        <v>1344</v>
      </c>
      <c r="E113" s="1" t="s">
        <v>1345</v>
      </c>
    </row>
    <row r="114" spans="1:5">
      <c r="A114" s="1" t="s">
        <v>1445</v>
      </c>
      <c r="C114">
        <v>6430</v>
      </c>
      <c r="D114" s="1" t="s">
        <v>1344</v>
      </c>
      <c r="E114" s="1" t="s">
        <v>1345</v>
      </c>
    </row>
    <row r="115" spans="1:5">
      <c r="A115" s="1" t="s">
        <v>607</v>
      </c>
      <c r="C115">
        <v>6430</v>
      </c>
      <c r="D115" s="1" t="s">
        <v>1344</v>
      </c>
      <c r="E115" s="1" t="s">
        <v>1345</v>
      </c>
    </row>
    <row r="116" spans="1:5">
      <c r="A116" s="1" t="s">
        <v>1449</v>
      </c>
      <c r="C116">
        <v>6430</v>
      </c>
      <c r="D116" s="1" t="s">
        <v>1344</v>
      </c>
      <c r="E116" s="1" t="s">
        <v>1345</v>
      </c>
    </row>
    <row r="117" spans="1:5">
      <c r="A117" s="1" t="s">
        <v>1273</v>
      </c>
      <c r="C117">
        <v>6400</v>
      </c>
      <c r="D117" s="1" t="s">
        <v>1344</v>
      </c>
      <c r="E117" s="1" t="s">
        <v>1345</v>
      </c>
    </row>
    <row r="118" spans="1:5">
      <c r="A118" s="1" t="s">
        <v>696</v>
      </c>
      <c r="B118">
        <v>2</v>
      </c>
      <c r="C118">
        <v>6430</v>
      </c>
      <c r="D118" s="1" t="s">
        <v>1344</v>
      </c>
      <c r="E118" s="1" t="s">
        <v>1345</v>
      </c>
    </row>
    <row r="119" spans="1:5">
      <c r="A119" s="1" t="s">
        <v>697</v>
      </c>
      <c r="B119">
        <v>5</v>
      </c>
      <c r="C119">
        <v>6400</v>
      </c>
      <c r="D119" s="1" t="s">
        <v>1344</v>
      </c>
      <c r="E119" s="1" t="s">
        <v>1345</v>
      </c>
    </row>
    <row r="120" spans="1:5">
      <c r="A120" s="1" t="s">
        <v>698</v>
      </c>
      <c r="C120">
        <v>6430</v>
      </c>
      <c r="D120" s="1" t="s">
        <v>1344</v>
      </c>
      <c r="E120" s="1" t="s">
        <v>1345</v>
      </c>
    </row>
    <row r="121" spans="1:5">
      <c r="A121" s="1" t="s">
        <v>1442</v>
      </c>
      <c r="B121">
        <v>0</v>
      </c>
      <c r="C121">
        <v>6400</v>
      </c>
      <c r="D121" s="1" t="s">
        <v>1344</v>
      </c>
      <c r="E121" s="1" t="s">
        <v>1345</v>
      </c>
    </row>
    <row r="122" spans="1:5">
      <c r="A122" s="1" t="s">
        <v>701</v>
      </c>
      <c r="C122">
        <v>6300</v>
      </c>
      <c r="D122" s="1" t="s">
        <v>1344</v>
      </c>
      <c r="E122" s="1" t="s">
        <v>1345</v>
      </c>
    </row>
    <row r="123" spans="1:5">
      <c r="A123" s="1" t="s">
        <v>702</v>
      </c>
      <c r="C123">
        <v>6430</v>
      </c>
      <c r="D123" s="1" t="s">
        <v>1344</v>
      </c>
      <c r="E123" s="1" t="s">
        <v>1345</v>
      </c>
    </row>
    <row r="124" spans="1:5">
      <c r="A124" s="1" t="s">
        <v>703</v>
      </c>
      <c r="B124">
        <v>1</v>
      </c>
      <c r="C124">
        <v>6400</v>
      </c>
      <c r="D124" s="1" t="s">
        <v>1344</v>
      </c>
      <c r="E124" s="1" t="s">
        <v>1345</v>
      </c>
    </row>
    <row r="125" spans="1:5">
      <c r="A125" s="1" t="s">
        <v>1450</v>
      </c>
      <c r="B125">
        <v>9</v>
      </c>
      <c r="C125">
        <v>6430</v>
      </c>
      <c r="D125" s="1" t="s">
        <v>1344</v>
      </c>
      <c r="E125" s="1" t="s">
        <v>1345</v>
      </c>
    </row>
    <row r="126" spans="1:5">
      <c r="A126" s="1" t="s">
        <v>704</v>
      </c>
      <c r="C126">
        <v>6470</v>
      </c>
      <c r="D126" s="1" t="s">
        <v>1344</v>
      </c>
      <c r="E126" s="1" t="s">
        <v>1345</v>
      </c>
    </row>
    <row r="127" spans="1:5">
      <c r="A127" s="1" t="s">
        <v>1341</v>
      </c>
      <c r="C127">
        <v>6300</v>
      </c>
      <c r="D127" s="1" t="s">
        <v>1344</v>
      </c>
      <c r="E127" s="1" t="s">
        <v>1345</v>
      </c>
    </row>
    <row r="128" spans="1:5">
      <c r="A128" s="1" t="s">
        <v>706</v>
      </c>
      <c r="C128">
        <v>6430</v>
      </c>
      <c r="D128" s="1" t="s">
        <v>1344</v>
      </c>
      <c r="E128" s="1" t="s">
        <v>1345</v>
      </c>
    </row>
    <row r="129" spans="1:5">
      <c r="A129" s="1" t="s">
        <v>707</v>
      </c>
      <c r="B129">
        <v>2</v>
      </c>
      <c r="C129">
        <v>6430</v>
      </c>
      <c r="D129" s="1" t="s">
        <v>1344</v>
      </c>
      <c r="E129" s="1" t="s">
        <v>1345</v>
      </c>
    </row>
    <row r="130" spans="1:5">
      <c r="A130" s="1" t="s">
        <v>710</v>
      </c>
      <c r="C130">
        <v>6300</v>
      </c>
      <c r="D130" s="1" t="s">
        <v>1344</v>
      </c>
      <c r="E130" s="1" t="s">
        <v>1345</v>
      </c>
    </row>
    <row r="131" spans="1:5">
      <c r="A131" s="1" t="s">
        <v>801</v>
      </c>
      <c r="B131">
        <v>0</v>
      </c>
      <c r="C131">
        <v>6400</v>
      </c>
      <c r="D131" s="1" t="s">
        <v>1344</v>
      </c>
      <c r="E131" s="1" t="s">
        <v>1345</v>
      </c>
    </row>
    <row r="132" spans="1:5">
      <c r="A132" s="1" t="s">
        <v>1081</v>
      </c>
      <c r="C132">
        <v>6430</v>
      </c>
      <c r="D132" s="1" t="s">
        <v>1344</v>
      </c>
      <c r="E132" s="1" t="s">
        <v>1345</v>
      </c>
    </row>
    <row r="133" spans="1:5">
      <c r="A133" s="1" t="s">
        <v>185</v>
      </c>
      <c r="C133">
        <v>6400</v>
      </c>
      <c r="D133" s="1" t="s">
        <v>1344</v>
      </c>
      <c r="E133" s="1" t="s">
        <v>1345</v>
      </c>
    </row>
    <row r="134" spans="1:5">
      <c r="A134" s="1" t="s">
        <v>1067</v>
      </c>
      <c r="B134">
        <v>15</v>
      </c>
      <c r="C134">
        <v>6470</v>
      </c>
      <c r="D134" s="1" t="s">
        <v>1344</v>
      </c>
      <c r="E134" s="1" t="s">
        <v>1345</v>
      </c>
    </row>
    <row r="135" spans="1:5">
      <c r="A135" s="1" t="s">
        <v>189</v>
      </c>
      <c r="B135">
        <v>17</v>
      </c>
      <c r="C135">
        <v>6430</v>
      </c>
      <c r="D135" s="1" t="s">
        <v>1344</v>
      </c>
      <c r="E135" s="1" t="s">
        <v>1345</v>
      </c>
    </row>
    <row r="136" spans="1:5">
      <c r="A136" s="1" t="s">
        <v>1340</v>
      </c>
      <c r="B136">
        <v>4</v>
      </c>
      <c r="C136">
        <v>6470</v>
      </c>
      <c r="D136" s="1" t="s">
        <v>1344</v>
      </c>
      <c r="E136" s="1" t="s">
        <v>1345</v>
      </c>
    </row>
    <row r="137" spans="1:5">
      <c r="A137" s="1" t="s">
        <v>190</v>
      </c>
      <c r="C137">
        <v>6430</v>
      </c>
      <c r="D137" s="1" t="s">
        <v>1344</v>
      </c>
      <c r="E137" s="1" t="s">
        <v>1345</v>
      </c>
    </row>
    <row r="138" spans="1:5">
      <c r="A138" s="1" t="s">
        <v>1426</v>
      </c>
      <c r="B138">
        <v>9</v>
      </c>
      <c r="C138">
        <v>6400</v>
      </c>
      <c r="D138" s="1" t="s">
        <v>1344</v>
      </c>
      <c r="E138" s="1" t="s">
        <v>1345</v>
      </c>
    </row>
    <row r="139" spans="1:5">
      <c r="A139" s="1" t="s">
        <v>1056</v>
      </c>
      <c r="C139">
        <v>6400</v>
      </c>
      <c r="D139" s="1" t="s">
        <v>1344</v>
      </c>
      <c r="E139" s="1" t="s">
        <v>1345</v>
      </c>
    </row>
    <row r="140" spans="1:5">
      <c r="A140" s="1" t="s">
        <v>1448</v>
      </c>
      <c r="B140">
        <v>0</v>
      </c>
      <c r="C140">
        <v>6400</v>
      </c>
      <c r="D140" s="1" t="s">
        <v>1344</v>
      </c>
      <c r="E140" s="1" t="s">
        <v>1345</v>
      </c>
    </row>
    <row r="141" spans="1:5">
      <c r="A141" s="1" t="s">
        <v>1086</v>
      </c>
      <c r="B141">
        <v>2</v>
      </c>
      <c r="C141">
        <v>6400</v>
      </c>
      <c r="D141" s="1" t="s">
        <v>1344</v>
      </c>
      <c r="E141" s="1" t="s">
        <v>1345</v>
      </c>
    </row>
    <row r="142" spans="1:5">
      <c r="A142" s="1" t="s">
        <v>1087</v>
      </c>
      <c r="B142">
        <v>0</v>
      </c>
      <c r="C142">
        <v>6400</v>
      </c>
      <c r="D142" s="1" t="s">
        <v>1344</v>
      </c>
      <c r="E142" s="1" t="s">
        <v>1345</v>
      </c>
    </row>
    <row r="143" spans="1:5">
      <c r="A143" s="1" t="s">
        <v>1089</v>
      </c>
      <c r="B143">
        <v>11</v>
      </c>
      <c r="C143">
        <v>6310</v>
      </c>
      <c r="D143" s="1" t="s">
        <v>1344</v>
      </c>
      <c r="E143" s="1" t="s">
        <v>1345</v>
      </c>
    </row>
    <row r="144" spans="1:5">
      <c r="A144" s="1" t="s">
        <v>1068</v>
      </c>
      <c r="B144">
        <v>19</v>
      </c>
      <c r="C144">
        <v>6440</v>
      </c>
      <c r="D144" s="1" t="s">
        <v>1344</v>
      </c>
      <c r="E144" s="1" t="s">
        <v>1345</v>
      </c>
    </row>
    <row r="145" spans="1:5">
      <c r="A145" s="1" t="s">
        <v>1090</v>
      </c>
      <c r="C145">
        <v>6400</v>
      </c>
      <c r="D145" s="1" t="s">
        <v>1344</v>
      </c>
      <c r="E145" s="1" t="s">
        <v>1345</v>
      </c>
    </row>
    <row r="146" spans="1:5">
      <c r="A146" s="1" t="s">
        <v>1091</v>
      </c>
      <c r="B146">
        <v>14</v>
      </c>
      <c r="C146">
        <v>6440</v>
      </c>
      <c r="D146" s="1" t="s">
        <v>1344</v>
      </c>
      <c r="E146" s="1" t="s">
        <v>1345</v>
      </c>
    </row>
    <row r="147" spans="1:5">
      <c r="A147" s="1" t="s">
        <v>713</v>
      </c>
      <c r="B147">
        <v>34</v>
      </c>
      <c r="C147">
        <v>6470</v>
      </c>
      <c r="D147" s="1" t="s">
        <v>1344</v>
      </c>
      <c r="E147" s="1" t="s">
        <v>1345</v>
      </c>
    </row>
    <row r="148" spans="1:5">
      <c r="A148" s="1" t="s">
        <v>708</v>
      </c>
      <c r="C148">
        <v>6470</v>
      </c>
      <c r="D148" s="1" t="s">
        <v>1344</v>
      </c>
      <c r="E148" s="1" t="s">
        <v>1345</v>
      </c>
    </row>
    <row r="149" spans="1:5">
      <c r="A149" s="1" t="s">
        <v>717</v>
      </c>
      <c r="B149">
        <v>9</v>
      </c>
      <c r="C149">
        <v>6310</v>
      </c>
      <c r="D149" s="1" t="s">
        <v>1344</v>
      </c>
      <c r="E149" s="1" t="s">
        <v>1345</v>
      </c>
    </row>
    <row r="150" spans="1:5">
      <c r="A150" s="1" t="s">
        <v>718</v>
      </c>
      <c r="C150">
        <v>6400</v>
      </c>
      <c r="D150" s="1" t="s">
        <v>1344</v>
      </c>
      <c r="E150" s="1" t="s">
        <v>1345</v>
      </c>
    </row>
    <row r="151" spans="1:5">
      <c r="A151" s="1" t="s">
        <v>719</v>
      </c>
      <c r="B151">
        <v>0</v>
      </c>
      <c r="C151">
        <v>6400</v>
      </c>
      <c r="D151" s="1" t="s">
        <v>1344</v>
      </c>
      <c r="E151" s="1" t="s">
        <v>1345</v>
      </c>
    </row>
    <row r="152" spans="1:5">
      <c r="A152" s="1" t="s">
        <v>1292</v>
      </c>
      <c r="B152">
        <v>21</v>
      </c>
      <c r="C152">
        <v>6430</v>
      </c>
      <c r="D152" s="1" t="s">
        <v>1344</v>
      </c>
      <c r="E152" s="1" t="s">
        <v>1345</v>
      </c>
    </row>
    <row r="153" spans="1:5">
      <c r="A153" s="1" t="s">
        <v>720</v>
      </c>
      <c r="C153">
        <v>6320</v>
      </c>
      <c r="D153" s="1" t="s">
        <v>1344</v>
      </c>
      <c r="E153" s="1" t="s">
        <v>1345</v>
      </c>
    </row>
    <row r="154" spans="1:5">
      <c r="A154" s="1" t="s">
        <v>1437</v>
      </c>
      <c r="B154">
        <v>0</v>
      </c>
      <c r="C154">
        <v>6320</v>
      </c>
      <c r="D154" s="1" t="s">
        <v>1344</v>
      </c>
      <c r="E154" s="1" t="s">
        <v>1345</v>
      </c>
    </row>
    <row r="155" spans="1:5">
      <c r="A155" s="1" t="s">
        <v>1071</v>
      </c>
      <c r="B155">
        <v>87</v>
      </c>
      <c r="C155">
        <v>6440</v>
      </c>
      <c r="D155" s="1" t="s">
        <v>1344</v>
      </c>
      <c r="E155" s="1" t="s">
        <v>1345</v>
      </c>
    </row>
    <row r="156" spans="1:5">
      <c r="A156" s="1" t="s">
        <v>721</v>
      </c>
      <c r="B156">
        <v>0</v>
      </c>
      <c r="C156">
        <v>6440</v>
      </c>
      <c r="D156" s="1" t="s">
        <v>1344</v>
      </c>
      <c r="E156" s="1" t="s">
        <v>1345</v>
      </c>
    </row>
    <row r="157" spans="1:5">
      <c r="A157" s="1" t="s">
        <v>723</v>
      </c>
      <c r="C157">
        <v>6430</v>
      </c>
      <c r="D157" s="1" t="s">
        <v>1344</v>
      </c>
      <c r="E157" s="1" t="s">
        <v>1345</v>
      </c>
    </row>
    <row r="158" spans="1:5">
      <c r="A158" s="1" t="s">
        <v>1275</v>
      </c>
      <c r="B158">
        <v>6</v>
      </c>
      <c r="C158">
        <v>6400</v>
      </c>
      <c r="D158" s="1" t="s">
        <v>1344</v>
      </c>
      <c r="E158" s="1" t="s">
        <v>1345</v>
      </c>
    </row>
    <row r="159" spans="1:5">
      <c r="A159" s="1" t="s">
        <v>724</v>
      </c>
      <c r="B159">
        <v>0</v>
      </c>
      <c r="C159">
        <v>6440</v>
      </c>
      <c r="D159" s="1" t="s">
        <v>1344</v>
      </c>
      <c r="E159" s="1" t="s">
        <v>1345</v>
      </c>
    </row>
    <row r="160" spans="1:5">
      <c r="A160" s="1" t="s">
        <v>699</v>
      </c>
      <c r="B160">
        <v>4</v>
      </c>
      <c r="C160">
        <v>6400</v>
      </c>
      <c r="D160" s="1" t="s">
        <v>1344</v>
      </c>
      <c r="E160" s="1" t="s">
        <v>1345</v>
      </c>
    </row>
    <row r="161" spans="1:5">
      <c r="A161" s="1" t="s">
        <v>725</v>
      </c>
      <c r="B161">
        <v>8</v>
      </c>
      <c r="C161">
        <v>6300</v>
      </c>
      <c r="D161" s="1" t="s">
        <v>1344</v>
      </c>
      <c r="E161" s="1" t="s">
        <v>1345</v>
      </c>
    </row>
    <row r="162" spans="1:5">
      <c r="A162" s="1" t="s">
        <v>726</v>
      </c>
      <c r="C162">
        <v>6300</v>
      </c>
      <c r="D162" s="1" t="s">
        <v>1344</v>
      </c>
      <c r="E162" s="1" t="s">
        <v>1345</v>
      </c>
    </row>
    <row r="163" spans="1:5">
      <c r="A163" s="1" t="s">
        <v>731</v>
      </c>
      <c r="C163">
        <v>6320</v>
      </c>
      <c r="D163" s="1" t="s">
        <v>1344</v>
      </c>
      <c r="E163" s="1" t="s">
        <v>1345</v>
      </c>
    </row>
    <row r="164" spans="1:5">
      <c r="A164" s="1" t="s">
        <v>1088</v>
      </c>
      <c r="C164">
        <v>6470</v>
      </c>
      <c r="D164" s="1" t="s">
        <v>1344</v>
      </c>
      <c r="E164" s="1" t="s">
        <v>1345</v>
      </c>
    </row>
    <row r="165" spans="1:5">
      <c r="A165" s="1" t="s">
        <v>732</v>
      </c>
      <c r="C165">
        <v>6430</v>
      </c>
      <c r="D165" s="1" t="s">
        <v>1344</v>
      </c>
      <c r="E165" s="1" t="s">
        <v>1345</v>
      </c>
    </row>
    <row r="166" spans="1:5">
      <c r="A166" s="1" t="s">
        <v>733</v>
      </c>
      <c r="B166">
        <v>48</v>
      </c>
      <c r="C166">
        <v>6320</v>
      </c>
      <c r="D166" s="1" t="s">
        <v>1344</v>
      </c>
      <c r="E166" s="1" t="s">
        <v>1345</v>
      </c>
    </row>
    <row r="167" spans="1:5">
      <c r="A167" s="1" t="s">
        <v>734</v>
      </c>
      <c r="B167">
        <v>0</v>
      </c>
      <c r="C167">
        <v>6400</v>
      </c>
      <c r="D167" s="1" t="s">
        <v>1344</v>
      </c>
      <c r="E167" s="1" t="s">
        <v>1345</v>
      </c>
    </row>
    <row r="168" spans="1:5">
      <c r="A168" s="1" t="s">
        <v>736</v>
      </c>
      <c r="B168">
        <v>99</v>
      </c>
      <c r="C168">
        <v>6300</v>
      </c>
      <c r="D168" s="1" t="s">
        <v>1344</v>
      </c>
      <c r="E168" s="1" t="s">
        <v>1345</v>
      </c>
    </row>
    <row r="169" spans="1:5">
      <c r="A169" s="1" t="s">
        <v>738</v>
      </c>
      <c r="C169">
        <v>6430</v>
      </c>
      <c r="D169" s="1" t="s">
        <v>1344</v>
      </c>
      <c r="E169" s="1" t="s">
        <v>1345</v>
      </c>
    </row>
    <row r="170" spans="1:5">
      <c r="A170" s="1" t="s">
        <v>739</v>
      </c>
      <c r="B170">
        <v>0</v>
      </c>
      <c r="C170">
        <v>6400</v>
      </c>
      <c r="D170" s="1" t="s">
        <v>1344</v>
      </c>
      <c r="E170" s="1" t="s">
        <v>1345</v>
      </c>
    </row>
    <row r="171" spans="1:5">
      <c r="A171" s="1" t="s">
        <v>741</v>
      </c>
      <c r="C171">
        <v>6310</v>
      </c>
      <c r="D171" s="1" t="s">
        <v>1344</v>
      </c>
      <c r="E171" s="1" t="s">
        <v>1345</v>
      </c>
    </row>
    <row r="172" spans="1:5">
      <c r="A172" s="1" t="s">
        <v>743</v>
      </c>
      <c r="C172">
        <v>6300</v>
      </c>
      <c r="D172" s="1" t="s">
        <v>1344</v>
      </c>
      <c r="E172" s="1" t="s">
        <v>1345</v>
      </c>
    </row>
    <row r="173" spans="1:5">
      <c r="A173" s="1" t="s">
        <v>744</v>
      </c>
      <c r="B173">
        <v>0</v>
      </c>
      <c r="C173">
        <v>6400</v>
      </c>
      <c r="D173" s="1" t="s">
        <v>1344</v>
      </c>
      <c r="E173" s="1" t="s">
        <v>1345</v>
      </c>
    </row>
    <row r="174" spans="1:5">
      <c r="A174" s="1" t="s">
        <v>1426</v>
      </c>
      <c r="C174">
        <v>6400</v>
      </c>
      <c r="D174" s="1" t="s">
        <v>1344</v>
      </c>
      <c r="E174" s="1" t="s">
        <v>1345</v>
      </c>
    </row>
    <row r="175" spans="1:5">
      <c r="A175" s="1" t="s">
        <v>745</v>
      </c>
      <c r="B175">
        <v>0</v>
      </c>
      <c r="C175">
        <v>6400</v>
      </c>
      <c r="D175" s="1" t="s">
        <v>1344</v>
      </c>
      <c r="E175" s="1" t="s">
        <v>1345</v>
      </c>
    </row>
    <row r="176" spans="1:5">
      <c r="A176" s="1" t="s">
        <v>1288</v>
      </c>
      <c r="C176">
        <v>6430</v>
      </c>
      <c r="D176" s="1" t="s">
        <v>1344</v>
      </c>
      <c r="E176" s="1" t="s">
        <v>1345</v>
      </c>
    </row>
    <row r="177" spans="1:5">
      <c r="A177" s="1" t="s">
        <v>747</v>
      </c>
      <c r="C177">
        <v>6310</v>
      </c>
      <c r="D177" s="1" t="s">
        <v>1344</v>
      </c>
      <c r="E177" s="1" t="s">
        <v>1345</v>
      </c>
    </row>
    <row r="178" spans="1:5">
      <c r="A178" s="1" t="s">
        <v>748</v>
      </c>
      <c r="C178">
        <v>6470</v>
      </c>
      <c r="D178" s="1" t="s">
        <v>1344</v>
      </c>
      <c r="E178" s="1" t="s">
        <v>1345</v>
      </c>
    </row>
    <row r="179" spans="1:5">
      <c r="A179" s="1" t="s">
        <v>749</v>
      </c>
      <c r="C179">
        <v>6470</v>
      </c>
      <c r="D179" s="1" t="s">
        <v>1344</v>
      </c>
      <c r="E179" s="1" t="s">
        <v>1345</v>
      </c>
    </row>
    <row r="180" spans="1:5">
      <c r="A180" s="1" t="s">
        <v>1432</v>
      </c>
      <c r="C180">
        <v>6400</v>
      </c>
      <c r="D180" s="1" t="s">
        <v>1344</v>
      </c>
      <c r="E180" s="1" t="s">
        <v>1345</v>
      </c>
    </row>
    <row r="181" spans="1:5">
      <c r="A181" s="1" t="s">
        <v>716</v>
      </c>
      <c r="C181">
        <v>6470</v>
      </c>
      <c r="D181" s="1" t="s">
        <v>1344</v>
      </c>
      <c r="E181" s="1" t="s">
        <v>1345</v>
      </c>
    </row>
    <row r="182" spans="1:5">
      <c r="A182" s="1" t="s">
        <v>748</v>
      </c>
      <c r="B182">
        <v>21</v>
      </c>
      <c r="C182">
        <v>6470</v>
      </c>
      <c r="D182" s="1" t="s">
        <v>1344</v>
      </c>
      <c r="E182" s="1" t="s">
        <v>1345</v>
      </c>
    </row>
    <row r="183" spans="1:5">
      <c r="A183" s="1" t="s">
        <v>751</v>
      </c>
      <c r="B183">
        <v>0</v>
      </c>
      <c r="C183">
        <v>6440</v>
      </c>
      <c r="D183" s="1" t="s">
        <v>1344</v>
      </c>
      <c r="E183" s="1" t="s">
        <v>1345</v>
      </c>
    </row>
    <row r="184" spans="1:5">
      <c r="A184" s="1" t="s">
        <v>752</v>
      </c>
      <c r="B184">
        <v>0</v>
      </c>
      <c r="C184">
        <v>6400</v>
      </c>
      <c r="D184" s="1" t="s">
        <v>1344</v>
      </c>
      <c r="E184" s="1" t="s">
        <v>1345</v>
      </c>
    </row>
    <row r="185" spans="1:5">
      <c r="A185" s="1" t="s">
        <v>698</v>
      </c>
      <c r="B185">
        <v>2</v>
      </c>
      <c r="C185">
        <v>6440</v>
      </c>
      <c r="D185" s="1" t="s">
        <v>1344</v>
      </c>
      <c r="E185" s="1" t="s">
        <v>1345</v>
      </c>
    </row>
    <row r="186" spans="1:5">
      <c r="A186" s="1" t="s">
        <v>757</v>
      </c>
      <c r="C186">
        <v>6430</v>
      </c>
      <c r="D186" s="1" t="s">
        <v>1344</v>
      </c>
      <c r="E186" s="1" t="s">
        <v>1345</v>
      </c>
    </row>
    <row r="187" spans="1:5">
      <c r="A187" s="1" t="s">
        <v>1297</v>
      </c>
      <c r="B187">
        <v>91</v>
      </c>
      <c r="C187">
        <v>6440</v>
      </c>
      <c r="D187" s="1" t="s">
        <v>1344</v>
      </c>
      <c r="E187" s="1" t="s">
        <v>1345</v>
      </c>
    </row>
    <row r="188" spans="1:5">
      <c r="A188" s="1" t="s">
        <v>452</v>
      </c>
      <c r="C188">
        <v>6400</v>
      </c>
      <c r="D188" s="1" t="s">
        <v>1344</v>
      </c>
      <c r="E188" s="1" t="s">
        <v>1345</v>
      </c>
    </row>
    <row r="189" spans="1:5">
      <c r="A189" s="1" t="s">
        <v>1432</v>
      </c>
      <c r="C189">
        <v>6400</v>
      </c>
      <c r="D189" s="1" t="s">
        <v>1344</v>
      </c>
      <c r="E189" s="1" t="s">
        <v>1345</v>
      </c>
    </row>
    <row r="190" spans="1:5">
      <c r="A190" s="1" t="s">
        <v>1070</v>
      </c>
      <c r="C190">
        <v>6430</v>
      </c>
      <c r="D190" s="1" t="s">
        <v>1344</v>
      </c>
      <c r="E190" s="1" t="s">
        <v>1345</v>
      </c>
    </row>
    <row r="191" spans="1:5">
      <c r="A191" s="1" t="s">
        <v>453</v>
      </c>
      <c r="B191">
        <v>9</v>
      </c>
      <c r="C191">
        <v>6440</v>
      </c>
      <c r="D191" s="1" t="s">
        <v>1344</v>
      </c>
      <c r="E191" s="1" t="s">
        <v>1345</v>
      </c>
    </row>
    <row r="192" spans="1:5">
      <c r="A192" s="1" t="s">
        <v>454</v>
      </c>
      <c r="C192">
        <v>6430</v>
      </c>
      <c r="D192" s="1" t="s">
        <v>1344</v>
      </c>
      <c r="E192" s="1" t="s">
        <v>1345</v>
      </c>
    </row>
    <row r="193" spans="1:5">
      <c r="A193" s="1" t="s">
        <v>1086</v>
      </c>
      <c r="B193">
        <v>0</v>
      </c>
      <c r="C193">
        <v>6400</v>
      </c>
      <c r="D193" s="1" t="s">
        <v>1344</v>
      </c>
      <c r="E193" s="1" t="s">
        <v>1345</v>
      </c>
    </row>
    <row r="194" spans="1:5">
      <c r="A194" s="1" t="s">
        <v>1085</v>
      </c>
      <c r="B194">
        <v>7</v>
      </c>
      <c r="C194">
        <v>6470</v>
      </c>
      <c r="D194" s="1" t="s">
        <v>1344</v>
      </c>
      <c r="E194" s="1" t="s">
        <v>1345</v>
      </c>
    </row>
    <row r="195" spans="1:5">
      <c r="A195" s="1" t="s">
        <v>457</v>
      </c>
      <c r="C195">
        <v>6430</v>
      </c>
      <c r="D195" s="1" t="s">
        <v>1344</v>
      </c>
      <c r="E195" s="1" t="s">
        <v>1345</v>
      </c>
    </row>
    <row r="196" spans="1:5">
      <c r="A196" s="1" t="s">
        <v>798</v>
      </c>
      <c r="B196">
        <v>0</v>
      </c>
      <c r="C196">
        <v>6300</v>
      </c>
      <c r="D196" s="1" t="s">
        <v>1344</v>
      </c>
      <c r="E196" s="1" t="s">
        <v>1345</v>
      </c>
    </row>
    <row r="197" spans="1:5">
      <c r="A197" s="1" t="s">
        <v>746</v>
      </c>
      <c r="C197">
        <v>6440</v>
      </c>
      <c r="D197" s="1" t="s">
        <v>1344</v>
      </c>
      <c r="E197" s="1" t="s">
        <v>1345</v>
      </c>
    </row>
    <row r="198" spans="1:5">
      <c r="A198" s="1" t="s">
        <v>1039</v>
      </c>
      <c r="B198">
        <v>17</v>
      </c>
      <c r="C198">
        <v>6300</v>
      </c>
      <c r="D198" s="1" t="s">
        <v>1344</v>
      </c>
      <c r="E198" s="1" t="s">
        <v>1345</v>
      </c>
    </row>
    <row r="199" spans="1:5">
      <c r="A199" s="1" t="s">
        <v>462</v>
      </c>
      <c r="C199">
        <v>6310</v>
      </c>
      <c r="D199" s="1" t="s">
        <v>1344</v>
      </c>
      <c r="E199" s="1" t="s">
        <v>1345</v>
      </c>
    </row>
    <row r="200" spans="1:5">
      <c r="A200" s="1" t="s">
        <v>1069</v>
      </c>
      <c r="B200">
        <v>11</v>
      </c>
      <c r="C200">
        <v>6300</v>
      </c>
      <c r="D200" s="1" t="s">
        <v>1344</v>
      </c>
      <c r="E200" s="1" t="s">
        <v>1345</v>
      </c>
    </row>
    <row r="201" spans="1:5">
      <c r="A201" s="1" t="s">
        <v>463</v>
      </c>
      <c r="B201">
        <v>1</v>
      </c>
      <c r="C201">
        <v>6400</v>
      </c>
      <c r="D201" s="1" t="s">
        <v>1344</v>
      </c>
      <c r="E201" s="1" t="s">
        <v>1345</v>
      </c>
    </row>
    <row r="202" spans="1:5">
      <c r="A202" s="1" t="s">
        <v>1283</v>
      </c>
      <c r="C202">
        <v>6300</v>
      </c>
      <c r="D202" s="1" t="s">
        <v>1344</v>
      </c>
      <c r="E202" s="1" t="s">
        <v>1345</v>
      </c>
    </row>
    <row r="203" spans="1:5">
      <c r="A203" s="1" t="s">
        <v>464</v>
      </c>
      <c r="C203">
        <v>6300</v>
      </c>
      <c r="D203" s="1" t="s">
        <v>1344</v>
      </c>
      <c r="E203" s="1" t="s">
        <v>1345</v>
      </c>
    </row>
    <row r="204" spans="1:5">
      <c r="A204" s="1" t="s">
        <v>465</v>
      </c>
      <c r="C204">
        <v>6300</v>
      </c>
      <c r="D204" s="1" t="s">
        <v>1344</v>
      </c>
      <c r="E204" s="1" t="s">
        <v>1345</v>
      </c>
    </row>
    <row r="205" spans="1:5">
      <c r="A205" s="1" t="s">
        <v>1427</v>
      </c>
      <c r="B205">
        <v>0</v>
      </c>
      <c r="C205">
        <v>6440</v>
      </c>
      <c r="D205" s="1" t="s">
        <v>1344</v>
      </c>
      <c r="E205" s="1" t="s">
        <v>1345</v>
      </c>
    </row>
    <row r="206" spans="1:5">
      <c r="A206" s="1" t="s">
        <v>1040</v>
      </c>
      <c r="B206">
        <v>161</v>
      </c>
      <c r="C206">
        <v>6400</v>
      </c>
      <c r="D206" s="1" t="s">
        <v>1344</v>
      </c>
      <c r="E206" s="1" t="s">
        <v>1345</v>
      </c>
    </row>
    <row r="207" spans="1:5">
      <c r="A207" s="1" t="s">
        <v>467</v>
      </c>
      <c r="C207">
        <v>6400</v>
      </c>
      <c r="D207" s="1" t="s">
        <v>1344</v>
      </c>
      <c r="E207" s="1" t="s">
        <v>1345</v>
      </c>
    </row>
    <row r="208" spans="1:5">
      <c r="A208" s="1" t="s">
        <v>720</v>
      </c>
      <c r="B208">
        <v>23</v>
      </c>
      <c r="C208">
        <v>6400</v>
      </c>
      <c r="D208" s="1" t="s">
        <v>1344</v>
      </c>
      <c r="E208" s="1" t="s">
        <v>1345</v>
      </c>
    </row>
    <row r="209" spans="1:5">
      <c r="A209" s="1" t="s">
        <v>750</v>
      </c>
      <c r="C209">
        <v>6400</v>
      </c>
      <c r="D209" s="1" t="s">
        <v>1344</v>
      </c>
      <c r="E209" s="1" t="s">
        <v>1345</v>
      </c>
    </row>
    <row r="210" spans="1:5">
      <c r="A210" s="1" t="s">
        <v>473</v>
      </c>
      <c r="B210">
        <v>999</v>
      </c>
      <c r="C210">
        <v>6400</v>
      </c>
      <c r="D210" s="1" t="s">
        <v>1344</v>
      </c>
      <c r="E210" s="1" t="s">
        <v>1345</v>
      </c>
    </row>
    <row r="211" spans="1:5">
      <c r="A211" s="1" t="s">
        <v>1053</v>
      </c>
      <c r="B211">
        <v>7</v>
      </c>
      <c r="C211">
        <v>6400</v>
      </c>
      <c r="D211" s="1" t="s">
        <v>1344</v>
      </c>
      <c r="E211" s="1" t="s">
        <v>1345</v>
      </c>
    </row>
    <row r="212" spans="1:5">
      <c r="A212" s="1" t="s">
        <v>1053</v>
      </c>
      <c r="B212">
        <v>49</v>
      </c>
      <c r="C212">
        <v>6400</v>
      </c>
      <c r="D212" s="1" t="s">
        <v>1344</v>
      </c>
      <c r="E212" s="1" t="s">
        <v>1345</v>
      </c>
    </row>
    <row r="213" spans="1:5">
      <c r="A213" s="1" t="s">
        <v>484</v>
      </c>
      <c r="B213">
        <v>51</v>
      </c>
      <c r="C213">
        <v>6400</v>
      </c>
      <c r="D213" s="1" t="s">
        <v>1344</v>
      </c>
      <c r="E213" s="1" t="s">
        <v>1345</v>
      </c>
    </row>
    <row r="214" spans="1:5">
      <c r="A214" s="1" t="s">
        <v>133</v>
      </c>
      <c r="B214">
        <v>62</v>
      </c>
      <c r="C214">
        <v>6400</v>
      </c>
      <c r="D214" s="1" t="s">
        <v>1344</v>
      </c>
      <c r="E214" s="1" t="s">
        <v>1345</v>
      </c>
    </row>
    <row r="215" spans="1:5">
      <c r="A215" s="1" t="s">
        <v>470</v>
      </c>
      <c r="B215">
        <v>7</v>
      </c>
      <c r="C215">
        <v>6400</v>
      </c>
      <c r="D215" s="1" t="s">
        <v>1344</v>
      </c>
      <c r="E215" s="1" t="s">
        <v>1345</v>
      </c>
    </row>
    <row r="216" spans="1:5">
      <c r="A216" s="1" t="s">
        <v>486</v>
      </c>
      <c r="B216">
        <v>18</v>
      </c>
      <c r="C216">
        <v>6400</v>
      </c>
      <c r="D216" s="1" t="s">
        <v>1344</v>
      </c>
      <c r="E216" s="1" t="s">
        <v>1345</v>
      </c>
    </row>
    <row r="217" spans="1:5">
      <c r="A217" s="1" t="s">
        <v>1053</v>
      </c>
      <c r="B217">
        <v>20</v>
      </c>
      <c r="C217">
        <v>6400</v>
      </c>
      <c r="D217" s="1" t="s">
        <v>1344</v>
      </c>
      <c r="E217" s="1" t="s">
        <v>1345</v>
      </c>
    </row>
    <row r="218" spans="1:5">
      <c r="A218" s="1" t="s">
        <v>1040</v>
      </c>
      <c r="B218">
        <v>174</v>
      </c>
      <c r="C218">
        <v>6400</v>
      </c>
      <c r="D218" s="1" t="s">
        <v>1344</v>
      </c>
      <c r="E218" s="1" t="s">
        <v>1345</v>
      </c>
    </row>
    <row r="219" spans="1:5">
      <c r="A219" s="1" t="s">
        <v>134</v>
      </c>
      <c r="B219">
        <v>40</v>
      </c>
      <c r="C219">
        <v>6400</v>
      </c>
      <c r="D219" s="1" t="s">
        <v>1344</v>
      </c>
      <c r="E219" s="1" t="s">
        <v>1345</v>
      </c>
    </row>
    <row r="220" spans="1:5">
      <c r="A220" s="1" t="s">
        <v>135</v>
      </c>
      <c r="B220">
        <v>1</v>
      </c>
      <c r="C220">
        <v>6400</v>
      </c>
      <c r="D220" s="1" t="s">
        <v>1344</v>
      </c>
      <c r="E220" s="1" t="s">
        <v>1345</v>
      </c>
    </row>
    <row r="221" spans="1:5">
      <c r="A221" s="1" t="s">
        <v>136</v>
      </c>
      <c r="B221">
        <v>2</v>
      </c>
      <c r="C221">
        <v>6400</v>
      </c>
      <c r="D221" s="1" t="s">
        <v>1344</v>
      </c>
      <c r="E221" s="1" t="s">
        <v>1345</v>
      </c>
    </row>
    <row r="222" spans="1:5">
      <c r="A222" s="1" t="s">
        <v>1040</v>
      </c>
      <c r="B222">
        <v>180</v>
      </c>
      <c r="C222">
        <v>6400</v>
      </c>
      <c r="D222" s="1" t="s">
        <v>1344</v>
      </c>
      <c r="E222" s="1" t="s">
        <v>1345</v>
      </c>
    </row>
    <row r="223" spans="1:5">
      <c r="A223" s="1" t="s">
        <v>484</v>
      </c>
      <c r="B223">
        <v>35</v>
      </c>
      <c r="C223">
        <v>6400</v>
      </c>
      <c r="D223" s="1" t="s">
        <v>1344</v>
      </c>
      <c r="E223" s="1" t="s">
        <v>1345</v>
      </c>
    </row>
    <row r="224" spans="1:5">
      <c r="A224" s="1" t="s">
        <v>137</v>
      </c>
      <c r="B224">
        <v>0</v>
      </c>
      <c r="C224">
        <v>6400</v>
      </c>
      <c r="D224" s="1" t="s">
        <v>1344</v>
      </c>
      <c r="E224" s="1" t="s">
        <v>1345</v>
      </c>
    </row>
    <row r="225" spans="1:5">
      <c r="A225" s="1" t="s">
        <v>138</v>
      </c>
      <c r="B225">
        <v>34</v>
      </c>
      <c r="C225">
        <v>6400</v>
      </c>
      <c r="D225" s="1" t="s">
        <v>1344</v>
      </c>
      <c r="E225" s="1" t="s">
        <v>1345</v>
      </c>
    </row>
    <row r="226" spans="1:5">
      <c r="A226" s="1" t="s">
        <v>480</v>
      </c>
      <c r="B226">
        <v>6</v>
      </c>
      <c r="C226">
        <v>6400</v>
      </c>
      <c r="D226" s="1" t="s">
        <v>1344</v>
      </c>
      <c r="E226" s="1" t="s">
        <v>1345</v>
      </c>
    </row>
    <row r="227" spans="1:5">
      <c r="A227" s="1" t="s">
        <v>480</v>
      </c>
      <c r="B227">
        <v>84</v>
      </c>
      <c r="C227">
        <v>6400</v>
      </c>
      <c r="D227" s="1" t="s">
        <v>1344</v>
      </c>
      <c r="E227" s="1" t="s">
        <v>1345</v>
      </c>
    </row>
    <row r="228" spans="1:5">
      <c r="A228" s="1" t="s">
        <v>452</v>
      </c>
      <c r="B228">
        <v>106</v>
      </c>
      <c r="C228">
        <v>6400</v>
      </c>
      <c r="D228" s="1" t="s">
        <v>1344</v>
      </c>
      <c r="E228" s="1" t="s">
        <v>1345</v>
      </c>
    </row>
    <row r="229" spans="1:5">
      <c r="A229" s="1" t="s">
        <v>478</v>
      </c>
      <c r="B229">
        <v>5</v>
      </c>
      <c r="C229">
        <v>6400</v>
      </c>
      <c r="D229" s="1" t="s">
        <v>1344</v>
      </c>
      <c r="E229" s="1" t="s">
        <v>1345</v>
      </c>
    </row>
    <row r="230" spans="1:5">
      <c r="A230" s="1" t="s">
        <v>1043</v>
      </c>
      <c r="B230">
        <v>4</v>
      </c>
      <c r="C230">
        <v>6400</v>
      </c>
      <c r="D230" s="1" t="s">
        <v>1344</v>
      </c>
      <c r="E230" s="1" t="s">
        <v>1345</v>
      </c>
    </row>
    <row r="231" spans="1:5">
      <c r="A231" s="1" t="s">
        <v>484</v>
      </c>
      <c r="B231">
        <v>4</v>
      </c>
      <c r="C231">
        <v>6400</v>
      </c>
      <c r="D231" s="1" t="s">
        <v>1344</v>
      </c>
      <c r="E231" s="1" t="s">
        <v>1345</v>
      </c>
    </row>
    <row r="232" spans="1:5">
      <c r="A232" s="1" t="s">
        <v>762</v>
      </c>
      <c r="B232">
        <v>4</v>
      </c>
      <c r="C232">
        <v>6400</v>
      </c>
      <c r="D232" s="1" t="s">
        <v>1344</v>
      </c>
      <c r="E232" s="1" t="s">
        <v>1345</v>
      </c>
    </row>
    <row r="233" spans="1:5">
      <c r="A233" s="1" t="s">
        <v>811</v>
      </c>
      <c r="B233">
        <v>2</v>
      </c>
      <c r="C233">
        <v>6400</v>
      </c>
      <c r="D233" s="1" t="s">
        <v>1344</v>
      </c>
      <c r="E233" s="1" t="s">
        <v>1345</v>
      </c>
    </row>
    <row r="234" spans="1:5">
      <c r="A234" s="1" t="s">
        <v>1040</v>
      </c>
      <c r="B234">
        <v>200</v>
      </c>
      <c r="C234">
        <v>6400</v>
      </c>
      <c r="D234" s="1" t="s">
        <v>1344</v>
      </c>
      <c r="E234" s="1" t="s">
        <v>1345</v>
      </c>
    </row>
    <row r="235" spans="1:5">
      <c r="A235" s="1" t="s">
        <v>811</v>
      </c>
      <c r="B235">
        <v>64</v>
      </c>
      <c r="C235">
        <v>6400</v>
      </c>
      <c r="D235" s="1" t="s">
        <v>1344</v>
      </c>
      <c r="E235" s="1" t="s">
        <v>1345</v>
      </c>
    </row>
    <row r="236" spans="1:5">
      <c r="A236" s="1" t="s">
        <v>472</v>
      </c>
      <c r="B236">
        <v>64</v>
      </c>
      <c r="C236">
        <v>6400</v>
      </c>
      <c r="D236" s="1" t="s">
        <v>1344</v>
      </c>
      <c r="E236" s="1" t="s">
        <v>1345</v>
      </c>
    </row>
    <row r="237" spans="1:5">
      <c r="A237" s="1" t="s">
        <v>472</v>
      </c>
      <c r="B237">
        <v>90</v>
      </c>
      <c r="C237">
        <v>6400</v>
      </c>
      <c r="D237" s="1" t="s">
        <v>1344</v>
      </c>
      <c r="E237" s="1" t="s">
        <v>1345</v>
      </c>
    </row>
    <row r="238" spans="1:5">
      <c r="A238" s="1" t="s">
        <v>139</v>
      </c>
      <c r="B238">
        <v>0</v>
      </c>
      <c r="C238">
        <v>6400</v>
      </c>
      <c r="D238" s="1" t="s">
        <v>1344</v>
      </c>
      <c r="E238" s="1" t="s">
        <v>1345</v>
      </c>
    </row>
    <row r="239" spans="1:5">
      <c r="A239" s="1" t="s">
        <v>496</v>
      </c>
      <c r="B239">
        <v>1</v>
      </c>
      <c r="C239">
        <v>6400</v>
      </c>
      <c r="D239" s="1" t="s">
        <v>1344</v>
      </c>
      <c r="E239" s="1" t="s">
        <v>1345</v>
      </c>
    </row>
    <row r="240" spans="1:5">
      <c r="A240" s="1" t="s">
        <v>458</v>
      </c>
      <c r="B240">
        <v>15</v>
      </c>
      <c r="C240">
        <v>6400</v>
      </c>
      <c r="D240" s="1" t="s">
        <v>1344</v>
      </c>
      <c r="E240" s="1" t="s">
        <v>1345</v>
      </c>
    </row>
    <row r="241" spans="1:5">
      <c r="A241" s="1" t="s">
        <v>497</v>
      </c>
      <c r="B241">
        <v>3</v>
      </c>
      <c r="C241">
        <v>6400</v>
      </c>
      <c r="D241" s="1" t="s">
        <v>1344</v>
      </c>
      <c r="E241" s="1" t="s">
        <v>1345</v>
      </c>
    </row>
    <row r="242" spans="1:5">
      <c r="A242" s="1" t="s">
        <v>497</v>
      </c>
      <c r="B242">
        <v>27</v>
      </c>
      <c r="C242">
        <v>6400</v>
      </c>
      <c r="D242" s="1" t="s">
        <v>1344</v>
      </c>
      <c r="E242" s="1" t="s">
        <v>1345</v>
      </c>
    </row>
    <row r="243" spans="1:5">
      <c r="A243" s="1" t="s">
        <v>1287</v>
      </c>
      <c r="B243">
        <v>40</v>
      </c>
      <c r="C243">
        <v>6400</v>
      </c>
      <c r="D243" s="1" t="s">
        <v>1344</v>
      </c>
      <c r="E243" s="1" t="s">
        <v>1345</v>
      </c>
    </row>
    <row r="244" spans="1:5">
      <c r="A244" s="1" t="s">
        <v>140</v>
      </c>
      <c r="B244">
        <v>2</v>
      </c>
      <c r="C244">
        <v>6400</v>
      </c>
      <c r="D244" s="1" t="s">
        <v>1344</v>
      </c>
      <c r="E244" s="1" t="s">
        <v>1345</v>
      </c>
    </row>
    <row r="245" spans="1:5">
      <c r="A245" s="1" t="s">
        <v>140</v>
      </c>
      <c r="B245">
        <v>44</v>
      </c>
      <c r="C245">
        <v>6400</v>
      </c>
      <c r="D245" s="1" t="s">
        <v>1344</v>
      </c>
      <c r="E245" s="1" t="s">
        <v>1345</v>
      </c>
    </row>
    <row r="246" spans="1:5">
      <c r="A246" s="1" t="s">
        <v>801</v>
      </c>
      <c r="B246">
        <v>7</v>
      </c>
      <c r="C246">
        <v>6400</v>
      </c>
      <c r="D246" s="1" t="s">
        <v>1344</v>
      </c>
      <c r="E246" s="1" t="s">
        <v>1345</v>
      </c>
    </row>
    <row r="247" spans="1:5">
      <c r="A247" s="1" t="s">
        <v>607</v>
      </c>
      <c r="B247">
        <v>19</v>
      </c>
      <c r="C247">
        <v>6400</v>
      </c>
      <c r="D247" s="1" t="s">
        <v>1344</v>
      </c>
      <c r="E247" s="1" t="s">
        <v>1345</v>
      </c>
    </row>
    <row r="248" spans="1:5">
      <c r="A248" s="1" t="s">
        <v>141</v>
      </c>
      <c r="B248">
        <v>5</v>
      </c>
      <c r="C248">
        <v>6400</v>
      </c>
      <c r="D248" s="1" t="s">
        <v>1344</v>
      </c>
      <c r="E248" s="1" t="s">
        <v>1345</v>
      </c>
    </row>
    <row r="249" spans="1:5">
      <c r="A249" s="1" t="s">
        <v>1040</v>
      </c>
      <c r="B249">
        <v>151</v>
      </c>
      <c r="C249">
        <v>6400</v>
      </c>
      <c r="D249" s="1" t="s">
        <v>1344</v>
      </c>
      <c r="E249" s="1" t="s">
        <v>1345</v>
      </c>
    </row>
    <row r="250" spans="1:5">
      <c r="A250" s="1" t="s">
        <v>142</v>
      </c>
      <c r="B250">
        <v>25</v>
      </c>
      <c r="C250">
        <v>6400</v>
      </c>
      <c r="D250" s="1" t="s">
        <v>1344</v>
      </c>
      <c r="E250" s="1" t="s">
        <v>1345</v>
      </c>
    </row>
    <row r="251" spans="1:5">
      <c r="A251" s="1" t="s">
        <v>143</v>
      </c>
      <c r="B251">
        <v>43</v>
      </c>
      <c r="C251">
        <v>6400</v>
      </c>
      <c r="D251" s="1" t="s">
        <v>1344</v>
      </c>
      <c r="E251" s="1" t="s">
        <v>1345</v>
      </c>
    </row>
    <row r="252" spans="1:5">
      <c r="A252" s="1" t="s">
        <v>130</v>
      </c>
      <c r="B252">
        <v>23</v>
      </c>
      <c r="C252">
        <v>6400</v>
      </c>
      <c r="D252" s="1" t="s">
        <v>1344</v>
      </c>
      <c r="E252" s="1" t="s">
        <v>1345</v>
      </c>
    </row>
    <row r="253" spans="1:5">
      <c r="A253" s="1" t="s">
        <v>144</v>
      </c>
      <c r="B253">
        <v>61</v>
      </c>
      <c r="C253">
        <v>6400</v>
      </c>
      <c r="D253" s="1" t="s">
        <v>1344</v>
      </c>
      <c r="E253" s="1" t="s">
        <v>1345</v>
      </c>
    </row>
    <row r="254" spans="1:5">
      <c r="A254" s="1" t="s">
        <v>144</v>
      </c>
      <c r="B254">
        <v>0</v>
      </c>
      <c r="C254">
        <v>6400</v>
      </c>
      <c r="D254" s="1" t="s">
        <v>1344</v>
      </c>
      <c r="E254" s="1" t="s">
        <v>1345</v>
      </c>
    </row>
    <row r="255" spans="1:5">
      <c r="A255" s="1" t="s">
        <v>1053</v>
      </c>
      <c r="B255">
        <v>41</v>
      </c>
      <c r="C255">
        <v>6400</v>
      </c>
      <c r="D255" s="1" t="s">
        <v>1344</v>
      </c>
      <c r="E255" s="1" t="s">
        <v>1345</v>
      </c>
    </row>
    <row r="256" spans="1:5">
      <c r="A256" s="1" t="s">
        <v>657</v>
      </c>
      <c r="B256">
        <v>42</v>
      </c>
      <c r="C256">
        <v>6400</v>
      </c>
      <c r="D256" s="1" t="s">
        <v>1344</v>
      </c>
      <c r="E256" s="1" t="s">
        <v>1345</v>
      </c>
    </row>
    <row r="257" spans="1:5">
      <c r="A257" s="1" t="s">
        <v>652</v>
      </c>
      <c r="B257">
        <v>1</v>
      </c>
      <c r="C257">
        <v>6400</v>
      </c>
      <c r="D257" s="1" t="s">
        <v>1344</v>
      </c>
      <c r="E257" s="1" t="s">
        <v>1345</v>
      </c>
    </row>
    <row r="258" spans="1:5">
      <c r="A258" s="1" t="s">
        <v>145</v>
      </c>
      <c r="B258">
        <v>39</v>
      </c>
      <c r="C258">
        <v>6400</v>
      </c>
      <c r="D258" s="1" t="s">
        <v>1344</v>
      </c>
      <c r="E258" s="1" t="s">
        <v>1345</v>
      </c>
    </row>
    <row r="259" spans="1:5">
      <c r="A259" s="1" t="s">
        <v>471</v>
      </c>
      <c r="B259">
        <v>98</v>
      </c>
      <c r="C259">
        <v>6400</v>
      </c>
      <c r="D259" s="1" t="s">
        <v>1344</v>
      </c>
      <c r="E259" s="1" t="s">
        <v>1345</v>
      </c>
    </row>
    <row r="260" spans="1:5">
      <c r="A260" s="1" t="s">
        <v>498</v>
      </c>
      <c r="B260">
        <v>6</v>
      </c>
      <c r="C260">
        <v>6400</v>
      </c>
      <c r="D260" s="1" t="s">
        <v>1344</v>
      </c>
      <c r="E260" s="1" t="s">
        <v>1345</v>
      </c>
    </row>
    <row r="261" spans="1:5">
      <c r="A261" s="1" t="s">
        <v>471</v>
      </c>
      <c r="B261">
        <v>24</v>
      </c>
      <c r="C261">
        <v>6400</v>
      </c>
      <c r="D261" s="1" t="s">
        <v>1344</v>
      </c>
      <c r="E261" s="1" t="s">
        <v>1345</v>
      </c>
    </row>
    <row r="262" spans="1:5">
      <c r="A262" s="1" t="s">
        <v>735</v>
      </c>
      <c r="B262">
        <v>20</v>
      </c>
      <c r="C262">
        <v>6400</v>
      </c>
      <c r="D262" s="1" t="s">
        <v>1344</v>
      </c>
      <c r="E262" s="1" t="s">
        <v>1345</v>
      </c>
    </row>
    <row r="263" spans="1:5">
      <c r="A263" s="1" t="s">
        <v>146</v>
      </c>
      <c r="B263">
        <v>2</v>
      </c>
      <c r="C263">
        <v>6400</v>
      </c>
      <c r="D263" s="1" t="s">
        <v>1344</v>
      </c>
      <c r="E263" s="1" t="s">
        <v>1345</v>
      </c>
    </row>
    <row r="264" spans="1:5">
      <c r="A264" s="1" t="s">
        <v>147</v>
      </c>
      <c r="B264">
        <v>2</v>
      </c>
      <c r="C264">
        <v>6400</v>
      </c>
      <c r="D264" s="1" t="s">
        <v>1344</v>
      </c>
      <c r="E264" s="1" t="s">
        <v>1345</v>
      </c>
    </row>
    <row r="265" spans="1:5">
      <c r="A265" s="1" t="s">
        <v>762</v>
      </c>
      <c r="B265">
        <v>104</v>
      </c>
      <c r="C265">
        <v>6400</v>
      </c>
      <c r="D265" s="1" t="s">
        <v>1344</v>
      </c>
      <c r="E265" s="1" t="s">
        <v>1345</v>
      </c>
    </row>
    <row r="266" spans="1:5">
      <c r="A266" s="1" t="s">
        <v>148</v>
      </c>
      <c r="B266">
        <v>22</v>
      </c>
      <c r="C266">
        <v>6400</v>
      </c>
      <c r="D266" s="1" t="s">
        <v>1344</v>
      </c>
      <c r="E266" s="1" t="s">
        <v>1345</v>
      </c>
    </row>
    <row r="267" spans="1:5">
      <c r="A267" s="1" t="s">
        <v>484</v>
      </c>
      <c r="B267">
        <v>11</v>
      </c>
      <c r="C267">
        <v>6400</v>
      </c>
      <c r="D267" s="1" t="s">
        <v>1344</v>
      </c>
      <c r="E267" s="1" t="s">
        <v>1345</v>
      </c>
    </row>
    <row r="268" spans="1:5">
      <c r="A268" s="1" t="s">
        <v>149</v>
      </c>
      <c r="B268">
        <v>0</v>
      </c>
      <c r="C268">
        <v>6400</v>
      </c>
      <c r="D268" s="1" t="s">
        <v>1344</v>
      </c>
      <c r="E268" s="1" t="s">
        <v>1345</v>
      </c>
    </row>
    <row r="269" spans="1:5">
      <c r="A269" s="1" t="s">
        <v>149</v>
      </c>
      <c r="B269">
        <v>999</v>
      </c>
      <c r="C269">
        <v>6400</v>
      </c>
      <c r="D269" s="1" t="s">
        <v>1344</v>
      </c>
      <c r="E269" s="1" t="s">
        <v>1345</v>
      </c>
    </row>
    <row r="270" spans="1:5">
      <c r="A270" s="1" t="s">
        <v>482</v>
      </c>
      <c r="B270">
        <v>9</v>
      </c>
      <c r="C270">
        <v>6400</v>
      </c>
      <c r="D270" s="1" t="s">
        <v>1344</v>
      </c>
      <c r="E270" s="1" t="s">
        <v>1345</v>
      </c>
    </row>
    <row r="271" spans="1:5">
      <c r="A271" s="1" t="s">
        <v>494</v>
      </c>
      <c r="B271">
        <v>0</v>
      </c>
      <c r="C271">
        <v>6400</v>
      </c>
      <c r="D271" s="1" t="s">
        <v>1344</v>
      </c>
      <c r="E271" s="1" t="s">
        <v>1345</v>
      </c>
    </row>
    <row r="272" spans="1:5">
      <c r="A272" s="1" t="s">
        <v>150</v>
      </c>
      <c r="B272">
        <v>2</v>
      </c>
      <c r="C272">
        <v>6400</v>
      </c>
      <c r="D272" s="1" t="s">
        <v>1344</v>
      </c>
      <c r="E272" s="1" t="s">
        <v>1345</v>
      </c>
    </row>
    <row r="273" spans="1:5">
      <c r="A273" s="1" t="s">
        <v>151</v>
      </c>
      <c r="B273">
        <v>30</v>
      </c>
      <c r="C273">
        <v>6400</v>
      </c>
      <c r="D273" s="1" t="s">
        <v>1344</v>
      </c>
      <c r="E273" s="1" t="s">
        <v>1345</v>
      </c>
    </row>
    <row r="274" spans="1:5">
      <c r="A274" s="1" t="s">
        <v>475</v>
      </c>
      <c r="B274">
        <v>0</v>
      </c>
      <c r="C274">
        <v>6400</v>
      </c>
      <c r="D274" s="1" t="s">
        <v>1344</v>
      </c>
      <c r="E274" s="1" t="s">
        <v>1345</v>
      </c>
    </row>
    <row r="275" spans="1:5">
      <c r="A275" s="1" t="s">
        <v>472</v>
      </c>
      <c r="B275">
        <v>10</v>
      </c>
      <c r="C275">
        <v>6400</v>
      </c>
      <c r="D275" s="1" t="s">
        <v>1344</v>
      </c>
      <c r="E275" s="1" t="s">
        <v>1345</v>
      </c>
    </row>
    <row r="276" spans="1:5">
      <c r="A276" s="1" t="s">
        <v>149</v>
      </c>
      <c r="B276">
        <v>0</v>
      </c>
      <c r="C276">
        <v>6400</v>
      </c>
      <c r="D276" s="1" t="s">
        <v>1344</v>
      </c>
      <c r="E276" s="1" t="s">
        <v>1345</v>
      </c>
    </row>
    <row r="277" spans="1:5">
      <c r="A277" s="1" t="s">
        <v>471</v>
      </c>
      <c r="C277">
        <v>6400</v>
      </c>
      <c r="D277" s="1" t="s">
        <v>1344</v>
      </c>
      <c r="E277" s="1" t="s">
        <v>1345</v>
      </c>
    </row>
    <row r="278" spans="1:5">
      <c r="A278" s="1" t="s">
        <v>458</v>
      </c>
      <c r="B278">
        <v>23</v>
      </c>
      <c r="C278">
        <v>6400</v>
      </c>
      <c r="D278" s="1" t="s">
        <v>1344</v>
      </c>
      <c r="E278" s="1" t="s">
        <v>1345</v>
      </c>
    </row>
    <row r="279" spans="1:5">
      <c r="A279" s="1" t="s">
        <v>144</v>
      </c>
      <c r="B279">
        <v>106</v>
      </c>
      <c r="C279">
        <v>6400</v>
      </c>
      <c r="D279" s="1" t="s">
        <v>1344</v>
      </c>
      <c r="E279" s="1" t="s">
        <v>1345</v>
      </c>
    </row>
    <row r="280" spans="1:5">
      <c r="A280" s="1" t="s">
        <v>1053</v>
      </c>
      <c r="B280">
        <v>52</v>
      </c>
      <c r="C280">
        <v>6400</v>
      </c>
      <c r="D280" s="1" t="s">
        <v>1344</v>
      </c>
      <c r="E280" s="1" t="s">
        <v>1345</v>
      </c>
    </row>
    <row r="281" spans="1:5">
      <c r="A281" s="1" t="s">
        <v>811</v>
      </c>
      <c r="B281">
        <v>90</v>
      </c>
      <c r="C281">
        <v>6400</v>
      </c>
      <c r="D281" s="1" t="s">
        <v>1344</v>
      </c>
      <c r="E281" s="1" t="s">
        <v>1345</v>
      </c>
    </row>
    <row r="282" spans="1:5">
      <c r="A282" s="1" t="s">
        <v>471</v>
      </c>
      <c r="B282">
        <v>156</v>
      </c>
      <c r="C282">
        <v>6400</v>
      </c>
      <c r="D282" s="1" t="s">
        <v>1344</v>
      </c>
      <c r="E282" s="1" t="s">
        <v>1345</v>
      </c>
    </row>
    <row r="283" spans="1:5">
      <c r="A283" s="1" t="s">
        <v>1293</v>
      </c>
      <c r="C283">
        <v>6430</v>
      </c>
      <c r="D283" s="1" t="s">
        <v>1161</v>
      </c>
    </row>
  </sheetData>
  <phoneticPr fontId="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8" sqref="M18"/>
    </sheetView>
  </sheetViews>
  <sheetFormatPr defaultRowHeight="12.75"/>
  <sheetData/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A2" workbookViewId="0">
      <selection activeCell="J18" sqref="J18"/>
    </sheetView>
  </sheetViews>
  <sheetFormatPr defaultRowHeight="12.75"/>
  <cols>
    <col min="1" max="1" width="34.28515625" bestFit="1" customWidth="1"/>
    <col min="2" max="3" width="12.85546875" bestFit="1" customWidth="1"/>
    <col min="4" max="5" width="12.85546875" customWidth="1"/>
    <col min="6" max="6" width="12.85546875" bestFit="1" customWidth="1"/>
    <col min="7" max="8" width="9.5703125" bestFit="1" customWidth="1"/>
    <col min="9" max="10" width="9.5703125" customWidth="1"/>
  </cols>
  <sheetData>
    <row r="1" spans="1:12">
      <c r="A1" s="2"/>
      <c r="B1" s="2" t="s">
        <v>1193</v>
      </c>
      <c r="C1" s="2"/>
      <c r="D1" s="2"/>
      <c r="E1" s="2"/>
      <c r="F1" s="2"/>
      <c r="G1" s="2" t="s">
        <v>1194</v>
      </c>
      <c r="H1" s="2"/>
      <c r="I1" s="2"/>
      <c r="J1" s="2"/>
    </row>
    <row r="2" spans="1:12">
      <c r="A2" s="2"/>
      <c r="B2" s="2">
        <v>2007</v>
      </c>
      <c r="C2" s="2">
        <v>2008</v>
      </c>
      <c r="D2" s="2">
        <v>2009</v>
      </c>
      <c r="E2" s="2">
        <v>2010</v>
      </c>
      <c r="F2" s="2"/>
      <c r="G2" s="2">
        <v>2007</v>
      </c>
      <c r="H2" s="2">
        <v>2008</v>
      </c>
      <c r="I2" s="2">
        <v>2009</v>
      </c>
      <c r="J2" s="2">
        <v>2010</v>
      </c>
    </row>
    <row r="3" spans="1:12">
      <c r="A3" t="s">
        <v>1187</v>
      </c>
      <c r="B3" s="11">
        <f>'Elforbrug ejendomme'!J327/1000</f>
        <v>11787.973</v>
      </c>
      <c r="C3" s="11">
        <f>'Elforbrug ejendomme'!I327/1000</f>
        <v>11612.829</v>
      </c>
      <c r="D3" s="11">
        <f>'Elforbrug ejendomme'!H327/1000</f>
        <v>11078.891</v>
      </c>
      <c r="E3" s="11">
        <f>'Elforbrug ejendomme'!G327/1000</f>
        <v>10824.468000000001</v>
      </c>
      <c r="F3" t="s">
        <v>415</v>
      </c>
      <c r="G3" s="23">
        <f>'Ejendomme samlet beregning'!B27</f>
        <v>5611.0751479999999</v>
      </c>
      <c r="H3" s="23">
        <f>'Ejendomme samlet beregning'!C27</f>
        <v>5585.7707490000003</v>
      </c>
      <c r="I3" s="23">
        <f>'Ejendomme samlet beregning'!D27</f>
        <v>5184.9209879999999</v>
      </c>
      <c r="J3" s="23">
        <f>'Ejendomme samlet beregning'!E27</f>
        <v>4925.1329400000004</v>
      </c>
      <c r="K3" s="35" t="s">
        <v>1227</v>
      </c>
      <c r="L3" t="s">
        <v>1195</v>
      </c>
    </row>
    <row r="4" spans="1:12" ht="25.5">
      <c r="A4" s="8" t="s">
        <v>1236</v>
      </c>
      <c r="B4" s="20">
        <f>'Ejendomme samlet beregning'!H13</f>
        <v>37910.747060083479</v>
      </c>
      <c r="C4" s="20">
        <f>'Ejendomme samlet beregning'!I13</f>
        <v>37636.521701462174</v>
      </c>
      <c r="D4" s="20">
        <f>'Ejendomme samlet beregning'!J13</f>
        <v>35779.404603525363</v>
      </c>
      <c r="E4" s="20">
        <f>'Ejendomme samlet beregning'!K13</f>
        <v>36950.759476642088</v>
      </c>
      <c r="F4" s="3" t="s">
        <v>415</v>
      </c>
      <c r="G4" s="25">
        <f>'Ejendomme samlet beregning'!B32</f>
        <v>7632.4001940320477</v>
      </c>
      <c r="H4" s="25">
        <f>'Ejendomme samlet beregning'!C32</f>
        <v>7529.0458386569644</v>
      </c>
      <c r="I4" s="25">
        <f>'Ejendomme samlet beregning'!D32</f>
        <v>7030.3825360931869</v>
      </c>
      <c r="J4" s="25">
        <f>'Ejendomme samlet beregning'!E32</f>
        <v>6995.0807927308306</v>
      </c>
      <c r="K4" s="35" t="s">
        <v>1227</v>
      </c>
      <c r="L4" s="3" t="s">
        <v>1225</v>
      </c>
    </row>
    <row r="5" spans="1:12" s="31" customFormat="1" ht="13.5" thickBot="1">
      <c r="B5" s="32" t="s">
        <v>1197</v>
      </c>
      <c r="C5" s="32"/>
      <c r="D5" s="32"/>
      <c r="E5" s="32"/>
      <c r="G5" s="33">
        <f>SUM(G3:G4)</f>
        <v>13243.475342032049</v>
      </c>
      <c r="H5" s="33">
        <f>SUM(H3:H4)</f>
        <v>13114.816587656966</v>
      </c>
      <c r="I5" s="33">
        <f>SUM(I3:I4)</f>
        <v>12215.303524093186</v>
      </c>
      <c r="J5" s="33">
        <f>SUM(J3:J4)</f>
        <v>11920.21373273083</v>
      </c>
      <c r="K5" s="34" t="s">
        <v>1227</v>
      </c>
    </row>
    <row r="6" spans="1:12" ht="13.5" thickTop="1">
      <c r="B6" s="20"/>
      <c r="C6" s="20"/>
      <c r="D6" s="20"/>
      <c r="E6" s="20"/>
      <c r="F6" s="3"/>
      <c r="G6" s="3"/>
    </row>
    <row r="7" spans="1:12" s="31" customFormat="1" ht="13.5" thickBot="1">
      <c r="A7" s="31" t="s">
        <v>1188</v>
      </c>
      <c r="B7" s="32">
        <f>'El til gadebelysning'!I284/1000</f>
        <v>4463.027</v>
      </c>
      <c r="C7" s="32">
        <f>'El til gadebelysning'!H284/1000</f>
        <v>4407.2709999999997</v>
      </c>
      <c r="D7" s="32">
        <f>'El til gadebelysning'!G284/1000</f>
        <v>4464.0630000000001</v>
      </c>
      <c r="E7" s="32">
        <f>'El til gadebelysning'!F284/1000</f>
        <v>4372.7920000000004</v>
      </c>
      <c r="F7" s="31" t="s">
        <v>415</v>
      </c>
      <c r="G7" s="33">
        <f>B7*'Ejendomme samlet beregning'!B39/1000</f>
        <v>2124.4008519999998</v>
      </c>
      <c r="H7" s="33">
        <f>C7*'Ejendomme samlet beregning'!C39/1000</f>
        <v>2119.8973509999996</v>
      </c>
      <c r="I7" s="33">
        <f>D7*'Ejendomme samlet beregning'!D39/1000</f>
        <v>2089.1814839999997</v>
      </c>
      <c r="J7" s="33">
        <f>E7*'Ejendomme samlet beregning'!E39/1000</f>
        <v>1989.6203600000001</v>
      </c>
      <c r="K7" s="31" t="s">
        <v>1227</v>
      </c>
    </row>
    <row r="8" spans="1:12" s="289" customFormat="1" ht="13.5" thickTop="1">
      <c r="B8" s="290"/>
      <c r="C8" s="290"/>
      <c r="D8" s="290"/>
      <c r="E8" s="290"/>
      <c r="G8" s="291"/>
      <c r="H8" s="291"/>
      <c r="I8" s="291"/>
      <c r="J8" s="291"/>
    </row>
    <row r="10" spans="1:12">
      <c r="A10" s="2" t="s">
        <v>42</v>
      </c>
      <c r="G10" s="2" t="s">
        <v>1194</v>
      </c>
    </row>
    <row r="11" spans="1:12">
      <c r="B11" s="2">
        <v>2007</v>
      </c>
      <c r="C11" s="2">
        <v>2008</v>
      </c>
      <c r="D11" s="2">
        <v>2009</v>
      </c>
      <c r="E11" s="2">
        <v>2010</v>
      </c>
      <c r="F11" s="2"/>
      <c r="G11" s="2">
        <v>2007</v>
      </c>
      <c r="H11" s="2">
        <v>2008</v>
      </c>
      <c r="I11" s="2">
        <v>2009</v>
      </c>
      <c r="J11" s="2">
        <v>2010</v>
      </c>
    </row>
    <row r="12" spans="1:12" ht="25.5">
      <c r="A12" s="29" t="s">
        <v>1235</v>
      </c>
      <c r="B12" s="11">
        <f>'egne og leasede køretøjer'!C20</f>
        <v>201283</v>
      </c>
      <c r="C12" s="11">
        <f>'egne og leasede køretøjer'!D20</f>
        <v>244805.66915468857</v>
      </c>
      <c r="D12" s="11">
        <f>'egne og leasede køretøjer'!E20</f>
        <v>258121.99454753319</v>
      </c>
      <c r="E12" s="11">
        <f>'egne og leasede køretøjer'!F20</f>
        <v>239968.55960769899</v>
      </c>
      <c r="F12" s="3" t="s">
        <v>1220</v>
      </c>
      <c r="G12" s="11">
        <f>'egne og leasede køretøjer'!C21</f>
        <v>498.16515956699999</v>
      </c>
      <c r="H12" s="11">
        <f>'egne og leasede køretøjer'!D21</f>
        <v>605.8815460687274</v>
      </c>
      <c r="I12" s="11">
        <f>'egne og leasede køretøjer'!E21</f>
        <v>638.83877228342271</v>
      </c>
      <c r="J12" s="11">
        <f>'egne og leasede køretøjer'!F21</f>
        <v>593.90994663251502</v>
      </c>
      <c r="K12" s="3" t="s">
        <v>1227</v>
      </c>
    </row>
    <row r="13" spans="1:12">
      <c r="A13" s="3" t="s">
        <v>1234</v>
      </c>
      <c r="B13" s="20">
        <f>'egne og leasede køretøjer'!C26+'egne og leasede køretøjer'!C27</f>
        <v>355990</v>
      </c>
      <c r="C13" s="20">
        <f>'egne og leasede køretøjer'!D26+'egne og leasede køretøjer'!D27</f>
        <v>304468</v>
      </c>
      <c r="D13" s="20">
        <f>'egne og leasede køretøjer'!E26+'egne og leasede køretøjer'!E27</f>
        <v>306938</v>
      </c>
      <c r="E13" s="20">
        <f>'egne og leasede køretøjer'!F26+'egne og leasede køretøjer'!F27</f>
        <v>398763</v>
      </c>
      <c r="F13" s="3" t="s">
        <v>1220</v>
      </c>
      <c r="G13" s="11">
        <f>'egne og leasede køretøjer'!C28</f>
        <v>941.89368772</v>
      </c>
      <c r="H13" s="11">
        <f>'egne og leasede køretøjer'!D28</f>
        <v>805.13472135999996</v>
      </c>
      <c r="I13" s="11">
        <f>'egne og leasede køretøjer'!E28</f>
        <v>812.39748544000008</v>
      </c>
      <c r="J13" s="11">
        <f>'egne og leasede køretøjer'!F28</f>
        <v>1056.6478199500002</v>
      </c>
      <c r="K13" s="3" t="s">
        <v>1227</v>
      </c>
    </row>
    <row r="14" spans="1:12">
      <c r="A14" s="3" t="s">
        <v>47</v>
      </c>
      <c r="B14" s="20">
        <f>'egne og leasede køretøjer'!C30</f>
        <v>13577.02</v>
      </c>
      <c r="C14" s="20">
        <f>'egne og leasede køretøjer'!D30</f>
        <v>17286</v>
      </c>
      <c r="D14" s="20">
        <f>'egne og leasede køretøjer'!E30</f>
        <v>20270</v>
      </c>
      <c r="E14" s="20">
        <f>'egne og leasede køretøjer'!F30</f>
        <v>16680</v>
      </c>
      <c r="F14" s="3" t="s">
        <v>41</v>
      </c>
      <c r="G14" s="24">
        <f>'egne og leasede køretøjer'!C31</f>
        <v>40.595289800000003</v>
      </c>
      <c r="H14" s="24">
        <f>'egne og leasede køretøjer'!D31</f>
        <v>51.685139999999997</v>
      </c>
      <c r="I14" s="24">
        <f>'egne og leasede køretøjer'!E31</f>
        <v>60.607300000000002</v>
      </c>
      <c r="J14" s="24">
        <f>'egne og leasede køretøjer'!F31</f>
        <v>49.873199999999997</v>
      </c>
      <c r="K14" s="3" t="s">
        <v>1227</v>
      </c>
    </row>
    <row r="16" spans="1:12" ht="14.25">
      <c r="B16" s="30"/>
      <c r="G16" s="11">
        <f>SUM(G12:G14)</f>
        <v>1480.654137087</v>
      </c>
      <c r="H16" s="11">
        <f>SUM(H12:H14)</f>
        <v>1462.7014074287274</v>
      </c>
      <c r="I16" s="11">
        <f>SUM(I12:I14)</f>
        <v>1511.8435577234227</v>
      </c>
      <c r="J16" s="11">
        <f>SUM(J12:J14)</f>
        <v>1700.4309665825153</v>
      </c>
    </row>
    <row r="17" spans="1:10" s="343" customFormat="1" ht="14.25">
      <c r="A17" s="343" t="s">
        <v>1528</v>
      </c>
      <c r="B17" s="344"/>
      <c r="G17" s="345">
        <f>SUM(G5,G7,G16)</f>
        <v>16848.530331119047</v>
      </c>
      <c r="H17" s="345">
        <f>SUM(H5,H7,H16)</f>
        <v>16697.415346085694</v>
      </c>
      <c r="I17" s="345">
        <f>SUM(I5,I7,I16)</f>
        <v>15816.32856581661</v>
      </c>
      <c r="J17" s="345">
        <f>SUM(J5,J7,J16)</f>
        <v>15610.265059313346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topLeftCell="A16" workbookViewId="0">
      <selection activeCell="F28" sqref="F28"/>
    </sheetView>
  </sheetViews>
  <sheetFormatPr defaultRowHeight="12.75"/>
  <cols>
    <col min="1" max="1" width="16.28515625" style="2" bestFit="1" customWidth="1"/>
    <col min="2" max="2" width="17.7109375" bestFit="1" customWidth="1"/>
    <col min="3" max="3" width="15" bestFit="1" customWidth="1"/>
    <col min="4" max="6" width="15" customWidth="1"/>
    <col min="7" max="7" width="16" customWidth="1"/>
    <col min="8" max="9" width="11.28515625" bestFit="1" customWidth="1"/>
    <col min="10" max="11" width="11.28515625" customWidth="1"/>
    <col min="13" max="15" width="11.5703125" customWidth="1"/>
  </cols>
  <sheetData>
    <row r="1" spans="1:15" s="2" customFormat="1">
      <c r="A1" s="2" t="s">
        <v>1199</v>
      </c>
      <c r="B1" s="2">
        <v>2007</v>
      </c>
      <c r="C1" s="2">
        <v>2008</v>
      </c>
      <c r="D1" s="2">
        <v>2009</v>
      </c>
      <c r="E1" s="2">
        <v>2010</v>
      </c>
      <c r="G1" s="2" t="s">
        <v>7</v>
      </c>
      <c r="H1" s="2">
        <v>2007</v>
      </c>
      <c r="I1" s="2">
        <v>2008</v>
      </c>
      <c r="J1" s="2">
        <v>2009</v>
      </c>
      <c r="K1" s="2">
        <v>2010</v>
      </c>
    </row>
    <row r="2" spans="1:15">
      <c r="A2" s="2" t="s">
        <v>1103</v>
      </c>
      <c r="B2" s="20">
        <f>'Elforbrug ejendomme'!J327</f>
        <v>11787973</v>
      </c>
      <c r="C2" s="20">
        <f>'Elforbrug ejendomme'!I327</f>
        <v>11612829</v>
      </c>
      <c r="D2" s="20">
        <f>'Elforbrug ejendomme'!H327</f>
        <v>11078891</v>
      </c>
      <c r="E2" s="20">
        <f>'Elforbrug ejendomme'!G327</f>
        <v>10824468</v>
      </c>
      <c r="F2" s="20"/>
      <c r="G2" s="3" t="s">
        <v>6</v>
      </c>
      <c r="H2" s="24">
        <f>B2/1000</f>
        <v>11787.973</v>
      </c>
      <c r="I2" s="24">
        <f>C2/1000</f>
        <v>11612.829</v>
      </c>
      <c r="J2" s="24">
        <f>D2/1000</f>
        <v>11078.891</v>
      </c>
      <c r="K2" s="24">
        <f>E2/1000</f>
        <v>10824.468000000001</v>
      </c>
    </row>
    <row r="3" spans="1:15">
      <c r="A3" s="2" t="s">
        <v>1113</v>
      </c>
      <c r="B3" s="11">
        <f>'Varmeforbrug ejendomme'!H241</f>
        <v>1296630.8999999999</v>
      </c>
      <c r="C3" s="11">
        <f>'Varmeforbrug ejendomme'!I241</f>
        <v>1319031.8999999999</v>
      </c>
      <c r="D3" s="11">
        <f>'Varmeforbrug ejendomme'!J241</f>
        <v>1361777</v>
      </c>
      <c r="E3" s="11">
        <f>'Varmeforbrug ejendomme'!K241</f>
        <v>1541631</v>
      </c>
      <c r="G3" s="3" t="s">
        <v>1191</v>
      </c>
      <c r="H3" s="20">
        <f>'Varmeforbrug ejendomme'!N241</f>
        <v>14262.939900000001</v>
      </c>
      <c r="I3" s="20">
        <f>'Varmeforbrug ejendomme'!O241</f>
        <v>14509.350899999998</v>
      </c>
      <c r="J3" s="20">
        <f>'Varmeforbrug ejendomme'!P241</f>
        <v>14979.547000000004</v>
      </c>
      <c r="K3" s="20">
        <f>'Varmeforbrug ejendomme'!Q241</f>
        <v>16957.941000000003</v>
      </c>
    </row>
    <row r="4" spans="1:15">
      <c r="A4" s="2" t="s">
        <v>1104</v>
      </c>
      <c r="B4" s="20">
        <f>'CO2 fjernvarme'!B8</f>
        <v>18078.897444444443</v>
      </c>
      <c r="C4" s="20">
        <f>'CO2 fjernvarme'!C8</f>
        <v>18370.863111111114</v>
      </c>
      <c r="D4" s="20">
        <f>'CO2 fjernvarme'!D8</f>
        <v>19897.76733333333</v>
      </c>
      <c r="E4" s="20">
        <f>'CO2 fjernvarme'!E8</f>
        <v>22046.901444444447</v>
      </c>
      <c r="F4" s="20"/>
      <c r="G4" s="3" t="s">
        <v>1104</v>
      </c>
      <c r="H4" s="24">
        <f>B4</f>
        <v>18078.897444444443</v>
      </c>
      <c r="I4" s="24">
        <f>C4</f>
        <v>18370.863111111114</v>
      </c>
      <c r="J4" s="24">
        <f>D4</f>
        <v>19897.76733333333</v>
      </c>
      <c r="K4" s="24">
        <f>E4</f>
        <v>22046.901444444447</v>
      </c>
    </row>
    <row r="5" spans="1:15">
      <c r="A5" s="2" t="s">
        <v>1112</v>
      </c>
      <c r="B5" s="11">
        <f>'Varmeforbrug ejendomme'!H263</f>
        <v>80907</v>
      </c>
      <c r="C5" s="11">
        <f>'Varmeforbrug ejendomme'!I263</f>
        <v>81517</v>
      </c>
      <c r="D5" s="11">
        <f>'Varmeforbrug ejendomme'!J263</f>
        <v>47325</v>
      </c>
      <c r="E5" s="11">
        <f>'Varmeforbrug ejendomme'!K263</f>
        <v>47325</v>
      </c>
      <c r="G5" s="3" t="s">
        <v>1190</v>
      </c>
      <c r="H5" s="20">
        <f>'Varmeforbrug ejendomme'!N263</f>
        <v>809.07</v>
      </c>
      <c r="I5" s="20">
        <f>'Varmeforbrug ejendomme'!O263</f>
        <v>815.17000000000007</v>
      </c>
      <c r="J5" s="20">
        <f>'Varmeforbrug ejendomme'!P263</f>
        <v>473.25</v>
      </c>
      <c r="K5" s="20">
        <f>'Varmeforbrug ejendomme'!Q263</f>
        <v>473.25</v>
      </c>
    </row>
    <row r="6" spans="1:15" ht="13.5" thickBot="1">
      <c r="B6" s="20"/>
      <c r="C6" s="20"/>
      <c r="D6" s="20"/>
      <c r="E6" s="20"/>
      <c r="F6" s="20"/>
      <c r="G6" s="31"/>
      <c r="H6" s="284">
        <f>SUM(H2:H5)</f>
        <v>44938.880344444442</v>
      </c>
      <c r="I6" s="284">
        <f>SUM(I2:I5)</f>
        <v>45308.213011111104</v>
      </c>
      <c r="J6" s="284">
        <f>SUM(J2:J5)</f>
        <v>46429.455333333332</v>
      </c>
      <c r="K6" s="284">
        <f>SUM(K2:K5)</f>
        <v>50302.560444444447</v>
      </c>
      <c r="M6" s="20"/>
      <c r="N6" s="20"/>
      <c r="O6" s="20"/>
    </row>
    <row r="7" spans="1:15" ht="13.5" thickTop="1">
      <c r="B7" s="20"/>
      <c r="C7" s="20"/>
      <c r="D7" s="20"/>
      <c r="E7" s="20"/>
      <c r="F7" s="20"/>
      <c r="M7" s="21" t="s">
        <v>1198</v>
      </c>
      <c r="N7" s="21"/>
      <c r="O7" s="21"/>
    </row>
    <row r="8" spans="1:15">
      <c r="B8" s="20"/>
      <c r="C8" s="20"/>
      <c r="D8" s="20"/>
      <c r="E8" s="20"/>
      <c r="F8" s="20"/>
      <c r="M8" s="20"/>
      <c r="N8" s="20"/>
      <c r="O8" s="20"/>
    </row>
    <row r="9" spans="1:15">
      <c r="A9" s="2" t="s">
        <v>1116</v>
      </c>
      <c r="B9" s="20"/>
      <c r="C9" s="20"/>
      <c r="D9" s="20"/>
      <c r="E9" s="20"/>
      <c r="F9" s="20"/>
      <c r="G9" s="2" t="s">
        <v>1116</v>
      </c>
      <c r="M9" s="20"/>
      <c r="N9" s="20"/>
      <c r="O9" s="20"/>
    </row>
    <row r="10" spans="1:15">
      <c r="A10" s="2" t="s">
        <v>1113</v>
      </c>
      <c r="B10" s="20">
        <f>'Varmeforbrug ejendomme'!N241</f>
        <v>14262.939900000001</v>
      </c>
      <c r="C10" s="20">
        <f>'Varmeforbrug ejendomme'!O241</f>
        <v>14509.350899999998</v>
      </c>
      <c r="D10" s="20">
        <f>'Varmeforbrug ejendomme'!P241</f>
        <v>14979.547000000004</v>
      </c>
      <c r="E10" s="20">
        <f>'Varmeforbrug ejendomme'!Q241</f>
        <v>16957.941000000003</v>
      </c>
      <c r="F10" s="20"/>
      <c r="G10" s="3" t="s">
        <v>1191</v>
      </c>
      <c r="H10" s="24">
        <f>'Varmeforbrug ejendomme'!S241</f>
        <v>16599.180199916966</v>
      </c>
      <c r="I10" s="24">
        <f>'Varmeforbrug ejendomme'!T241</f>
        <v>16717.55933816154</v>
      </c>
      <c r="J10" s="24">
        <f>'Varmeforbrug ejendomme'!U241</f>
        <v>15717.057697226548</v>
      </c>
      <c r="K10" s="24">
        <f>'Varmeforbrug ejendomme'!V241</f>
        <v>15565.871285524792</v>
      </c>
      <c r="L10">
        <v>204.08</v>
      </c>
      <c r="M10">
        <v>204.08</v>
      </c>
    </row>
    <row r="11" spans="1:15">
      <c r="A11" s="2" t="s">
        <v>1104</v>
      </c>
      <c r="B11" s="20">
        <f>'CO2 fjernvarme'!B20</f>
        <v>20482.152101123342</v>
      </c>
      <c r="C11" s="20">
        <f>'CO2 fjernvarme'!C20</f>
        <v>20083.294214525828</v>
      </c>
      <c r="D11" s="20">
        <f>'CO2 fjernvarme'!D20</f>
        <v>19577.196629169295</v>
      </c>
      <c r="E11" s="20">
        <f>'CO2 fjernvarme'!E20</f>
        <v>20899.737913987774</v>
      </c>
      <c r="F11" s="20"/>
      <c r="G11" s="3" t="s">
        <v>1104</v>
      </c>
      <c r="H11" s="24">
        <f>'Varmeforbrug ejendomme'!S151</f>
        <v>20482.152101123338</v>
      </c>
      <c r="I11" s="24">
        <f>'Varmeforbrug ejendomme'!T151</f>
        <v>20083.294214525831</v>
      </c>
      <c r="J11" s="24">
        <f>'Varmeforbrug ejendomme'!U151</f>
        <v>19577.196629169295</v>
      </c>
      <c r="K11" s="24">
        <f>'Varmeforbrug ejendomme'!V151</f>
        <v>20899.737913987774</v>
      </c>
      <c r="L11" t="s">
        <v>1196</v>
      </c>
      <c r="M11" s="20"/>
      <c r="N11" s="20"/>
      <c r="O11" s="20"/>
    </row>
    <row r="12" spans="1:15">
      <c r="A12" s="2" t="s">
        <v>1112</v>
      </c>
      <c r="B12" s="20">
        <f>H12*100</f>
        <v>82941.475904317384</v>
      </c>
      <c r="C12" s="20">
        <f>I12*100</f>
        <v>83566.814877479585</v>
      </c>
      <c r="D12" s="20">
        <f>J12*100</f>
        <v>48515.027712952156</v>
      </c>
      <c r="E12" s="20">
        <f>K12*100</f>
        <v>48515.027712952156</v>
      </c>
      <c r="F12" s="20"/>
      <c r="G12" s="3" t="s">
        <v>1482</v>
      </c>
      <c r="H12" s="24">
        <f>'Varmeforbrug ejendomme'!S263</f>
        <v>829.41475904317383</v>
      </c>
      <c r="I12" s="24">
        <f>'Varmeforbrug ejendomme'!T263</f>
        <v>835.66814877479578</v>
      </c>
      <c r="J12" s="24">
        <f>'Varmeforbrug ejendomme'!U263</f>
        <v>485.15027712952156</v>
      </c>
      <c r="K12" s="24">
        <f>'Varmeforbrug ejendomme'!V263</f>
        <v>485.15027712952156</v>
      </c>
      <c r="L12">
        <v>266.39999999999998</v>
      </c>
      <c r="M12">
        <v>266.39999999999998</v>
      </c>
    </row>
    <row r="13" spans="1:15" ht="13.5" thickBot="1">
      <c r="G13" s="31" t="s">
        <v>1192</v>
      </c>
      <c r="H13" s="284">
        <f>SUM(H10:H12)</f>
        <v>37910.747060083479</v>
      </c>
      <c r="I13" s="284">
        <f>SUM(I10:I12)</f>
        <v>37636.521701462174</v>
      </c>
      <c r="J13" s="284">
        <f>SUM(J10:J12)</f>
        <v>35779.404603525363</v>
      </c>
      <c r="K13" s="284">
        <f>SUM(K10:K12)</f>
        <v>36950.759476642088</v>
      </c>
    </row>
    <row r="14" spans="1:15" ht="13.5" thickTop="1"/>
    <row r="15" spans="1:15">
      <c r="G15" s="3" t="s">
        <v>18</v>
      </c>
    </row>
    <row r="17" spans="1:7" s="2" customFormat="1">
      <c r="A17" s="2" t="s">
        <v>8</v>
      </c>
      <c r="B17" s="2">
        <v>2007</v>
      </c>
      <c r="C17" s="2">
        <v>2008</v>
      </c>
      <c r="D17" s="2">
        <v>2009</v>
      </c>
      <c r="E17" s="2">
        <v>2010</v>
      </c>
    </row>
    <row r="18" spans="1:7" s="2" customFormat="1">
      <c r="B18" s="280" t="s">
        <v>1227</v>
      </c>
      <c r="C18" s="280" t="s">
        <v>1227</v>
      </c>
      <c r="D18" s="280" t="s">
        <v>1227</v>
      </c>
      <c r="E18" s="280" t="s">
        <v>1227</v>
      </c>
    </row>
    <row r="19" spans="1:7">
      <c r="A19" s="2" t="s">
        <v>9</v>
      </c>
      <c r="B19" s="24">
        <f t="shared" ref="B19:E20" si="0">B39*H2/1000</f>
        <v>5611.0751479999999</v>
      </c>
      <c r="C19" s="24">
        <f t="shared" si="0"/>
        <v>5585.7707490000003</v>
      </c>
      <c r="D19" s="24">
        <f t="shared" si="0"/>
        <v>5184.9209879999999</v>
      </c>
      <c r="E19" s="24">
        <f t="shared" si="0"/>
        <v>4925.1329400000004</v>
      </c>
      <c r="G19" s="3"/>
    </row>
    <row r="20" spans="1:7">
      <c r="A20" s="2" t="s">
        <v>10</v>
      </c>
      <c r="B20" s="24">
        <f t="shared" si="0"/>
        <v>2910.7807747920006</v>
      </c>
      <c r="C20" s="24">
        <f t="shared" si="0"/>
        <v>2961.0683316719997</v>
      </c>
      <c r="D20" s="24">
        <f t="shared" si="0"/>
        <v>3059.7222702200006</v>
      </c>
      <c r="E20" s="24">
        <f t="shared" si="0"/>
        <v>3463.8290286600004</v>
      </c>
      <c r="G20" s="3"/>
    </row>
    <row r="21" spans="1:7">
      <c r="A21" s="2" t="s">
        <v>1093</v>
      </c>
      <c r="B21" s="11">
        <f>'CO2 fjernvarme'!L8</f>
        <v>3531.9613641111114</v>
      </c>
      <c r="C21" s="11">
        <f>'CO2 fjernvarme'!M8</f>
        <v>3547.638060555556</v>
      </c>
      <c r="D21" s="11">
        <f>'CO2 fjernvarme'!N8</f>
        <v>3703.9929936666663</v>
      </c>
      <c r="E21" s="11">
        <f>'CO2 fjernvarme'!O8</f>
        <v>3898.4563665555556</v>
      </c>
      <c r="G21" s="3"/>
    </row>
    <row r="22" spans="1:7">
      <c r="A22" s="2" t="s">
        <v>11</v>
      </c>
      <c r="B22" s="24">
        <f>H5*B41/1000</f>
        <v>215.536248</v>
      </c>
      <c r="C22" s="24">
        <f>I5*C41/1000</f>
        <v>217.16128800000001</v>
      </c>
      <c r="D22" s="24">
        <f>J5*D41/1000</f>
        <v>126.07379999999999</v>
      </c>
      <c r="E22" s="24">
        <f>K5*E41/1000</f>
        <v>126.07379999999999</v>
      </c>
      <c r="G22" s="3"/>
    </row>
    <row r="23" spans="1:7" s="2" customFormat="1" ht="13.5" thickBot="1">
      <c r="A23" s="31" t="s">
        <v>1241</v>
      </c>
      <c r="B23" s="284">
        <f>SUM(B19:B22)</f>
        <v>12269.353534903114</v>
      </c>
      <c r="C23" s="284">
        <f>SUM(C19:C22)</f>
        <v>12311.638429227554</v>
      </c>
      <c r="D23" s="284">
        <f>SUM(D19:D22)</f>
        <v>12074.710051886666</v>
      </c>
      <c r="E23" s="284">
        <f>SUM(E19:E22)</f>
        <v>12413.492135215558</v>
      </c>
    </row>
    <row r="24" spans="1:7" ht="13.5" thickTop="1"/>
    <row r="25" spans="1:7">
      <c r="A25" s="2" t="s">
        <v>12</v>
      </c>
      <c r="B25" s="2">
        <v>2007</v>
      </c>
      <c r="C25" s="2">
        <v>2008</v>
      </c>
      <c r="D25" s="2">
        <v>2009</v>
      </c>
      <c r="E25" s="2">
        <v>2010</v>
      </c>
    </row>
    <row r="26" spans="1:7">
      <c r="A26" s="280" t="s">
        <v>1228</v>
      </c>
      <c r="B26" s="280" t="s">
        <v>1227</v>
      </c>
      <c r="C26" s="280" t="s">
        <v>1227</v>
      </c>
      <c r="D26" s="280" t="s">
        <v>1227</v>
      </c>
      <c r="E26" s="280" t="s">
        <v>1227</v>
      </c>
    </row>
    <row r="27" spans="1:7">
      <c r="A27" s="2" t="s">
        <v>9</v>
      </c>
      <c r="B27" s="24">
        <f>H2*B39/1000</f>
        <v>5611.0751479999999</v>
      </c>
      <c r="C27" s="24">
        <f>I2*C39/1000</f>
        <v>5585.7707490000003</v>
      </c>
      <c r="D27" s="24">
        <f>J2*D39/1000</f>
        <v>5184.9209879999999</v>
      </c>
      <c r="E27" s="24">
        <f>K2*E39/1000</f>
        <v>4925.1329400000004</v>
      </c>
    </row>
    <row r="28" spans="1:7">
      <c r="A28" s="2" t="s">
        <v>10</v>
      </c>
      <c r="B28" s="24">
        <f>H10*B40/1000</f>
        <v>3387.5606951990549</v>
      </c>
      <c r="C28" s="24">
        <f>I10*C40/1000</f>
        <v>3411.7195097320068</v>
      </c>
      <c r="D28" s="24">
        <f>J10*D40/1000</f>
        <v>3210.3662052354948</v>
      </c>
      <c r="E28" s="24">
        <f>K10*E40/1000</f>
        <v>3179.4848687812937</v>
      </c>
      <c r="G28" s="3"/>
    </row>
    <row r="29" spans="1:7">
      <c r="A29" s="2" t="s">
        <v>1093</v>
      </c>
      <c r="B29" s="11">
        <f>'CO2 fjernvarme'!L20</f>
        <v>4023.8834070238918</v>
      </c>
      <c r="C29" s="11">
        <f>'CO2 fjernvarme'!M20</f>
        <v>3894.7043340913524</v>
      </c>
      <c r="D29" s="11">
        <f>'CO2 fjernvarme'!N20</f>
        <v>3690.7722970303876</v>
      </c>
      <c r="E29" s="11">
        <f>'CO2 fjernvarme'!O20</f>
        <v>3686.3518901222324</v>
      </c>
      <c r="G29" s="3"/>
    </row>
    <row r="30" spans="1:7">
      <c r="A30" s="2" t="s">
        <v>11</v>
      </c>
      <c r="B30" s="24">
        <f>H12*B41/1000</f>
        <v>220.95609180910148</v>
      </c>
      <c r="C30" s="24">
        <f>I12*C41/1000</f>
        <v>222.62199483360556</v>
      </c>
      <c r="D30" s="24">
        <f>J12*D41/1000</f>
        <v>129.24403382730455</v>
      </c>
      <c r="E30" s="24">
        <f>K12*E41/1000</f>
        <v>129.24403382730455</v>
      </c>
      <c r="G30" s="3"/>
    </row>
    <row r="31" spans="1:7" ht="13.5" thickBot="1">
      <c r="A31" s="282" t="s">
        <v>1241</v>
      </c>
      <c r="B31" s="283">
        <f>SUM(B27:B30)</f>
        <v>13243.475342032049</v>
      </c>
      <c r="C31" s="283">
        <f>SUM(C27:C30)</f>
        <v>13114.816587656964</v>
      </c>
      <c r="D31" s="283">
        <f>SUM(D27:D30)</f>
        <v>12215.303524093186</v>
      </c>
      <c r="E31" s="283">
        <f>SUM(E27:E30)</f>
        <v>11920.21373273083</v>
      </c>
    </row>
    <row r="32" spans="1:7" ht="13.5" thickTop="1">
      <c r="A32" s="2" t="s">
        <v>19</v>
      </c>
      <c r="B32" s="281">
        <f>SUM(B28:B30)</f>
        <v>7632.4001940320477</v>
      </c>
      <c r="C32" s="281">
        <f>SUM(C28:C30)</f>
        <v>7529.0458386569644</v>
      </c>
      <c r="D32" s="281">
        <f>SUM(D28:D30)</f>
        <v>7030.3825360931869</v>
      </c>
      <c r="E32" s="281">
        <f>SUM(E28:E30)</f>
        <v>6995.0807927308306</v>
      </c>
    </row>
    <row r="33" spans="1:5">
      <c r="B33" s="24"/>
      <c r="C33" s="24"/>
      <c r="D33" s="24"/>
      <c r="E33" s="24"/>
    </row>
    <row r="34" spans="1:5">
      <c r="A34" s="3" t="s">
        <v>1474</v>
      </c>
    </row>
    <row r="35" spans="1:5">
      <c r="A35" s="3" t="s">
        <v>1475</v>
      </c>
    </row>
    <row r="37" spans="1:5">
      <c r="A37" s="2" t="s">
        <v>17</v>
      </c>
      <c r="C37" s="2"/>
      <c r="D37" s="2"/>
      <c r="E37" s="2"/>
    </row>
    <row r="38" spans="1:5">
      <c r="B38" s="2">
        <v>2007</v>
      </c>
      <c r="C38" s="2">
        <v>2008</v>
      </c>
      <c r="D38" s="2">
        <v>2009</v>
      </c>
      <c r="E38" s="2">
        <v>2010</v>
      </c>
    </row>
    <row r="39" spans="1:5">
      <c r="A39" s="2" t="s">
        <v>13</v>
      </c>
      <c r="B39">
        <v>476</v>
      </c>
      <c r="C39" s="20">
        <v>481</v>
      </c>
      <c r="D39" s="20">
        <v>468</v>
      </c>
      <c r="E39" s="20">
        <v>455</v>
      </c>
    </row>
    <row r="40" spans="1:5">
      <c r="A40" s="2" t="s">
        <v>14</v>
      </c>
      <c r="B40">
        <v>204.08</v>
      </c>
      <c r="C40">
        <v>204.08</v>
      </c>
      <c r="D40">
        <v>204.26</v>
      </c>
      <c r="E40">
        <v>204.26</v>
      </c>
    </row>
    <row r="41" spans="1:5">
      <c r="A41" s="2" t="s">
        <v>15</v>
      </c>
      <c r="B41">
        <v>266.39999999999998</v>
      </c>
      <c r="C41">
        <v>266.39999999999998</v>
      </c>
      <c r="D41">
        <v>266.39999999999998</v>
      </c>
      <c r="E41">
        <v>266.39999999999998</v>
      </c>
    </row>
    <row r="42" spans="1:5">
      <c r="A42" s="2" t="s">
        <v>16</v>
      </c>
      <c r="B42" t="s">
        <v>1196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opLeftCell="A4" workbookViewId="0">
      <selection activeCell="A27" sqref="A27"/>
    </sheetView>
  </sheetViews>
  <sheetFormatPr defaultRowHeight="12.75"/>
  <cols>
    <col min="1" max="1" width="17.7109375" customWidth="1"/>
    <col min="2" max="3" width="12" bestFit="1" customWidth="1"/>
    <col min="4" max="4" width="10.7109375" customWidth="1"/>
    <col min="5" max="5" width="11.5703125" customWidth="1"/>
    <col min="7" max="7" width="10.85546875" bestFit="1" customWidth="1"/>
    <col min="8" max="8" width="10.85546875" customWidth="1"/>
    <col min="9" max="11" width="10.28515625" customWidth="1"/>
    <col min="12" max="12" width="13.7109375" bestFit="1" customWidth="1"/>
  </cols>
  <sheetData>
    <row r="1" spans="1:18">
      <c r="A1" s="2" t="s">
        <v>2</v>
      </c>
      <c r="B1" s="278"/>
      <c r="C1" s="279"/>
      <c r="D1" s="341" t="s">
        <v>1467</v>
      </c>
      <c r="E1" s="341" t="s">
        <v>1468</v>
      </c>
      <c r="F1" s="341"/>
      <c r="G1" s="339" t="s">
        <v>1189</v>
      </c>
      <c r="H1" s="339" t="s">
        <v>0</v>
      </c>
      <c r="I1" s="339" t="s">
        <v>1469</v>
      </c>
      <c r="J1" s="339" t="s">
        <v>1</v>
      </c>
      <c r="K1" s="274"/>
      <c r="L1" s="341" t="s">
        <v>1117</v>
      </c>
      <c r="M1" s="341" t="s">
        <v>1118</v>
      </c>
      <c r="N1" s="341" t="s">
        <v>1465</v>
      </c>
      <c r="O1" s="341" t="s">
        <v>1466</v>
      </c>
    </row>
    <row r="2" spans="1:18">
      <c r="B2" s="279" t="s">
        <v>1114</v>
      </c>
      <c r="C2" s="278" t="s">
        <v>1115</v>
      </c>
      <c r="D2" s="341"/>
      <c r="E2" s="341"/>
      <c r="F2" s="341"/>
      <c r="G2" s="339"/>
      <c r="H2" s="339"/>
      <c r="I2" s="339"/>
      <c r="J2" s="339"/>
      <c r="K2" s="274"/>
      <c r="L2" s="340"/>
      <c r="M2" s="340"/>
      <c r="N2" s="340"/>
      <c r="O2" s="340"/>
    </row>
    <row r="3" spans="1:18">
      <c r="A3" s="3" t="s">
        <v>1105</v>
      </c>
      <c r="B3" s="23">
        <f>'Varmeforbrug ejendomme'!H38</f>
        <v>1167.925</v>
      </c>
      <c r="C3" s="23">
        <f>'Varmeforbrug ejendomme'!I38</f>
        <v>1185.0170000000001</v>
      </c>
      <c r="D3" s="23">
        <f>'Varmeforbrug ejendomme'!J38</f>
        <v>1180.0730000000001</v>
      </c>
      <c r="E3" s="23">
        <f>'Varmeforbrug ejendomme'!K38</f>
        <v>1418.836</v>
      </c>
      <c r="F3" s="23"/>
      <c r="G3">
        <v>0.29399999999999998</v>
      </c>
      <c r="H3">
        <v>0.24199999999999999</v>
      </c>
      <c r="I3">
        <v>0.247</v>
      </c>
      <c r="J3">
        <v>0.23400000000000001</v>
      </c>
      <c r="L3" s="11">
        <f t="shared" ref="L3:O7" si="0">G3*B3</f>
        <v>343.36994999999996</v>
      </c>
      <c r="M3" s="11">
        <f t="shared" si="0"/>
        <v>286.774114</v>
      </c>
      <c r="N3">
        <f t="shared" si="0"/>
        <v>291.47803100000004</v>
      </c>
      <c r="O3">
        <f t="shared" si="0"/>
        <v>332.00762400000002</v>
      </c>
      <c r="R3" s="3"/>
    </row>
    <row r="4" spans="1:18">
      <c r="A4" s="3" t="s">
        <v>1106</v>
      </c>
      <c r="B4" s="23">
        <f>'Varmeforbrug ejendomme'!H53</f>
        <v>973.7890000000001</v>
      </c>
      <c r="C4" s="23">
        <f>'Varmeforbrug ejendomme'!I53</f>
        <v>1008.0319999999999</v>
      </c>
      <c r="D4" s="23">
        <f>'Varmeforbrug ejendomme'!J53</f>
        <v>1337.0929999999998</v>
      </c>
      <c r="E4" s="23">
        <f>'Varmeforbrug ejendomme'!K53</f>
        <v>1483.5660000000003</v>
      </c>
      <c r="F4" s="23"/>
      <c r="G4">
        <v>0.24</v>
      </c>
      <c r="H4">
        <v>0.245</v>
      </c>
      <c r="I4">
        <v>0.248</v>
      </c>
      <c r="J4">
        <v>0.20699999999999999</v>
      </c>
      <c r="L4" s="11">
        <f t="shared" si="0"/>
        <v>233.70936</v>
      </c>
      <c r="M4" s="11">
        <f t="shared" si="0"/>
        <v>246.96783999999997</v>
      </c>
      <c r="N4">
        <f t="shared" si="0"/>
        <v>331.59906399999994</v>
      </c>
      <c r="O4">
        <f t="shared" si="0"/>
        <v>307.09816200000006</v>
      </c>
      <c r="R4" s="3"/>
    </row>
    <row r="5" spans="1:18">
      <c r="A5" s="3" t="s">
        <v>1107</v>
      </c>
      <c r="B5" s="11">
        <f>'Varmeforbrug ejendomme'!H148</f>
        <v>1953</v>
      </c>
      <c r="C5" s="11">
        <f>'Varmeforbrug ejendomme'!I148</f>
        <v>1864</v>
      </c>
      <c r="D5" s="11">
        <f>'Varmeforbrug ejendomme'!J148</f>
        <v>2338</v>
      </c>
      <c r="E5" s="11">
        <f>'Varmeforbrug ejendomme'!K148</f>
        <v>2797</v>
      </c>
      <c r="F5" s="23"/>
      <c r="G5">
        <v>0.26100000000000001</v>
      </c>
      <c r="H5">
        <v>0.26600000000000001</v>
      </c>
      <c r="I5">
        <v>0.251</v>
      </c>
      <c r="J5">
        <v>0.251</v>
      </c>
      <c r="L5" s="11">
        <f t="shared" si="0"/>
        <v>509.733</v>
      </c>
      <c r="M5" s="11">
        <f t="shared" si="0"/>
        <v>495.82400000000001</v>
      </c>
      <c r="N5">
        <f t="shared" si="0"/>
        <v>586.83799999999997</v>
      </c>
      <c r="O5">
        <f t="shared" si="0"/>
        <v>702.04700000000003</v>
      </c>
      <c r="R5" s="3"/>
    </row>
    <row r="6" spans="1:18">
      <c r="A6" s="3" t="s">
        <v>1108</v>
      </c>
      <c r="B6" s="11">
        <f>'Varmeforbrug ejendomme'!N118</f>
        <v>11287.044444444444</v>
      </c>
      <c r="C6" s="11">
        <f>'Varmeforbrug ejendomme'!O118</f>
        <v>11760.511111111113</v>
      </c>
      <c r="D6" s="11">
        <f>'Varmeforbrug ejendomme'!P118</f>
        <v>12159.233333333332</v>
      </c>
      <c r="E6" s="11">
        <f>'Varmeforbrug ejendomme'!Q118</f>
        <v>13297.344444444447</v>
      </c>
      <c r="F6" s="23"/>
      <c r="G6">
        <v>0.16</v>
      </c>
      <c r="H6">
        <v>0.16700000000000001</v>
      </c>
      <c r="I6">
        <v>0.152</v>
      </c>
      <c r="J6">
        <v>0.14299999999999999</v>
      </c>
      <c r="L6" s="11">
        <f t="shared" si="0"/>
        <v>1805.9271111111111</v>
      </c>
      <c r="M6" s="11">
        <f t="shared" si="0"/>
        <v>1964.005355555556</v>
      </c>
      <c r="N6">
        <f t="shared" si="0"/>
        <v>1848.2034666666664</v>
      </c>
      <c r="O6">
        <f t="shared" si="0"/>
        <v>1901.5202555555557</v>
      </c>
      <c r="R6" s="3"/>
    </row>
    <row r="7" spans="1:18">
      <c r="A7" s="3" t="s">
        <v>1109</v>
      </c>
      <c r="B7" s="23">
        <f>'Varmeforbrug ejendomme'!H131</f>
        <v>2697.1390000000001</v>
      </c>
      <c r="C7" s="23">
        <f>'Varmeforbrug ejendomme'!I131</f>
        <v>2553.3030000000003</v>
      </c>
      <c r="D7" s="23">
        <f>'Varmeforbrug ejendomme'!J131</f>
        <v>2883.3679999999999</v>
      </c>
      <c r="E7" s="23">
        <f>'Varmeforbrug ejendomme'!K131</f>
        <v>3050.1550000000002</v>
      </c>
      <c r="F7" s="23"/>
      <c r="G7">
        <v>0.23699999999999999</v>
      </c>
      <c r="H7">
        <v>0.217</v>
      </c>
      <c r="I7">
        <v>0.224</v>
      </c>
      <c r="J7">
        <v>0.215</v>
      </c>
      <c r="L7" s="11">
        <f t="shared" si="0"/>
        <v>639.22194300000001</v>
      </c>
      <c r="M7" s="11">
        <f t="shared" si="0"/>
        <v>554.06675100000007</v>
      </c>
      <c r="N7">
        <f t="shared" si="0"/>
        <v>645.87443199999996</v>
      </c>
      <c r="O7">
        <f t="shared" si="0"/>
        <v>655.78332499999999</v>
      </c>
      <c r="R7" s="3"/>
    </row>
    <row r="8" spans="1:18" s="275" customFormat="1" ht="13.5" thickBot="1">
      <c r="B8" s="275">
        <f>SUM(B3:B7)</f>
        <v>18078.897444444443</v>
      </c>
      <c r="C8" s="275">
        <f>SUM(C3:C7)</f>
        <v>18370.863111111114</v>
      </c>
      <c r="D8" s="275">
        <f>SUM(D3:D7)</f>
        <v>19897.76733333333</v>
      </c>
      <c r="E8" s="275">
        <f>SUM(E3:E7)</f>
        <v>22046.901444444447</v>
      </c>
      <c r="L8" s="275">
        <f>SUM(L3:L7)</f>
        <v>3531.9613641111114</v>
      </c>
      <c r="M8" s="275">
        <f>SUM(M3:M7)</f>
        <v>3547.638060555556</v>
      </c>
      <c r="N8" s="275">
        <f>SUM(N3:N7)</f>
        <v>3703.9929936666663</v>
      </c>
      <c r="O8" s="275">
        <f>SUM(O3:O7)</f>
        <v>3898.4563665555556</v>
      </c>
      <c r="P8" s="15"/>
      <c r="Q8" s="15"/>
      <c r="R8" s="15"/>
    </row>
    <row r="9" spans="1:18" ht="13.5" thickTop="1"/>
    <row r="10" spans="1:18" ht="13.15" customHeight="1">
      <c r="B10" s="340"/>
      <c r="C10" s="340"/>
      <c r="D10" s="341"/>
      <c r="E10" s="341"/>
      <c r="F10" s="341"/>
      <c r="G10" s="339"/>
      <c r="H10" s="339"/>
      <c r="I10" s="339"/>
      <c r="J10" s="339"/>
      <c r="K10" s="274"/>
    </row>
    <row r="11" spans="1:18" ht="13.15" customHeight="1">
      <c r="A11" s="3"/>
      <c r="B11" s="340"/>
      <c r="C11" s="340"/>
      <c r="D11" s="341"/>
      <c r="E11" s="341"/>
      <c r="F11" s="341"/>
      <c r="G11" s="339"/>
      <c r="H11" s="339"/>
      <c r="I11" s="339"/>
      <c r="J11" s="339"/>
      <c r="K11" s="274"/>
    </row>
    <row r="12" spans="1:18">
      <c r="A12" s="2" t="s">
        <v>3</v>
      </c>
    </row>
    <row r="13" spans="1:18">
      <c r="B13" s="340" t="s">
        <v>1114</v>
      </c>
      <c r="C13" s="340" t="s">
        <v>1115</v>
      </c>
      <c r="D13" s="341" t="s">
        <v>1467</v>
      </c>
      <c r="E13" s="341" t="s">
        <v>1468</v>
      </c>
      <c r="F13" s="341"/>
      <c r="G13" s="339" t="s">
        <v>1189</v>
      </c>
      <c r="H13" s="339" t="s">
        <v>0</v>
      </c>
      <c r="I13" s="339" t="s">
        <v>1469</v>
      </c>
      <c r="J13" s="339" t="s">
        <v>1</v>
      </c>
      <c r="K13" s="274"/>
      <c r="L13" s="341" t="s">
        <v>1117</v>
      </c>
      <c r="M13" s="341" t="s">
        <v>1118</v>
      </c>
      <c r="N13" s="341" t="s">
        <v>1465</v>
      </c>
      <c r="O13" s="341" t="s">
        <v>1466</v>
      </c>
    </row>
    <row r="14" spans="1:18">
      <c r="B14" s="340"/>
      <c r="C14" s="340"/>
      <c r="D14" s="341"/>
      <c r="E14" s="341"/>
      <c r="F14" s="341"/>
      <c r="G14" s="339"/>
      <c r="H14" s="339"/>
      <c r="I14" s="339"/>
      <c r="J14" s="339"/>
      <c r="K14" s="274"/>
      <c r="L14" s="340"/>
      <c r="M14" s="340"/>
      <c r="N14" s="340"/>
      <c r="O14" s="340"/>
    </row>
    <row r="15" spans="1:18">
      <c r="A15" s="3" t="s">
        <v>1105</v>
      </c>
      <c r="B15" s="23">
        <f>'Varmeforbrug ejendomme'!S38</f>
        <v>1334.3463627965771</v>
      </c>
      <c r="C15" s="23">
        <f>'Varmeforbrug ejendomme'!T38</f>
        <v>1337.6328257575756</v>
      </c>
      <c r="D15" s="23">
        <f>'Varmeforbrug ejendomme'!U38</f>
        <v>1230.9809444347218</v>
      </c>
      <c r="E15" s="23">
        <f>'Varmeforbrug ejendomme'!V38</f>
        <v>1250.2018530659025</v>
      </c>
      <c r="F15" s="23"/>
      <c r="G15">
        <v>0.29399999999999998</v>
      </c>
      <c r="H15">
        <v>0.24199999999999999</v>
      </c>
      <c r="I15">
        <v>0.247</v>
      </c>
      <c r="J15">
        <v>0.23400000000000001</v>
      </c>
      <c r="L15" s="11">
        <f t="shared" ref="L15:O19" si="1">G15*B15</f>
        <v>392.29783066219363</v>
      </c>
      <c r="M15" s="11">
        <f t="shared" si="1"/>
        <v>323.7071438333333</v>
      </c>
      <c r="N15">
        <f t="shared" si="1"/>
        <v>304.05229327537626</v>
      </c>
      <c r="O15">
        <f t="shared" si="1"/>
        <v>292.54723361742117</v>
      </c>
      <c r="R15" s="3"/>
    </row>
    <row r="16" spans="1:18">
      <c r="A16" s="3" t="s">
        <v>1106</v>
      </c>
      <c r="B16" s="23">
        <f>'Varmeforbrug ejendomme'!S53</f>
        <v>1170.2337449978347</v>
      </c>
      <c r="C16" s="23">
        <f>'Varmeforbrug ejendomme'!T53</f>
        <v>1135.212165876052</v>
      </c>
      <c r="D16" s="23">
        <f>'Varmeforbrug ejendomme'!U53</f>
        <v>1417.7812914555832</v>
      </c>
      <c r="E16" s="23">
        <f>'Varmeforbrug ejendomme'!V53</f>
        <v>1458.8560502939258</v>
      </c>
      <c r="F16" s="23"/>
      <c r="G16">
        <v>0.24</v>
      </c>
      <c r="H16">
        <v>0.245</v>
      </c>
      <c r="I16">
        <v>0.248</v>
      </c>
      <c r="J16">
        <v>0.20699999999999999</v>
      </c>
      <c r="L16" s="11">
        <f t="shared" si="1"/>
        <v>280.85609879948032</v>
      </c>
      <c r="M16" s="11">
        <f t="shared" si="1"/>
        <v>278.12698063963273</v>
      </c>
      <c r="N16">
        <f t="shared" si="1"/>
        <v>351.60976028098463</v>
      </c>
      <c r="O16">
        <f t="shared" si="1"/>
        <v>301.98320241084264</v>
      </c>
      <c r="R16" s="3"/>
    </row>
    <row r="17" spans="1:18">
      <c r="A17" s="3" t="s">
        <v>1107</v>
      </c>
      <c r="B17" s="11">
        <f>'Varmeforbrug ejendomme'!S148</f>
        <v>2346.98328280641</v>
      </c>
      <c r="C17" s="11">
        <f>'Varmeforbrug ejendomme'!T148</f>
        <v>2099.1749043611321</v>
      </c>
      <c r="D17" s="11">
        <f>'Varmeforbrug ejendomme'!U148</f>
        <v>2479.0890831252227</v>
      </c>
      <c r="E17" s="11">
        <f>'Varmeforbrug ejendomme'!V148</f>
        <v>2750.4137818419331</v>
      </c>
      <c r="F17" s="23"/>
      <c r="G17">
        <v>0.26100000000000001</v>
      </c>
      <c r="H17">
        <v>0.26600000000000001</v>
      </c>
      <c r="I17">
        <v>0.251</v>
      </c>
      <c r="J17">
        <v>0.251</v>
      </c>
      <c r="L17" s="11">
        <f t="shared" si="1"/>
        <v>612.56263681247299</v>
      </c>
      <c r="M17" s="11">
        <f t="shared" si="1"/>
        <v>558.38052456006119</v>
      </c>
      <c r="N17">
        <f t="shared" si="1"/>
        <v>622.25135986443092</v>
      </c>
      <c r="O17">
        <f t="shared" si="1"/>
        <v>690.35385924232526</v>
      </c>
      <c r="R17" s="3"/>
    </row>
    <row r="18" spans="1:18">
      <c r="A18" s="3" t="s">
        <v>1108</v>
      </c>
      <c r="B18" s="11">
        <f>'Varmeforbrug ejendomme'!S118</f>
        <v>12549.125761611591</v>
      </c>
      <c r="C18" s="11">
        <f>'Varmeforbrug ejendomme'!T118</f>
        <v>12629.136841258343</v>
      </c>
      <c r="D18" s="11">
        <f>'Varmeforbrug ejendomme'!U118</f>
        <v>11441.589803678442</v>
      </c>
      <c r="E18" s="11">
        <f>'Varmeforbrug ejendomme'!V118</f>
        <v>12752.633949129851</v>
      </c>
      <c r="F18" s="23"/>
      <c r="G18">
        <v>0.16</v>
      </c>
      <c r="H18">
        <v>0.16700000000000001</v>
      </c>
      <c r="I18">
        <v>0.152</v>
      </c>
      <c r="J18">
        <v>0.14299999999999999</v>
      </c>
      <c r="L18" s="11">
        <f t="shared" si="1"/>
        <v>2007.8601218578547</v>
      </c>
      <c r="M18" s="11">
        <f t="shared" si="1"/>
        <v>2109.0658524901432</v>
      </c>
      <c r="N18">
        <f t="shared" si="1"/>
        <v>1739.1216501591232</v>
      </c>
      <c r="O18">
        <f t="shared" si="1"/>
        <v>1823.6266547255686</v>
      </c>
      <c r="R18" s="3"/>
    </row>
    <row r="19" spans="1:18">
      <c r="A19" s="3" t="s">
        <v>1109</v>
      </c>
      <c r="B19" s="23">
        <f>'Varmeforbrug ejendomme'!S131</f>
        <v>3081.4629489109293</v>
      </c>
      <c r="C19" s="23">
        <f>'Varmeforbrug ejendomme'!T131</f>
        <v>2882.1374772727268</v>
      </c>
      <c r="D19" s="23">
        <f>'Varmeforbrug ejendomme'!U131</f>
        <v>3007.7555064753233</v>
      </c>
      <c r="E19" s="23">
        <f>'Varmeforbrug ejendomme'!V131</f>
        <v>2687.6322796561603</v>
      </c>
      <c r="F19" s="23"/>
      <c r="G19">
        <v>0.23699999999999999</v>
      </c>
      <c r="H19">
        <v>0.217</v>
      </c>
      <c r="I19">
        <v>0.224</v>
      </c>
      <c r="J19">
        <v>0.215</v>
      </c>
      <c r="L19" s="11">
        <f t="shared" si="1"/>
        <v>730.30671889189023</v>
      </c>
      <c r="M19" s="11">
        <f t="shared" si="1"/>
        <v>625.42383256818175</v>
      </c>
      <c r="N19">
        <f t="shared" si="1"/>
        <v>673.73723345047244</v>
      </c>
      <c r="O19">
        <f t="shared" si="1"/>
        <v>577.84094012607443</v>
      </c>
      <c r="R19" s="3"/>
    </row>
    <row r="20" spans="1:18" s="275" customFormat="1" ht="13.5" thickBot="1">
      <c r="B20" s="275">
        <f>SUM(B15:B19)</f>
        <v>20482.152101123342</v>
      </c>
      <c r="C20" s="275">
        <f>SUM(C15:C19)</f>
        <v>20083.294214525828</v>
      </c>
      <c r="D20" s="275">
        <f>SUM(D15:D19)</f>
        <v>19577.196629169295</v>
      </c>
      <c r="E20" s="275">
        <f>SUM(E15:E19)</f>
        <v>20899.737913987774</v>
      </c>
      <c r="L20" s="275">
        <f>SUM(L15:L19)</f>
        <v>4023.8834070238918</v>
      </c>
      <c r="M20" s="275">
        <f>SUM(M15:M19)</f>
        <v>3894.7043340913524</v>
      </c>
      <c r="N20" s="275">
        <f>SUM(N15:N19)</f>
        <v>3690.7722970303876</v>
      </c>
      <c r="O20" s="275">
        <f>SUM(O15:O19)</f>
        <v>3686.3518901222324</v>
      </c>
      <c r="P20" s="15"/>
      <c r="Q20" s="15"/>
      <c r="R20" s="15"/>
    </row>
    <row r="21" spans="1:18" ht="13.5" thickTop="1">
      <c r="A21" s="3"/>
      <c r="D21" s="22"/>
      <c r="E21" s="22"/>
      <c r="F21" s="23"/>
    </row>
    <row r="22" spans="1:18">
      <c r="A22" s="3" t="s">
        <v>4</v>
      </c>
    </row>
    <row r="23" spans="1:18">
      <c r="E23" s="3"/>
      <c r="L23" s="23"/>
    </row>
    <row r="24" spans="1:18">
      <c r="A24" s="3" t="s">
        <v>1471</v>
      </c>
      <c r="C24" s="23"/>
      <c r="D24" s="23"/>
      <c r="E24" s="3"/>
      <c r="L24" s="23"/>
    </row>
    <row r="25" spans="1:18">
      <c r="A25" s="3" t="s">
        <v>1472</v>
      </c>
      <c r="C25" s="23"/>
      <c r="D25" s="23"/>
      <c r="L25" s="23"/>
    </row>
    <row r="26" spans="1:18">
      <c r="A26" s="3" t="s">
        <v>1473</v>
      </c>
      <c r="C26" s="23"/>
      <c r="D26" s="23"/>
      <c r="L26" s="23"/>
    </row>
    <row r="27" spans="1:18">
      <c r="A27" s="3" t="s">
        <v>5</v>
      </c>
      <c r="C27" s="23"/>
      <c r="D27" s="23"/>
    </row>
  </sheetData>
  <mergeCells count="33">
    <mergeCell ref="D1:D2"/>
    <mergeCell ref="E1:E2"/>
    <mergeCell ref="F1:F2"/>
    <mergeCell ref="J10:J11"/>
    <mergeCell ref="B10:B11"/>
    <mergeCell ref="C10:C11"/>
    <mergeCell ref="D10:D11"/>
    <mergeCell ref="E10:E11"/>
    <mergeCell ref="F10:F11"/>
    <mergeCell ref="G10:G11"/>
    <mergeCell ref="H10:H11"/>
    <mergeCell ref="I10:I11"/>
    <mergeCell ref="G1:G2"/>
    <mergeCell ref="O13:O14"/>
    <mergeCell ref="N1:N2"/>
    <mergeCell ref="O1:O2"/>
    <mergeCell ref="H13:H14"/>
    <mergeCell ref="J13:J14"/>
    <mergeCell ref="L13:L14"/>
    <mergeCell ref="L1:L2"/>
    <mergeCell ref="M1:M2"/>
    <mergeCell ref="H1:H2"/>
    <mergeCell ref="I1:I2"/>
    <mergeCell ref="J1:J2"/>
    <mergeCell ref="M13:M14"/>
    <mergeCell ref="N13:N14"/>
    <mergeCell ref="G13:G14"/>
    <mergeCell ref="I13:I14"/>
    <mergeCell ref="B13:B14"/>
    <mergeCell ref="C13:C14"/>
    <mergeCell ref="D13:D14"/>
    <mergeCell ref="E13:E14"/>
    <mergeCell ref="F13:F1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1"/>
  <sheetViews>
    <sheetView topLeftCell="C1" workbookViewId="0">
      <pane xSplit="4" ySplit="24" topLeftCell="G25" activePane="bottomRight" state="frozen"/>
      <selection activeCell="C1" sqref="C1"/>
      <selection pane="topRight" activeCell="H1" sqref="H1"/>
      <selection pane="bottomLeft" activeCell="C25" sqref="C25"/>
      <selection pane="bottomRight" activeCell="A10" sqref="A10"/>
    </sheetView>
  </sheetViews>
  <sheetFormatPr defaultColWidth="9.140625" defaultRowHeight="12.75"/>
  <cols>
    <col min="1" max="1" width="15.85546875" style="173" customWidth="1"/>
    <col min="2" max="3" width="9.140625" style="173"/>
    <col min="4" max="4" width="21.28515625" style="173" customWidth="1"/>
    <col min="5" max="5" width="24.5703125" style="173" customWidth="1"/>
    <col min="6" max="6" width="6" style="317" customWidth="1"/>
    <col min="7" max="8" width="10.28515625" style="219" customWidth="1"/>
    <col min="9" max="9" width="10.140625" style="219" bestFit="1" customWidth="1"/>
    <col min="10" max="10" width="12.140625" style="219" customWidth="1"/>
    <col min="11" max="16384" width="9.140625" style="173"/>
  </cols>
  <sheetData>
    <row r="1" spans="1:10">
      <c r="G1" s="342"/>
      <c r="H1" s="342"/>
      <c r="I1" s="342"/>
      <c r="J1" s="342"/>
    </row>
    <row r="2" spans="1:10" s="322" customFormat="1" ht="13.5" thickBot="1">
      <c r="A2" s="318" t="s">
        <v>1267</v>
      </c>
      <c r="B2" s="319" t="s">
        <v>1268</v>
      </c>
      <c r="C2" s="319" t="s">
        <v>1269</v>
      </c>
      <c r="D2" s="318" t="s">
        <v>1300</v>
      </c>
      <c r="E2" s="318" t="s">
        <v>1301</v>
      </c>
      <c r="F2" s="320" t="s">
        <v>885</v>
      </c>
      <c r="G2" s="321" t="s">
        <v>1246</v>
      </c>
      <c r="H2" s="321" t="s">
        <v>1247</v>
      </c>
      <c r="I2" s="321" t="s">
        <v>1024</v>
      </c>
      <c r="J2" s="321" t="s">
        <v>1025</v>
      </c>
    </row>
    <row r="3" spans="1:10">
      <c r="A3" s="323" t="s">
        <v>1270</v>
      </c>
      <c r="B3" s="324">
        <v>16</v>
      </c>
      <c r="C3" s="324">
        <v>6470</v>
      </c>
      <c r="D3" s="323" t="s">
        <v>1302</v>
      </c>
      <c r="E3" s="323" t="s">
        <v>152</v>
      </c>
      <c r="F3" s="325" t="s">
        <v>170</v>
      </c>
      <c r="G3" s="326">
        <v>12005</v>
      </c>
      <c r="H3" s="326">
        <v>11793</v>
      </c>
      <c r="I3" s="327">
        <v>9538</v>
      </c>
      <c r="J3" s="327">
        <v>19282</v>
      </c>
    </row>
    <row r="4" spans="1:10">
      <c r="A4" s="328" t="s">
        <v>1271</v>
      </c>
      <c r="B4" s="329">
        <v>4</v>
      </c>
      <c r="C4" s="329">
        <v>6430</v>
      </c>
      <c r="D4" s="328" t="s">
        <v>1303</v>
      </c>
      <c r="E4" s="328" t="s">
        <v>1302</v>
      </c>
      <c r="F4" s="330" t="s">
        <v>580</v>
      </c>
      <c r="G4" s="331">
        <v>706</v>
      </c>
      <c r="H4" s="331">
        <v>653</v>
      </c>
      <c r="I4" s="332">
        <v>1070</v>
      </c>
      <c r="J4" s="332">
        <v>1329</v>
      </c>
    </row>
    <row r="5" spans="1:10">
      <c r="A5" s="328" t="s">
        <v>1272</v>
      </c>
      <c r="B5" s="329">
        <v>8</v>
      </c>
      <c r="C5" s="329">
        <v>6430</v>
      </c>
      <c r="D5" s="328" t="s">
        <v>1302</v>
      </c>
      <c r="E5" s="328" t="s">
        <v>1151</v>
      </c>
      <c r="F5" s="330" t="s">
        <v>586</v>
      </c>
      <c r="G5" s="331">
        <v>10764</v>
      </c>
      <c r="H5" s="331">
        <v>7532</v>
      </c>
      <c r="I5" s="332">
        <v>9608</v>
      </c>
      <c r="J5" s="332">
        <v>7854</v>
      </c>
    </row>
    <row r="6" spans="1:10">
      <c r="A6" s="328" t="s">
        <v>1273</v>
      </c>
      <c r="B6" s="329">
        <v>12</v>
      </c>
      <c r="C6" s="329">
        <v>6430</v>
      </c>
      <c r="D6" s="328" t="s">
        <v>1151</v>
      </c>
      <c r="E6" s="328" t="s">
        <v>960</v>
      </c>
      <c r="F6" s="330" t="s">
        <v>872</v>
      </c>
      <c r="G6" s="331">
        <v>30270</v>
      </c>
      <c r="H6" s="331">
        <v>37958</v>
      </c>
      <c r="I6" s="332">
        <v>40522</v>
      </c>
      <c r="J6" s="332">
        <v>37838</v>
      </c>
    </row>
    <row r="7" spans="1:10">
      <c r="A7" s="328" t="s">
        <v>1274</v>
      </c>
      <c r="B7" s="329">
        <v>70</v>
      </c>
      <c r="C7" s="329">
        <v>6430</v>
      </c>
      <c r="D7" s="328" t="s">
        <v>1302</v>
      </c>
      <c r="E7" s="328" t="s">
        <v>1152</v>
      </c>
      <c r="F7" s="330" t="s">
        <v>585</v>
      </c>
      <c r="G7" s="331">
        <v>13062</v>
      </c>
      <c r="H7" s="331">
        <v>17278</v>
      </c>
      <c r="I7" s="332">
        <v>14551</v>
      </c>
      <c r="J7" s="332">
        <v>5876</v>
      </c>
    </row>
    <row r="8" spans="1:10">
      <c r="A8" s="328" t="s">
        <v>1275</v>
      </c>
      <c r="B8" s="329">
        <v>13</v>
      </c>
      <c r="C8" s="329">
        <v>6400</v>
      </c>
      <c r="D8" s="328" t="s">
        <v>1302</v>
      </c>
      <c r="E8" s="328" t="s">
        <v>1154</v>
      </c>
      <c r="F8" s="330" t="s">
        <v>846</v>
      </c>
      <c r="G8" s="331">
        <v>15001</v>
      </c>
      <c r="H8" s="331">
        <v>14045</v>
      </c>
      <c r="I8" s="332">
        <v>10572</v>
      </c>
      <c r="J8" s="332">
        <v>5310</v>
      </c>
    </row>
    <row r="9" spans="1:10">
      <c r="A9" s="328" t="s">
        <v>1274</v>
      </c>
      <c r="B9" s="329">
        <v>39</v>
      </c>
      <c r="C9" s="329">
        <v>6430</v>
      </c>
      <c r="D9" s="328" t="s">
        <v>1304</v>
      </c>
      <c r="E9" s="328" t="s">
        <v>1305</v>
      </c>
      <c r="F9" s="330" t="s">
        <v>832</v>
      </c>
      <c r="G9" s="331">
        <v>11992</v>
      </c>
      <c r="H9" s="331">
        <v>13554</v>
      </c>
      <c r="I9" s="332">
        <v>8248</v>
      </c>
      <c r="J9" s="332">
        <v>2332</v>
      </c>
    </row>
    <row r="10" spans="1:10">
      <c r="A10" s="328" t="s">
        <v>1277</v>
      </c>
      <c r="B10" s="329">
        <v>4</v>
      </c>
      <c r="C10" s="329">
        <v>6400</v>
      </c>
      <c r="D10" s="328" t="s">
        <v>1302</v>
      </c>
      <c r="E10" s="328" t="s">
        <v>1152</v>
      </c>
      <c r="F10" s="330" t="s">
        <v>595</v>
      </c>
      <c r="G10" s="331">
        <v>10464</v>
      </c>
      <c r="H10" s="331">
        <v>9636</v>
      </c>
      <c r="I10" s="332">
        <v>11420</v>
      </c>
      <c r="J10" s="332">
        <v>6271</v>
      </c>
    </row>
    <row r="11" spans="1:10">
      <c r="A11" s="328" t="s">
        <v>1278</v>
      </c>
      <c r="B11" s="329">
        <v>382</v>
      </c>
      <c r="C11" s="329">
        <v>6470</v>
      </c>
      <c r="D11" s="328" t="s">
        <v>1100</v>
      </c>
      <c r="E11" s="328" t="s">
        <v>1306</v>
      </c>
      <c r="F11" s="330" t="s">
        <v>501</v>
      </c>
      <c r="G11" s="331">
        <v>49992</v>
      </c>
      <c r="H11" s="331">
        <v>41077</v>
      </c>
      <c r="I11" s="332">
        <f>42416+13357</f>
        <v>55773</v>
      </c>
      <c r="J11" s="332">
        <f>34223+15687</f>
        <v>49910</v>
      </c>
    </row>
    <row r="12" spans="1:10">
      <c r="A12" s="328" t="s">
        <v>1282</v>
      </c>
      <c r="B12" s="329">
        <v>14</v>
      </c>
      <c r="C12" s="329">
        <v>6310</v>
      </c>
      <c r="D12" s="328" t="s">
        <v>1302</v>
      </c>
      <c r="E12" s="328" t="s">
        <v>1156</v>
      </c>
      <c r="F12" s="330" t="s">
        <v>71</v>
      </c>
      <c r="G12" s="331">
        <v>390755</v>
      </c>
      <c r="H12" s="331">
        <v>422167</v>
      </c>
      <c r="I12" s="332">
        <v>126932</v>
      </c>
      <c r="J12" s="332">
        <v>133650</v>
      </c>
    </row>
    <row r="13" spans="1:10">
      <c r="A13" s="328" t="s">
        <v>1284</v>
      </c>
      <c r="B13" s="329">
        <v>3</v>
      </c>
      <c r="C13" s="329">
        <v>6400</v>
      </c>
      <c r="D13" s="328" t="s">
        <v>1152</v>
      </c>
      <c r="E13" s="328" t="s">
        <v>1346</v>
      </c>
      <c r="F13" s="330" t="s">
        <v>81</v>
      </c>
      <c r="G13" s="331">
        <f>7366+3136</f>
        <v>10502</v>
      </c>
      <c r="H13" s="331">
        <f>5795+6564</f>
        <v>12359</v>
      </c>
      <c r="I13" s="332">
        <v>9164</v>
      </c>
      <c r="J13" s="332">
        <v>8891</v>
      </c>
    </row>
    <row r="14" spans="1:10">
      <c r="A14" s="328" t="s">
        <v>1285</v>
      </c>
      <c r="B14" s="329">
        <v>6</v>
      </c>
      <c r="C14" s="329">
        <v>6300</v>
      </c>
      <c r="D14" s="328" t="s">
        <v>1302</v>
      </c>
      <c r="E14" s="328" t="s">
        <v>1157</v>
      </c>
      <c r="F14" s="330" t="s">
        <v>863</v>
      </c>
      <c r="G14" s="331">
        <v>16332</v>
      </c>
      <c r="H14" s="331">
        <v>15406</v>
      </c>
      <c r="I14" s="332">
        <v>19303</v>
      </c>
      <c r="J14" s="332">
        <v>19000</v>
      </c>
    </row>
    <row r="15" spans="1:10">
      <c r="A15" s="328" t="s">
        <v>1287</v>
      </c>
      <c r="B15" s="329">
        <v>102</v>
      </c>
      <c r="C15" s="329">
        <v>6320</v>
      </c>
      <c r="D15" s="328"/>
      <c r="E15" s="328" t="s">
        <v>1158</v>
      </c>
      <c r="F15" s="330" t="s">
        <v>884</v>
      </c>
      <c r="G15" s="331">
        <v>7474</v>
      </c>
      <c r="H15" s="331">
        <v>17722</v>
      </c>
      <c r="I15" s="332">
        <v>22824</v>
      </c>
      <c r="J15" s="332">
        <v>22173</v>
      </c>
    </row>
    <row r="16" spans="1:10">
      <c r="A16" s="328" t="s">
        <v>1288</v>
      </c>
      <c r="B16" s="329">
        <v>8</v>
      </c>
      <c r="C16" s="329">
        <v>6400</v>
      </c>
      <c r="D16" s="328" t="s">
        <v>1302</v>
      </c>
      <c r="E16" s="328" t="s">
        <v>1159</v>
      </c>
      <c r="F16" s="330" t="s">
        <v>576</v>
      </c>
      <c r="G16" s="331">
        <v>11698</v>
      </c>
      <c r="H16" s="331">
        <v>6868</v>
      </c>
      <c r="I16" s="332">
        <v>7347</v>
      </c>
      <c r="J16" s="332">
        <v>9205</v>
      </c>
    </row>
    <row r="17" spans="1:10">
      <c r="A17" s="328" t="s">
        <v>1290</v>
      </c>
      <c r="B17" s="329">
        <v>11</v>
      </c>
      <c r="C17" s="329">
        <v>6430</v>
      </c>
      <c r="D17" s="328" t="s">
        <v>1160</v>
      </c>
      <c r="E17" s="328" t="s">
        <v>1302</v>
      </c>
      <c r="F17" s="330" t="s">
        <v>934</v>
      </c>
      <c r="G17" s="331">
        <v>184828</v>
      </c>
      <c r="H17" s="331">
        <v>183674</v>
      </c>
      <c r="I17" s="332">
        <v>200271</v>
      </c>
      <c r="J17" s="332">
        <v>210181</v>
      </c>
    </row>
    <row r="18" spans="1:10">
      <c r="A18" s="328" t="s">
        <v>1291</v>
      </c>
      <c r="B18" s="329"/>
      <c r="C18" s="329">
        <v>6430</v>
      </c>
      <c r="D18" s="328" t="s">
        <v>1302</v>
      </c>
      <c r="E18" s="328" t="s">
        <v>1152</v>
      </c>
      <c r="F18" s="330" t="s">
        <v>164</v>
      </c>
      <c r="G18" s="331">
        <v>6115</v>
      </c>
      <c r="H18" s="331">
        <v>6201</v>
      </c>
      <c r="I18" s="332">
        <v>5819</v>
      </c>
      <c r="J18" s="332">
        <v>5990</v>
      </c>
    </row>
    <row r="19" spans="1:10">
      <c r="A19" s="328" t="s">
        <v>1292</v>
      </c>
      <c r="B19" s="329"/>
      <c r="C19" s="329">
        <v>6430</v>
      </c>
      <c r="D19" s="328" t="s">
        <v>1348</v>
      </c>
      <c r="E19" s="328" t="s">
        <v>1349</v>
      </c>
      <c r="F19" s="330" t="s">
        <v>910</v>
      </c>
      <c r="G19" s="331">
        <v>16699</v>
      </c>
      <c r="H19" s="331">
        <v>14183</v>
      </c>
      <c r="I19" s="332">
        <v>15236</v>
      </c>
      <c r="J19" s="332">
        <v>11528</v>
      </c>
    </row>
    <row r="20" spans="1:10">
      <c r="A20" s="328" t="s">
        <v>602</v>
      </c>
      <c r="B20" s="329">
        <v>1</v>
      </c>
      <c r="C20" s="329">
        <v>6300</v>
      </c>
      <c r="D20" s="328" t="s">
        <v>729</v>
      </c>
      <c r="E20" s="328" t="s">
        <v>1162</v>
      </c>
      <c r="F20" s="330" t="s">
        <v>864</v>
      </c>
      <c r="G20" s="331">
        <f>13+782</f>
        <v>795</v>
      </c>
      <c r="H20" s="331">
        <f>1547+2422</f>
        <v>3969</v>
      </c>
      <c r="I20" s="332">
        <f>2602+3914</f>
        <v>6516</v>
      </c>
      <c r="J20" s="332">
        <f>3670+2216</f>
        <v>5886</v>
      </c>
    </row>
    <row r="21" spans="1:10">
      <c r="A21" s="328" t="s">
        <v>806</v>
      </c>
      <c r="B21" s="329">
        <v>4</v>
      </c>
      <c r="C21" s="329">
        <v>6440</v>
      </c>
      <c r="D21" s="328" t="s">
        <v>1350</v>
      </c>
      <c r="E21" s="328" t="s">
        <v>1351</v>
      </c>
      <c r="F21" s="330" t="s">
        <v>818</v>
      </c>
      <c r="G21" s="331">
        <v>4751</v>
      </c>
      <c r="H21" s="331">
        <v>6462</v>
      </c>
      <c r="I21" s="332">
        <v>8118</v>
      </c>
      <c r="J21" s="332">
        <v>9539</v>
      </c>
    </row>
    <row r="22" spans="1:10">
      <c r="A22" s="328" t="s">
        <v>1033</v>
      </c>
      <c r="B22" s="329">
        <v>15</v>
      </c>
      <c r="C22" s="329">
        <v>6300</v>
      </c>
      <c r="D22" s="328" t="s">
        <v>1302</v>
      </c>
      <c r="E22" s="328" t="s">
        <v>1001</v>
      </c>
      <c r="F22" s="330" t="s">
        <v>567</v>
      </c>
      <c r="G22" s="331">
        <v>13049</v>
      </c>
      <c r="H22" s="331">
        <v>10210</v>
      </c>
      <c r="I22" s="332">
        <v>11494</v>
      </c>
      <c r="J22" s="332">
        <v>9516</v>
      </c>
    </row>
    <row r="23" spans="1:10">
      <c r="A23" s="328" t="s">
        <v>1034</v>
      </c>
      <c r="B23" s="329">
        <v>2</v>
      </c>
      <c r="C23" s="329">
        <v>6300</v>
      </c>
      <c r="D23" s="328" t="s">
        <v>1302</v>
      </c>
      <c r="E23" s="328" t="s">
        <v>1002</v>
      </c>
      <c r="F23" s="330" t="s">
        <v>830</v>
      </c>
      <c r="G23" s="331">
        <v>169660</v>
      </c>
      <c r="H23" s="331">
        <v>162328</v>
      </c>
      <c r="I23" s="332">
        <f>75727+79085</f>
        <v>154812</v>
      </c>
      <c r="J23" s="332">
        <f>65787+68434</f>
        <v>134221</v>
      </c>
    </row>
    <row r="24" spans="1:10">
      <c r="A24" s="328" t="s">
        <v>1273</v>
      </c>
      <c r="B24" s="329">
        <v>4</v>
      </c>
      <c r="C24" s="329">
        <v>6400</v>
      </c>
      <c r="D24" s="328" t="s">
        <v>1302</v>
      </c>
      <c r="E24" s="328" t="s">
        <v>1003</v>
      </c>
      <c r="F24" s="330" t="s">
        <v>839</v>
      </c>
      <c r="G24" s="331">
        <v>29480</v>
      </c>
      <c r="H24" s="331">
        <v>47500</v>
      </c>
      <c r="I24" s="332">
        <v>49526</v>
      </c>
      <c r="J24" s="332">
        <v>26936</v>
      </c>
    </row>
    <row r="25" spans="1:10">
      <c r="A25" s="328" t="s">
        <v>1035</v>
      </c>
      <c r="B25" s="329">
        <v>8</v>
      </c>
      <c r="C25" s="329">
        <v>6300</v>
      </c>
      <c r="D25" s="328" t="s">
        <v>1302</v>
      </c>
      <c r="E25" s="328" t="s">
        <v>999</v>
      </c>
      <c r="F25" s="330" t="s">
        <v>995</v>
      </c>
      <c r="G25" s="331">
        <v>49897</v>
      </c>
      <c r="H25" s="331">
        <v>50226</v>
      </c>
      <c r="I25" s="332">
        <v>50287</v>
      </c>
      <c r="J25" s="332">
        <v>69126</v>
      </c>
    </row>
    <row r="26" spans="1:10">
      <c r="A26" s="328" t="s">
        <v>1036</v>
      </c>
      <c r="B26" s="329">
        <v>12</v>
      </c>
      <c r="C26" s="329">
        <v>6300</v>
      </c>
      <c r="D26" s="328" t="s">
        <v>1302</v>
      </c>
      <c r="E26" s="328" t="s">
        <v>1004</v>
      </c>
      <c r="F26" s="330" t="s">
        <v>909</v>
      </c>
      <c r="G26" s="331">
        <v>5329</v>
      </c>
      <c r="H26" s="331">
        <v>5039</v>
      </c>
      <c r="I26" s="332">
        <v>6568</v>
      </c>
      <c r="J26" s="332">
        <v>7766</v>
      </c>
    </row>
    <row r="27" spans="1:10">
      <c r="A27" s="328" t="s">
        <v>1037</v>
      </c>
      <c r="B27" s="329">
        <v>10</v>
      </c>
      <c r="C27" s="329">
        <v>6300</v>
      </c>
      <c r="D27" s="328" t="s">
        <v>1352</v>
      </c>
      <c r="E27" s="328" t="s">
        <v>1353</v>
      </c>
      <c r="F27" s="330" t="s">
        <v>501</v>
      </c>
      <c r="G27" s="331">
        <v>5607</v>
      </c>
      <c r="H27" s="331">
        <v>6828</v>
      </c>
      <c r="I27" s="332">
        <v>7956</v>
      </c>
      <c r="J27" s="332">
        <v>7860</v>
      </c>
    </row>
    <row r="28" spans="1:10">
      <c r="A28" s="328" t="s">
        <v>1038</v>
      </c>
      <c r="B28" s="329">
        <v>4</v>
      </c>
      <c r="C28" s="329">
        <v>6300</v>
      </c>
      <c r="D28" s="328" t="s">
        <v>1302</v>
      </c>
      <c r="E28" s="328" t="s">
        <v>999</v>
      </c>
      <c r="F28" s="330" t="s">
        <v>995</v>
      </c>
      <c r="G28" s="331">
        <v>13290</v>
      </c>
      <c r="H28" s="331">
        <v>15236</v>
      </c>
      <c r="I28" s="332">
        <v>16151</v>
      </c>
      <c r="J28" s="332">
        <v>17262</v>
      </c>
    </row>
    <row r="29" spans="1:10">
      <c r="A29" s="328" t="s">
        <v>1293</v>
      </c>
      <c r="B29" s="329">
        <v>4</v>
      </c>
      <c r="C29" s="329">
        <v>6310</v>
      </c>
      <c r="D29" s="328" t="s">
        <v>917</v>
      </c>
      <c r="E29" s="328" t="s">
        <v>1354</v>
      </c>
      <c r="F29" s="330" t="s">
        <v>501</v>
      </c>
      <c r="G29" s="331">
        <f>9040+3907</f>
        <v>12947</v>
      </c>
      <c r="H29" s="331">
        <f>8766+4068</f>
        <v>12834</v>
      </c>
      <c r="I29" s="332">
        <f>10845+4030</f>
        <v>14875</v>
      </c>
      <c r="J29" s="332">
        <f>10656+3649</f>
        <v>14305</v>
      </c>
    </row>
    <row r="30" spans="1:10">
      <c r="A30" s="328" t="s">
        <v>1042</v>
      </c>
      <c r="B30" s="329">
        <v>13</v>
      </c>
      <c r="C30" s="329">
        <v>6310</v>
      </c>
      <c r="D30" s="328" t="s">
        <v>1152</v>
      </c>
      <c r="E30" s="328" t="s">
        <v>1355</v>
      </c>
      <c r="F30" s="330" t="s">
        <v>823</v>
      </c>
      <c r="G30" s="331">
        <v>24015</v>
      </c>
      <c r="H30" s="331">
        <v>27262</v>
      </c>
      <c r="I30" s="332">
        <v>32825</v>
      </c>
      <c r="J30" s="332">
        <v>26622</v>
      </c>
    </row>
    <row r="31" spans="1:10">
      <c r="A31" s="328" t="s">
        <v>1044</v>
      </c>
      <c r="B31" s="329">
        <v>21</v>
      </c>
      <c r="C31" s="329">
        <v>6310</v>
      </c>
      <c r="D31" s="328" t="s">
        <v>917</v>
      </c>
      <c r="E31" s="328" t="s">
        <v>1356</v>
      </c>
      <c r="F31" s="330" t="s">
        <v>859</v>
      </c>
      <c r="G31" s="331">
        <v>18731</v>
      </c>
      <c r="H31" s="331">
        <v>14009</v>
      </c>
      <c r="I31" s="332">
        <v>17340</v>
      </c>
      <c r="J31" s="332">
        <v>21917</v>
      </c>
    </row>
    <row r="32" spans="1:10">
      <c r="A32" s="328" t="s">
        <v>1297</v>
      </c>
      <c r="B32" s="329">
        <v>1</v>
      </c>
      <c r="C32" s="329">
        <v>6440</v>
      </c>
      <c r="D32" s="328" t="s">
        <v>1357</v>
      </c>
      <c r="E32" s="328" t="s">
        <v>1358</v>
      </c>
      <c r="F32" s="330" t="s">
        <v>817</v>
      </c>
      <c r="G32" s="331">
        <v>143477</v>
      </c>
      <c r="H32" s="331">
        <v>137135</v>
      </c>
      <c r="I32" s="332">
        <f>144430+79696</f>
        <v>224126</v>
      </c>
      <c r="J32" s="332">
        <f>167128+72941</f>
        <v>240069</v>
      </c>
    </row>
    <row r="33" spans="1:10">
      <c r="A33" s="328" t="s">
        <v>1297</v>
      </c>
      <c r="B33" s="329">
        <v>3</v>
      </c>
      <c r="C33" s="329">
        <v>6440</v>
      </c>
      <c r="D33" s="328" t="s">
        <v>1302</v>
      </c>
      <c r="E33" s="328" t="s">
        <v>1027</v>
      </c>
      <c r="F33" s="330" t="s">
        <v>501</v>
      </c>
      <c r="G33" s="331">
        <v>2575</v>
      </c>
      <c r="H33" s="331">
        <v>2665</v>
      </c>
      <c r="I33" s="332">
        <v>2928</v>
      </c>
      <c r="J33" s="332">
        <v>4062</v>
      </c>
    </row>
    <row r="34" spans="1:10">
      <c r="A34" s="328" t="s">
        <v>1297</v>
      </c>
      <c r="B34" s="329">
        <v>3</v>
      </c>
      <c r="C34" s="329">
        <v>6440</v>
      </c>
      <c r="D34" s="328" t="s">
        <v>1302</v>
      </c>
      <c r="E34" s="328" t="s">
        <v>153</v>
      </c>
      <c r="F34" s="330" t="s">
        <v>820</v>
      </c>
      <c r="G34" s="331">
        <v>3534</v>
      </c>
      <c r="H34" s="331">
        <v>3600</v>
      </c>
      <c r="I34" s="332">
        <v>2815</v>
      </c>
      <c r="J34" s="332">
        <v>2612</v>
      </c>
    </row>
    <row r="35" spans="1:10">
      <c r="A35" s="328" t="s">
        <v>1293</v>
      </c>
      <c r="B35" s="329">
        <v>20</v>
      </c>
      <c r="C35" s="329">
        <v>6440</v>
      </c>
      <c r="D35" s="328" t="s">
        <v>1152</v>
      </c>
      <c r="E35" s="328" t="s">
        <v>1359</v>
      </c>
      <c r="F35" s="330" t="s">
        <v>992</v>
      </c>
      <c r="G35" s="331">
        <v>56017</v>
      </c>
      <c r="H35" s="331">
        <v>48888</v>
      </c>
      <c r="I35" s="332">
        <v>59956</v>
      </c>
      <c r="J35" s="332">
        <v>82610</v>
      </c>
    </row>
    <row r="36" spans="1:10">
      <c r="A36" s="328" t="s">
        <v>1293</v>
      </c>
      <c r="B36" s="329">
        <v>14</v>
      </c>
      <c r="C36" s="329">
        <v>6440</v>
      </c>
      <c r="D36" s="328" t="s">
        <v>1350</v>
      </c>
      <c r="E36" s="328" t="s">
        <v>1360</v>
      </c>
      <c r="F36" s="330" t="s">
        <v>169</v>
      </c>
      <c r="G36" s="332"/>
      <c r="H36" s="332"/>
      <c r="I36" s="332">
        <v>1274</v>
      </c>
      <c r="J36" s="332">
        <v>1507</v>
      </c>
    </row>
    <row r="37" spans="1:10">
      <c r="A37" s="328" t="s">
        <v>1293</v>
      </c>
      <c r="B37" s="329">
        <v>14</v>
      </c>
      <c r="C37" s="329">
        <v>6440</v>
      </c>
      <c r="D37" s="328" t="s">
        <v>1350</v>
      </c>
      <c r="E37" s="328" t="s">
        <v>1360</v>
      </c>
      <c r="F37" s="330" t="s">
        <v>946</v>
      </c>
      <c r="G37" s="331">
        <v>-194</v>
      </c>
      <c r="H37" s="331">
        <v>1355</v>
      </c>
      <c r="I37" s="332"/>
      <c r="J37" s="332"/>
    </row>
    <row r="38" spans="1:10">
      <c r="A38" s="328" t="s">
        <v>1045</v>
      </c>
      <c r="B38" s="329">
        <v>10</v>
      </c>
      <c r="C38" s="329">
        <v>6440</v>
      </c>
      <c r="D38" s="328" t="s">
        <v>1361</v>
      </c>
      <c r="E38" s="328" t="s">
        <v>1350</v>
      </c>
      <c r="F38" s="330" t="s">
        <v>578</v>
      </c>
      <c r="G38" s="331">
        <v>23623</v>
      </c>
      <c r="H38" s="331">
        <v>30147</v>
      </c>
      <c r="I38" s="332">
        <v>28831</v>
      </c>
      <c r="J38" s="332">
        <v>22827</v>
      </c>
    </row>
    <row r="39" spans="1:10">
      <c r="A39" s="328" t="s">
        <v>1049</v>
      </c>
      <c r="B39" s="329">
        <v>3</v>
      </c>
      <c r="C39" s="329">
        <v>6430</v>
      </c>
      <c r="D39" s="328" t="s">
        <v>1152</v>
      </c>
      <c r="E39" s="328" t="s">
        <v>1362</v>
      </c>
      <c r="F39" s="330" t="s">
        <v>916</v>
      </c>
      <c r="G39" s="331">
        <v>8264</v>
      </c>
      <c r="H39" s="331">
        <v>8831</v>
      </c>
      <c r="I39" s="332">
        <v>11265</v>
      </c>
      <c r="J39" s="332">
        <v>12449</v>
      </c>
    </row>
    <row r="40" spans="1:10">
      <c r="A40" s="328" t="s">
        <v>1050</v>
      </c>
      <c r="B40" s="329">
        <v>32</v>
      </c>
      <c r="C40" s="329">
        <v>6430</v>
      </c>
      <c r="D40" s="328" t="s">
        <v>1151</v>
      </c>
      <c r="E40" s="328" t="s">
        <v>1361</v>
      </c>
      <c r="F40" s="330" t="s">
        <v>61</v>
      </c>
      <c r="G40" s="331">
        <v>2163</v>
      </c>
      <c r="H40" s="331">
        <v>2935</v>
      </c>
      <c r="I40" s="332">
        <v>4270</v>
      </c>
      <c r="J40" s="332">
        <v>3957</v>
      </c>
    </row>
    <row r="41" spans="1:10">
      <c r="A41" s="328" t="s">
        <v>1051</v>
      </c>
      <c r="B41" s="329">
        <v>29</v>
      </c>
      <c r="C41" s="329">
        <v>6430</v>
      </c>
      <c r="D41" s="328" t="s">
        <v>1152</v>
      </c>
      <c r="E41" s="328" t="s">
        <v>1363</v>
      </c>
      <c r="F41" s="330" t="s">
        <v>912</v>
      </c>
      <c r="G41" s="331">
        <v>25187</v>
      </c>
      <c r="H41" s="331">
        <v>23273</v>
      </c>
      <c r="I41" s="332">
        <v>22843</v>
      </c>
      <c r="J41" s="332">
        <v>17468</v>
      </c>
    </row>
    <row r="42" spans="1:10">
      <c r="A42" s="328" t="s">
        <v>1048</v>
      </c>
      <c r="B42" s="329">
        <v>7</v>
      </c>
      <c r="C42" s="329">
        <v>6430</v>
      </c>
      <c r="D42" s="328" t="s">
        <v>1302</v>
      </c>
      <c r="E42" s="328" t="s">
        <v>156</v>
      </c>
      <c r="F42" s="330" t="s">
        <v>582</v>
      </c>
      <c r="G42" s="331">
        <v>9478</v>
      </c>
      <c r="H42" s="331">
        <v>11332</v>
      </c>
      <c r="I42" s="332">
        <v>14058</v>
      </c>
      <c r="J42" s="332">
        <v>11184</v>
      </c>
    </row>
    <row r="43" spans="1:10">
      <c r="A43" s="328" t="s">
        <v>1051</v>
      </c>
      <c r="B43" s="329">
        <v>29</v>
      </c>
      <c r="C43" s="329">
        <v>6430</v>
      </c>
      <c r="D43" s="328" t="s">
        <v>1302</v>
      </c>
      <c r="E43" s="328" t="s">
        <v>157</v>
      </c>
      <c r="F43" s="330" t="s">
        <v>167</v>
      </c>
      <c r="G43" s="331">
        <v>17018</v>
      </c>
      <c r="H43" s="331">
        <v>14854</v>
      </c>
      <c r="I43" s="332">
        <v>15402</v>
      </c>
      <c r="J43" s="332">
        <v>13674</v>
      </c>
    </row>
    <row r="44" spans="1:10">
      <c r="A44" s="328" t="s">
        <v>1287</v>
      </c>
      <c r="B44" s="329">
        <v>102</v>
      </c>
      <c r="C44" s="329">
        <v>6320</v>
      </c>
      <c r="D44" s="328" t="s">
        <v>1152</v>
      </c>
      <c r="E44" s="328" t="s">
        <v>1346</v>
      </c>
      <c r="F44" s="330" t="s">
        <v>884</v>
      </c>
      <c r="G44" s="331">
        <v>6901</v>
      </c>
      <c r="H44" s="331">
        <v>7551</v>
      </c>
      <c r="I44" s="332">
        <v>8524</v>
      </c>
      <c r="J44" s="332">
        <v>7513</v>
      </c>
    </row>
    <row r="45" spans="1:10">
      <c r="A45" s="328" t="s">
        <v>1057</v>
      </c>
      <c r="B45" s="329">
        <v>72</v>
      </c>
      <c r="C45" s="329">
        <v>6400</v>
      </c>
      <c r="D45" s="328" t="s">
        <v>1366</v>
      </c>
      <c r="E45" s="328" t="s">
        <v>1367</v>
      </c>
      <c r="F45" s="330" t="s">
        <v>560</v>
      </c>
      <c r="G45" s="331">
        <v>469</v>
      </c>
      <c r="H45" s="331">
        <v>5017</v>
      </c>
      <c r="I45" s="332">
        <v>7388</v>
      </c>
      <c r="J45" s="332">
        <v>5017</v>
      </c>
    </row>
    <row r="46" spans="1:10">
      <c r="A46" s="328" t="s">
        <v>1058</v>
      </c>
      <c r="B46" s="329">
        <v>2</v>
      </c>
      <c r="C46" s="329">
        <v>6400</v>
      </c>
      <c r="D46" s="328" t="s">
        <v>1302</v>
      </c>
      <c r="E46" s="328" t="s">
        <v>1152</v>
      </c>
      <c r="F46" s="330" t="s">
        <v>63</v>
      </c>
      <c r="G46" s="331">
        <v>7538</v>
      </c>
      <c r="H46" s="331">
        <v>6291</v>
      </c>
      <c r="I46" s="332">
        <v>5806</v>
      </c>
      <c r="J46" s="332">
        <v>2785</v>
      </c>
    </row>
    <row r="47" spans="1:10">
      <c r="A47" s="328" t="s">
        <v>1059</v>
      </c>
      <c r="B47" s="329">
        <v>13</v>
      </c>
      <c r="C47" s="329">
        <v>6320</v>
      </c>
      <c r="D47" s="328" t="s">
        <v>1302</v>
      </c>
      <c r="E47" s="328" t="s">
        <v>158</v>
      </c>
      <c r="F47" s="330" t="s">
        <v>825</v>
      </c>
      <c r="G47" s="331">
        <v>109899</v>
      </c>
      <c r="H47" s="331">
        <v>91159</v>
      </c>
      <c r="I47" s="332">
        <f>41603+81600</f>
        <v>123203</v>
      </c>
      <c r="J47" s="332">
        <f>48402+87145</f>
        <v>135547</v>
      </c>
    </row>
    <row r="48" spans="1:10">
      <c r="A48" s="328" t="s">
        <v>1060</v>
      </c>
      <c r="B48" s="329">
        <v>3</v>
      </c>
      <c r="C48" s="329">
        <v>6400</v>
      </c>
      <c r="D48" s="328" t="s">
        <v>1302</v>
      </c>
      <c r="E48" s="328" t="s">
        <v>1153</v>
      </c>
      <c r="F48" s="330" t="s">
        <v>844</v>
      </c>
      <c r="G48" s="331">
        <v>202302</v>
      </c>
      <c r="H48" s="331">
        <v>206350</v>
      </c>
      <c r="I48" s="332">
        <f>223175+91734</f>
        <v>314909</v>
      </c>
      <c r="J48" s="332">
        <f>250431+97783</f>
        <v>348214</v>
      </c>
    </row>
    <row r="49" spans="1:10">
      <c r="A49" s="328" t="s">
        <v>1043</v>
      </c>
      <c r="B49" s="329">
        <v>6</v>
      </c>
      <c r="C49" s="329">
        <v>6440</v>
      </c>
      <c r="D49" s="328" t="s">
        <v>1350</v>
      </c>
      <c r="E49" s="328" t="s">
        <v>1369</v>
      </c>
      <c r="F49" s="330" t="s">
        <v>59</v>
      </c>
      <c r="G49" s="331">
        <v>2505</v>
      </c>
      <c r="H49" s="331">
        <v>8044</v>
      </c>
      <c r="I49" s="332">
        <v>10062</v>
      </c>
      <c r="J49" s="332">
        <v>12996</v>
      </c>
    </row>
    <row r="50" spans="1:10">
      <c r="A50" s="328" t="s">
        <v>1063</v>
      </c>
      <c r="B50" s="329">
        <v>4</v>
      </c>
      <c r="C50" s="329">
        <v>6430</v>
      </c>
      <c r="D50" s="328" t="s">
        <v>1302</v>
      </c>
      <c r="E50" s="328" t="s">
        <v>918</v>
      </c>
      <c r="F50" s="330" t="s">
        <v>584</v>
      </c>
      <c r="G50" s="331">
        <v>5256</v>
      </c>
      <c r="H50" s="331">
        <v>5450</v>
      </c>
      <c r="I50" s="332">
        <v>4650</v>
      </c>
      <c r="J50" s="332">
        <v>5952</v>
      </c>
    </row>
    <row r="51" spans="1:10">
      <c r="A51" s="328" t="s">
        <v>1064</v>
      </c>
      <c r="B51" s="329">
        <v>21</v>
      </c>
      <c r="C51" s="329">
        <v>6400</v>
      </c>
      <c r="D51" s="328" t="s">
        <v>1302</v>
      </c>
      <c r="E51" s="328" t="s">
        <v>919</v>
      </c>
      <c r="F51" s="330" t="s">
        <v>62</v>
      </c>
      <c r="G51" s="331">
        <v>10196</v>
      </c>
      <c r="H51" s="331">
        <v>8712</v>
      </c>
      <c r="I51" s="332">
        <v>7985</v>
      </c>
      <c r="J51" s="332">
        <v>9328</v>
      </c>
    </row>
    <row r="52" spans="1:10">
      <c r="A52" s="328" t="s">
        <v>1065</v>
      </c>
      <c r="B52" s="329">
        <v>64</v>
      </c>
      <c r="C52" s="329">
        <v>6300</v>
      </c>
      <c r="D52" s="328" t="s">
        <v>1302</v>
      </c>
      <c r="E52" s="328" t="s">
        <v>999</v>
      </c>
      <c r="F52" s="330" t="s">
        <v>943</v>
      </c>
      <c r="G52" s="331">
        <v>63</v>
      </c>
      <c r="H52" s="331">
        <v>62</v>
      </c>
      <c r="I52" s="332">
        <v>78</v>
      </c>
      <c r="J52" s="332">
        <v>21</v>
      </c>
    </row>
    <row r="53" spans="1:10">
      <c r="A53" s="328" t="s">
        <v>1040</v>
      </c>
      <c r="B53" s="329">
        <v>5</v>
      </c>
      <c r="C53" s="329">
        <v>6300</v>
      </c>
      <c r="D53" s="328"/>
      <c r="E53" s="328" t="s">
        <v>728</v>
      </c>
      <c r="F53" s="330"/>
      <c r="G53" s="331"/>
      <c r="H53" s="331"/>
      <c r="I53" s="332">
        <v>3978</v>
      </c>
      <c r="J53" s="332">
        <v>3774</v>
      </c>
    </row>
    <row r="54" spans="1:10">
      <c r="A54" s="328" t="s">
        <v>1040</v>
      </c>
      <c r="B54" s="329">
        <v>5</v>
      </c>
      <c r="C54" s="329">
        <v>6300</v>
      </c>
      <c r="D54" s="328" t="s">
        <v>1152</v>
      </c>
      <c r="E54" s="328" t="s">
        <v>1370</v>
      </c>
      <c r="F54" s="330" t="s">
        <v>85</v>
      </c>
      <c r="G54" s="331">
        <v>7667</v>
      </c>
      <c r="H54" s="331">
        <v>3437</v>
      </c>
      <c r="I54" s="332"/>
      <c r="J54" s="332"/>
    </row>
    <row r="55" spans="1:10">
      <c r="A55" s="328" t="s">
        <v>1068</v>
      </c>
      <c r="B55" s="329">
        <v>2</v>
      </c>
      <c r="C55" s="329">
        <v>6440</v>
      </c>
      <c r="D55" s="328" t="s">
        <v>1302</v>
      </c>
      <c r="E55" s="328" t="s">
        <v>920</v>
      </c>
      <c r="F55" s="330" t="s">
        <v>115</v>
      </c>
      <c r="G55" s="331">
        <v>1478</v>
      </c>
      <c r="H55" s="331">
        <v>329</v>
      </c>
      <c r="I55" s="332">
        <v>145</v>
      </c>
      <c r="J55" s="332">
        <v>193</v>
      </c>
    </row>
    <row r="56" spans="1:10">
      <c r="A56" s="328" t="s">
        <v>1069</v>
      </c>
      <c r="B56" s="329">
        <v>159</v>
      </c>
      <c r="C56" s="329">
        <v>6300</v>
      </c>
      <c r="D56" s="328" t="s">
        <v>1302</v>
      </c>
      <c r="E56" s="328" t="s">
        <v>1004</v>
      </c>
      <c r="F56" s="330" t="s">
        <v>159</v>
      </c>
      <c r="G56" s="331">
        <v>26641</v>
      </c>
      <c r="H56" s="331">
        <v>17649</v>
      </c>
      <c r="I56" s="332">
        <v>17818</v>
      </c>
      <c r="J56" s="332">
        <v>16651</v>
      </c>
    </row>
    <row r="57" spans="1:10">
      <c r="A57" s="328" t="s">
        <v>1049</v>
      </c>
      <c r="B57" s="329">
        <v>3</v>
      </c>
      <c r="C57" s="329">
        <v>6470</v>
      </c>
      <c r="D57" s="328" t="s">
        <v>1302</v>
      </c>
      <c r="E57" s="328" t="s">
        <v>930</v>
      </c>
      <c r="F57" s="330" t="s">
        <v>931</v>
      </c>
      <c r="G57" s="331">
        <v>33151</v>
      </c>
      <c r="H57" s="331">
        <v>22360</v>
      </c>
      <c r="I57" s="332">
        <v>36526</v>
      </c>
      <c r="J57" s="332">
        <v>22075</v>
      </c>
    </row>
    <row r="58" spans="1:10">
      <c r="A58" s="328" t="s">
        <v>1065</v>
      </c>
      <c r="B58" s="329">
        <v>94</v>
      </c>
      <c r="C58" s="329">
        <v>6300</v>
      </c>
      <c r="D58" s="328" t="s">
        <v>1302</v>
      </c>
      <c r="E58" s="328" t="s">
        <v>922</v>
      </c>
      <c r="F58" s="330" t="s">
        <v>501</v>
      </c>
      <c r="G58" s="331">
        <v>243</v>
      </c>
      <c r="H58" s="331">
        <v>511</v>
      </c>
      <c r="I58" s="332">
        <v>553</v>
      </c>
      <c r="J58" s="332">
        <v>333</v>
      </c>
    </row>
    <row r="59" spans="1:10">
      <c r="A59" s="328" t="s">
        <v>1072</v>
      </c>
      <c r="B59" s="329">
        <v>2</v>
      </c>
      <c r="C59" s="329">
        <v>6470</v>
      </c>
      <c r="D59" s="328" t="s">
        <v>1302</v>
      </c>
      <c r="E59" s="328" t="s">
        <v>152</v>
      </c>
      <c r="F59" s="330" t="s">
        <v>79</v>
      </c>
      <c r="G59" s="331">
        <v>8175</v>
      </c>
      <c r="H59" s="331">
        <v>11108</v>
      </c>
      <c r="I59" s="332">
        <v>14421</v>
      </c>
      <c r="J59" s="332">
        <v>14310</v>
      </c>
    </row>
    <row r="60" spans="1:10">
      <c r="A60" s="328" t="s">
        <v>1074</v>
      </c>
      <c r="B60" s="329">
        <v>2</v>
      </c>
      <c r="C60" s="329">
        <v>6470</v>
      </c>
      <c r="D60" s="328" t="s">
        <v>1302</v>
      </c>
      <c r="E60" s="328" t="s">
        <v>599</v>
      </c>
      <c r="F60" s="330" t="s">
        <v>828</v>
      </c>
      <c r="G60" s="331">
        <v>143464</v>
      </c>
      <c r="H60" s="331">
        <v>145714</v>
      </c>
      <c r="I60" s="332">
        <v>149126</v>
      </c>
      <c r="J60" s="332">
        <v>164352</v>
      </c>
    </row>
    <row r="61" spans="1:10">
      <c r="A61" s="328" t="s">
        <v>1077</v>
      </c>
      <c r="B61" s="329">
        <v>10</v>
      </c>
      <c r="C61" s="329">
        <v>6300</v>
      </c>
      <c r="D61" s="328" t="s">
        <v>1302</v>
      </c>
      <c r="E61" s="328" t="s">
        <v>600</v>
      </c>
      <c r="F61" s="330" t="s">
        <v>829</v>
      </c>
      <c r="G61" s="331">
        <v>56039</v>
      </c>
      <c r="H61" s="331">
        <v>41529</v>
      </c>
      <c r="I61" s="332">
        <v>36091</v>
      </c>
      <c r="J61" s="332">
        <v>35270</v>
      </c>
    </row>
    <row r="62" spans="1:10">
      <c r="A62" s="328" t="s">
        <v>602</v>
      </c>
      <c r="B62" s="329">
        <v>1</v>
      </c>
      <c r="C62" s="329">
        <v>6300</v>
      </c>
      <c r="D62" s="328" t="s">
        <v>729</v>
      </c>
      <c r="E62" s="328" t="s">
        <v>1163</v>
      </c>
      <c r="F62" s="330" t="s">
        <v>864</v>
      </c>
      <c r="G62" s="331">
        <v>1822</v>
      </c>
      <c r="H62" s="331">
        <v>853</v>
      </c>
      <c r="I62" s="332">
        <v>1390</v>
      </c>
      <c r="J62" s="332">
        <v>1195</v>
      </c>
    </row>
    <row r="63" spans="1:10">
      <c r="A63" s="328" t="s">
        <v>639</v>
      </c>
      <c r="B63" s="329">
        <v>46</v>
      </c>
      <c r="C63" s="329">
        <v>6440</v>
      </c>
      <c r="D63" s="328" t="s">
        <v>1371</v>
      </c>
      <c r="E63" s="328" t="s">
        <v>1372</v>
      </c>
      <c r="F63" s="330" t="s">
        <v>579</v>
      </c>
      <c r="G63" s="331">
        <v>7849</v>
      </c>
      <c r="H63" s="331">
        <v>4794</v>
      </c>
      <c r="I63" s="332">
        <v>5996</v>
      </c>
      <c r="J63" s="332">
        <v>6860</v>
      </c>
    </row>
    <row r="64" spans="1:10">
      <c r="A64" s="328" t="s">
        <v>639</v>
      </c>
      <c r="B64" s="329">
        <v>46</v>
      </c>
      <c r="C64" s="329">
        <v>6440</v>
      </c>
      <c r="D64" s="328" t="s">
        <v>1350</v>
      </c>
      <c r="E64" s="328" t="s">
        <v>1360</v>
      </c>
      <c r="F64" s="330" t="s">
        <v>579</v>
      </c>
      <c r="G64" s="331">
        <v>388</v>
      </c>
      <c r="H64" s="331">
        <v>341</v>
      </c>
      <c r="I64" s="332">
        <v>297</v>
      </c>
      <c r="J64" s="332">
        <v>277</v>
      </c>
    </row>
    <row r="65" spans="1:10">
      <c r="A65" s="328" t="s">
        <v>1285</v>
      </c>
      <c r="B65" s="329">
        <v>4</v>
      </c>
      <c r="C65" s="329">
        <v>6300</v>
      </c>
      <c r="D65" s="328" t="s">
        <v>1302</v>
      </c>
      <c r="E65" s="328" t="s">
        <v>647</v>
      </c>
      <c r="F65" s="330" t="s">
        <v>173</v>
      </c>
      <c r="G65" s="331">
        <v>14250</v>
      </c>
      <c r="H65" s="331">
        <v>17848</v>
      </c>
      <c r="I65" s="332">
        <v>25458</v>
      </c>
      <c r="J65" s="332">
        <v>18225</v>
      </c>
    </row>
    <row r="66" spans="1:10">
      <c r="A66" s="328" t="s">
        <v>1340</v>
      </c>
      <c r="B66" s="329">
        <v>14</v>
      </c>
      <c r="C66" s="329">
        <v>6470</v>
      </c>
      <c r="D66" s="328" t="s">
        <v>1373</v>
      </c>
      <c r="E66" s="328" t="s">
        <v>1374</v>
      </c>
      <c r="F66" s="330" t="s">
        <v>911</v>
      </c>
      <c r="G66" s="331">
        <v>4809</v>
      </c>
      <c r="H66" s="331">
        <v>3642</v>
      </c>
      <c r="I66" s="332">
        <v>4730</v>
      </c>
      <c r="J66" s="332">
        <v>3795</v>
      </c>
    </row>
    <row r="67" spans="1:10">
      <c r="A67" s="328" t="s">
        <v>1341</v>
      </c>
      <c r="B67" s="329">
        <v>10</v>
      </c>
      <c r="C67" s="329">
        <v>6300</v>
      </c>
      <c r="D67" s="328" t="s">
        <v>1302</v>
      </c>
      <c r="E67" s="328" t="s">
        <v>1028</v>
      </c>
      <c r="F67" s="330" t="s">
        <v>831</v>
      </c>
      <c r="G67" s="331">
        <v>38360</v>
      </c>
      <c r="H67" s="331">
        <v>41331</v>
      </c>
      <c r="I67" s="332">
        <v>42972</v>
      </c>
      <c r="J67" s="332">
        <v>43423</v>
      </c>
    </row>
    <row r="68" spans="1:10">
      <c r="A68" s="328" t="s">
        <v>1342</v>
      </c>
      <c r="B68" s="329">
        <v>67</v>
      </c>
      <c r="C68" s="329">
        <v>6430</v>
      </c>
      <c r="D68" s="328" t="s">
        <v>1302</v>
      </c>
      <c r="E68" s="328" t="s">
        <v>1029</v>
      </c>
      <c r="F68" s="330" t="s">
        <v>871</v>
      </c>
      <c r="G68" s="331">
        <v>10308</v>
      </c>
      <c r="H68" s="331">
        <v>10208</v>
      </c>
      <c r="I68" s="332">
        <v>10773</v>
      </c>
      <c r="J68" s="332">
        <v>10208</v>
      </c>
    </row>
    <row r="69" spans="1:10">
      <c r="A69" s="328" t="s">
        <v>1037</v>
      </c>
      <c r="B69" s="329">
        <v>5</v>
      </c>
      <c r="C69" s="329">
        <v>6300</v>
      </c>
      <c r="D69" s="328" t="s">
        <v>1375</v>
      </c>
      <c r="E69" s="328" t="s">
        <v>1376</v>
      </c>
      <c r="F69" s="330" t="s">
        <v>889</v>
      </c>
      <c r="G69" s="331">
        <v>842</v>
      </c>
      <c r="H69" s="331">
        <v>22208</v>
      </c>
      <c r="I69" s="332">
        <v>33784</v>
      </c>
      <c r="J69" s="332">
        <v>18801</v>
      </c>
    </row>
    <row r="70" spans="1:10">
      <c r="A70" s="328" t="s">
        <v>634</v>
      </c>
      <c r="B70" s="329">
        <v>4</v>
      </c>
      <c r="C70" s="329">
        <v>6440</v>
      </c>
      <c r="D70" s="328" t="s">
        <v>1302</v>
      </c>
      <c r="E70" s="328" t="s">
        <v>1030</v>
      </c>
      <c r="F70" s="330" t="s">
        <v>851</v>
      </c>
      <c r="G70" s="331">
        <v>4550</v>
      </c>
      <c r="H70" s="331">
        <v>5585</v>
      </c>
      <c r="I70" s="332">
        <v>7634</v>
      </c>
      <c r="J70" s="332">
        <v>7389</v>
      </c>
    </row>
    <row r="71" spans="1:10">
      <c r="A71" s="328" t="s">
        <v>1056</v>
      </c>
      <c r="B71" s="329">
        <v>18</v>
      </c>
      <c r="C71" s="329">
        <v>6400</v>
      </c>
      <c r="D71" s="328" t="s">
        <v>1302</v>
      </c>
      <c r="E71" s="328" t="s">
        <v>1031</v>
      </c>
      <c r="F71" s="330" t="s">
        <v>875</v>
      </c>
      <c r="G71" s="331">
        <v>14445</v>
      </c>
      <c r="H71" s="331">
        <v>14914</v>
      </c>
      <c r="I71" s="332">
        <v>12843</v>
      </c>
      <c r="J71" s="332">
        <v>11134</v>
      </c>
    </row>
    <row r="72" spans="1:10">
      <c r="A72" s="328" t="s">
        <v>652</v>
      </c>
      <c r="B72" s="329"/>
      <c r="C72" s="329">
        <v>6430</v>
      </c>
      <c r="D72" s="328" t="s">
        <v>1151</v>
      </c>
      <c r="E72" s="328" t="s">
        <v>1377</v>
      </c>
      <c r="F72" s="330" t="s">
        <v>162</v>
      </c>
      <c r="G72" s="331"/>
      <c r="H72" s="331">
        <v>1</v>
      </c>
      <c r="I72" s="332">
        <v>1</v>
      </c>
      <c r="J72" s="332">
        <v>2</v>
      </c>
    </row>
    <row r="73" spans="1:10">
      <c r="A73" s="328" t="s">
        <v>1041</v>
      </c>
      <c r="B73" s="329">
        <v>14</v>
      </c>
      <c r="C73" s="329">
        <v>6310</v>
      </c>
      <c r="D73" s="328" t="s">
        <v>1302</v>
      </c>
      <c r="E73" s="328" t="s">
        <v>1032</v>
      </c>
      <c r="F73" s="330" t="s">
        <v>857</v>
      </c>
      <c r="G73" s="331">
        <v>8999</v>
      </c>
      <c r="H73" s="331">
        <v>8627</v>
      </c>
      <c r="I73" s="332">
        <v>8996</v>
      </c>
      <c r="J73" s="332">
        <v>9331</v>
      </c>
    </row>
    <row r="74" spans="1:10">
      <c r="A74" s="328" t="s">
        <v>759</v>
      </c>
      <c r="B74" s="329">
        <v>4</v>
      </c>
      <c r="C74" s="329">
        <v>6440</v>
      </c>
      <c r="D74" s="328" t="s">
        <v>1152</v>
      </c>
      <c r="E74" s="328" t="s">
        <v>1363</v>
      </c>
      <c r="F74" s="330" t="s">
        <v>907</v>
      </c>
      <c r="G74" s="331">
        <v>14231</v>
      </c>
      <c r="H74" s="331">
        <v>7704</v>
      </c>
      <c r="I74" s="332">
        <v>6370</v>
      </c>
      <c r="J74" s="332">
        <v>5881</v>
      </c>
    </row>
    <row r="75" spans="1:10">
      <c r="A75" s="328" t="s">
        <v>1297</v>
      </c>
      <c r="B75" s="329">
        <v>24</v>
      </c>
      <c r="C75" s="329">
        <v>6440</v>
      </c>
      <c r="D75" s="328" t="s">
        <v>1381</v>
      </c>
      <c r="E75" s="328" t="s">
        <v>1382</v>
      </c>
      <c r="F75" s="330" t="s">
        <v>168</v>
      </c>
      <c r="G75" s="331">
        <v>172614</v>
      </c>
      <c r="H75" s="331">
        <v>159762</v>
      </c>
      <c r="I75" s="332">
        <v>174619</v>
      </c>
      <c r="J75" s="332">
        <v>182230</v>
      </c>
    </row>
    <row r="76" spans="1:10">
      <c r="A76" s="328" t="s">
        <v>761</v>
      </c>
      <c r="B76" s="329">
        <v>3</v>
      </c>
      <c r="C76" s="329">
        <v>6430</v>
      </c>
      <c r="D76" s="328" t="s">
        <v>1347</v>
      </c>
      <c r="E76" s="328" t="s">
        <v>1383</v>
      </c>
      <c r="F76" s="330" t="s">
        <v>913</v>
      </c>
      <c r="G76" s="331">
        <v>10913</v>
      </c>
      <c r="H76" s="331">
        <v>8280</v>
      </c>
      <c r="I76" s="332">
        <v>9543</v>
      </c>
      <c r="J76" s="332">
        <v>7090</v>
      </c>
    </row>
    <row r="77" spans="1:10">
      <c r="A77" s="328" t="s">
        <v>764</v>
      </c>
      <c r="B77" s="329">
        <v>34</v>
      </c>
      <c r="C77" s="329">
        <v>6430</v>
      </c>
      <c r="D77" s="328" t="s">
        <v>1302</v>
      </c>
      <c r="E77" s="328" t="s">
        <v>648</v>
      </c>
      <c r="F77" s="330" t="s">
        <v>163</v>
      </c>
      <c r="G77" s="331">
        <v>13743</v>
      </c>
      <c r="H77" s="331">
        <v>10652</v>
      </c>
      <c r="I77" s="332">
        <v>10344</v>
      </c>
      <c r="J77" s="332">
        <v>10309</v>
      </c>
    </row>
    <row r="78" spans="1:10">
      <c r="A78" s="328" t="s">
        <v>765</v>
      </c>
      <c r="B78" s="329">
        <v>4</v>
      </c>
      <c r="C78" s="329">
        <v>6470</v>
      </c>
      <c r="D78" s="328" t="s">
        <v>1384</v>
      </c>
      <c r="E78" s="328" t="s">
        <v>1385</v>
      </c>
      <c r="F78" s="330" t="s">
        <v>117</v>
      </c>
      <c r="G78" s="331">
        <v>19329</v>
      </c>
      <c r="H78" s="331">
        <v>14686</v>
      </c>
      <c r="I78" s="332">
        <v>17675</v>
      </c>
      <c r="J78" s="332">
        <v>19740</v>
      </c>
    </row>
    <row r="79" spans="1:10">
      <c r="A79" s="328" t="s">
        <v>767</v>
      </c>
      <c r="B79" s="329">
        <v>5</v>
      </c>
      <c r="C79" s="329">
        <v>6310</v>
      </c>
      <c r="D79" s="328" t="s">
        <v>1302</v>
      </c>
      <c r="E79" s="328" t="s">
        <v>1004</v>
      </c>
      <c r="F79" s="330" t="s">
        <v>116</v>
      </c>
      <c r="G79" s="331">
        <v>21185</v>
      </c>
      <c r="H79" s="331">
        <v>12319</v>
      </c>
      <c r="I79" s="332">
        <v>12715</v>
      </c>
      <c r="J79" s="332">
        <v>12740</v>
      </c>
    </row>
    <row r="80" spans="1:10">
      <c r="A80" s="328" t="s">
        <v>768</v>
      </c>
      <c r="B80" s="329">
        <v>11</v>
      </c>
      <c r="C80" s="329">
        <v>6400</v>
      </c>
      <c r="D80" s="328" t="s">
        <v>1302</v>
      </c>
      <c r="E80" s="328" t="s">
        <v>649</v>
      </c>
      <c r="F80" s="330" t="s">
        <v>873</v>
      </c>
      <c r="G80" s="331">
        <v>6908</v>
      </c>
      <c r="H80" s="331">
        <v>10607</v>
      </c>
      <c r="I80" s="332">
        <v>12777</v>
      </c>
      <c r="J80" s="332">
        <v>13245</v>
      </c>
    </row>
    <row r="81" spans="1:10">
      <c r="A81" s="328" t="s">
        <v>770</v>
      </c>
      <c r="B81" s="329">
        <v>6</v>
      </c>
      <c r="C81" s="329">
        <v>6400</v>
      </c>
      <c r="D81" s="328" t="s">
        <v>1302</v>
      </c>
      <c r="E81" s="328" t="s">
        <v>650</v>
      </c>
      <c r="F81" s="330" t="s">
        <v>836</v>
      </c>
      <c r="G81" s="331">
        <v>26062</v>
      </c>
      <c r="H81" s="331">
        <v>22523</v>
      </c>
      <c r="I81" s="332">
        <v>23679</v>
      </c>
      <c r="J81" s="332">
        <v>33387</v>
      </c>
    </row>
    <row r="82" spans="1:10">
      <c r="A82" s="328" t="s">
        <v>776</v>
      </c>
      <c r="B82" s="329">
        <v>33</v>
      </c>
      <c r="C82" s="329">
        <v>6400</v>
      </c>
      <c r="D82" s="328" t="s">
        <v>601</v>
      </c>
      <c r="E82" s="328" t="s">
        <v>1386</v>
      </c>
      <c r="F82" s="330" t="s">
        <v>73</v>
      </c>
      <c r="G82" s="331">
        <v>54181</v>
      </c>
      <c r="H82" s="331">
        <v>55503</v>
      </c>
      <c r="I82" s="332">
        <v>60185</v>
      </c>
      <c r="J82" s="332">
        <v>61503</v>
      </c>
    </row>
    <row r="83" spans="1:10">
      <c r="A83" s="328" t="s">
        <v>1044</v>
      </c>
      <c r="B83" s="329">
        <v>19</v>
      </c>
      <c r="C83" s="329">
        <v>6310</v>
      </c>
      <c r="D83" s="328" t="s">
        <v>1302</v>
      </c>
      <c r="E83" s="328" t="s">
        <v>1310</v>
      </c>
      <c r="F83" s="330" t="s">
        <v>824</v>
      </c>
      <c r="G83" s="331">
        <v>203355</v>
      </c>
      <c r="H83" s="331">
        <v>186766</v>
      </c>
      <c r="I83" s="332">
        <f>197446+89776</f>
        <v>287222</v>
      </c>
      <c r="J83" s="332">
        <f>262269+85197</f>
        <v>347466</v>
      </c>
    </row>
    <row r="84" spans="1:10">
      <c r="A84" s="328" t="s">
        <v>770</v>
      </c>
      <c r="B84" s="329">
        <v>8</v>
      </c>
      <c r="C84" s="329">
        <v>6400</v>
      </c>
      <c r="D84" s="328" t="s">
        <v>1302</v>
      </c>
      <c r="E84" s="328" t="s">
        <v>650</v>
      </c>
      <c r="F84" s="330" t="s">
        <v>836</v>
      </c>
      <c r="G84" s="331">
        <v>10536</v>
      </c>
      <c r="H84" s="331">
        <v>9680</v>
      </c>
      <c r="I84" s="332">
        <v>8779</v>
      </c>
      <c r="J84" s="332">
        <v>10285</v>
      </c>
    </row>
    <row r="85" spans="1:10">
      <c r="A85" s="328" t="s">
        <v>778</v>
      </c>
      <c r="B85" s="329">
        <v>96</v>
      </c>
      <c r="C85" s="329">
        <v>6440</v>
      </c>
      <c r="D85" s="328" t="s">
        <v>933</v>
      </c>
      <c r="E85" s="328" t="s">
        <v>1387</v>
      </c>
      <c r="F85" s="330" t="s">
        <v>932</v>
      </c>
      <c r="G85" s="331">
        <v>3551</v>
      </c>
      <c r="H85" s="331">
        <v>5769</v>
      </c>
      <c r="I85" s="332">
        <v>7140</v>
      </c>
      <c r="J85" s="332">
        <v>3233</v>
      </c>
    </row>
    <row r="86" spans="1:10">
      <c r="A86" s="328" t="s">
        <v>780</v>
      </c>
      <c r="B86" s="329">
        <v>33</v>
      </c>
      <c r="C86" s="329">
        <v>6430</v>
      </c>
      <c r="D86" s="328" t="s">
        <v>1388</v>
      </c>
      <c r="E86" s="328" t="s">
        <v>1389</v>
      </c>
      <c r="F86" s="330" t="s">
        <v>501</v>
      </c>
      <c r="G86" s="331">
        <v>7239</v>
      </c>
      <c r="H86" s="331">
        <v>7240</v>
      </c>
      <c r="I86" s="332">
        <v>6889</v>
      </c>
      <c r="J86" s="332">
        <v>6788</v>
      </c>
    </row>
    <row r="87" spans="1:10">
      <c r="A87" s="328" t="s">
        <v>764</v>
      </c>
      <c r="B87" s="329">
        <v>64</v>
      </c>
      <c r="C87" s="329">
        <v>6430</v>
      </c>
      <c r="D87" s="328" t="s">
        <v>1302</v>
      </c>
      <c r="E87" s="328" t="s">
        <v>1311</v>
      </c>
      <c r="F87" s="330" t="s">
        <v>833</v>
      </c>
      <c r="G87" s="331">
        <v>40442</v>
      </c>
      <c r="H87" s="331">
        <v>45427</v>
      </c>
      <c r="I87" s="332">
        <v>57361</v>
      </c>
      <c r="J87" s="332">
        <v>57669</v>
      </c>
    </row>
    <row r="88" spans="1:10">
      <c r="A88" s="328" t="s">
        <v>1288</v>
      </c>
      <c r="B88" s="329">
        <v>12</v>
      </c>
      <c r="C88" s="329">
        <v>6400</v>
      </c>
      <c r="D88" s="328" t="s">
        <v>1302</v>
      </c>
      <c r="E88" s="328" t="s">
        <v>1004</v>
      </c>
      <c r="F88" s="330" t="s">
        <v>914</v>
      </c>
      <c r="G88" s="331">
        <v>3306</v>
      </c>
      <c r="H88" s="331">
        <v>3328</v>
      </c>
      <c r="I88" s="332">
        <v>1603</v>
      </c>
      <c r="J88" s="332">
        <v>5209</v>
      </c>
    </row>
    <row r="89" spans="1:10">
      <c r="A89" s="328" t="s">
        <v>1288</v>
      </c>
      <c r="B89" s="329">
        <v>21</v>
      </c>
      <c r="C89" s="329">
        <v>6400</v>
      </c>
      <c r="D89" s="328" t="s">
        <v>1302</v>
      </c>
      <c r="E89" s="328" t="s">
        <v>635</v>
      </c>
      <c r="F89" s="330" t="s">
        <v>569</v>
      </c>
      <c r="G89" s="331">
        <v>271904</v>
      </c>
      <c r="H89" s="331">
        <v>264600</v>
      </c>
      <c r="I89" s="332">
        <v>269232</v>
      </c>
      <c r="J89" s="332">
        <v>271810</v>
      </c>
    </row>
    <row r="90" spans="1:10">
      <c r="A90" s="328" t="s">
        <v>1288</v>
      </c>
      <c r="B90" s="329">
        <v>21</v>
      </c>
      <c r="C90" s="329">
        <v>6400</v>
      </c>
      <c r="D90" s="328" t="s">
        <v>1302</v>
      </c>
      <c r="E90" s="328" t="s">
        <v>635</v>
      </c>
      <c r="F90" s="330" t="s">
        <v>837</v>
      </c>
      <c r="G90" s="332"/>
      <c r="H90" s="332"/>
      <c r="I90" s="332">
        <v>97708</v>
      </c>
      <c r="J90" s="332">
        <v>109625</v>
      </c>
    </row>
    <row r="91" spans="1:10">
      <c r="A91" s="328" t="s">
        <v>1288</v>
      </c>
      <c r="B91" s="329">
        <v>28</v>
      </c>
      <c r="C91" s="329">
        <v>6400</v>
      </c>
      <c r="D91" s="328" t="s">
        <v>1302</v>
      </c>
      <c r="E91" s="328" t="s">
        <v>636</v>
      </c>
      <c r="F91" s="330" t="s">
        <v>838</v>
      </c>
      <c r="G91" s="332"/>
      <c r="H91" s="332"/>
      <c r="I91" s="332">
        <v>1116</v>
      </c>
      <c r="J91" s="332">
        <v>2412</v>
      </c>
    </row>
    <row r="92" spans="1:10">
      <c r="A92" s="328" t="s">
        <v>1288</v>
      </c>
      <c r="B92" s="329">
        <v>28</v>
      </c>
      <c r="C92" s="329">
        <v>6400</v>
      </c>
      <c r="D92" s="328" t="s">
        <v>1302</v>
      </c>
      <c r="E92" s="328" t="s">
        <v>637</v>
      </c>
      <c r="F92" s="330" t="s">
        <v>626</v>
      </c>
      <c r="G92" s="332"/>
      <c r="H92" s="332"/>
      <c r="I92" s="332">
        <v>2885</v>
      </c>
      <c r="J92" s="332">
        <v>6916</v>
      </c>
    </row>
    <row r="93" spans="1:10">
      <c r="A93" s="328" t="s">
        <v>1288</v>
      </c>
      <c r="B93" s="329">
        <v>28</v>
      </c>
      <c r="C93" s="329">
        <v>6400</v>
      </c>
      <c r="D93" s="328"/>
      <c r="E93" s="328"/>
      <c r="F93" s="330"/>
      <c r="G93" s="331">
        <v>3512</v>
      </c>
      <c r="H93" s="331">
        <v>806</v>
      </c>
      <c r="I93" s="332"/>
      <c r="J93" s="332"/>
    </row>
    <row r="94" spans="1:10">
      <c r="A94" s="328" t="s">
        <v>1288</v>
      </c>
      <c r="B94" s="329">
        <v>30</v>
      </c>
      <c r="C94" s="329">
        <v>6400</v>
      </c>
      <c r="D94" s="328"/>
      <c r="E94" s="328"/>
      <c r="F94" s="330"/>
      <c r="G94" s="331">
        <v>1853</v>
      </c>
      <c r="H94" s="331">
        <v>89</v>
      </c>
      <c r="I94" s="332"/>
      <c r="J94" s="332"/>
    </row>
    <row r="95" spans="1:10">
      <c r="A95" s="328" t="s">
        <v>781</v>
      </c>
      <c r="B95" s="329">
        <v>17</v>
      </c>
      <c r="C95" s="329">
        <v>6300</v>
      </c>
      <c r="D95" s="328" t="s">
        <v>1302</v>
      </c>
      <c r="E95" s="328" t="s">
        <v>1458</v>
      </c>
      <c r="F95" s="330" t="s">
        <v>160</v>
      </c>
      <c r="G95" s="331">
        <v>22577</v>
      </c>
      <c r="H95" s="331">
        <v>14168</v>
      </c>
      <c r="I95" s="332">
        <v>13854</v>
      </c>
      <c r="J95" s="332">
        <v>9153</v>
      </c>
    </row>
    <row r="96" spans="1:10">
      <c r="A96" s="328" t="s">
        <v>782</v>
      </c>
      <c r="B96" s="329">
        <v>35</v>
      </c>
      <c r="C96" s="329">
        <v>6430</v>
      </c>
      <c r="D96" s="328" t="s">
        <v>1152</v>
      </c>
      <c r="E96" s="328" t="s">
        <v>1390</v>
      </c>
      <c r="F96" s="330" t="s">
        <v>1164</v>
      </c>
      <c r="G96" s="331">
        <v>14068</v>
      </c>
      <c r="H96" s="331">
        <v>12451</v>
      </c>
      <c r="I96" s="332">
        <v>13910</v>
      </c>
      <c r="J96" s="332">
        <v>7728</v>
      </c>
    </row>
    <row r="97" spans="1:10">
      <c r="A97" s="328" t="s">
        <v>783</v>
      </c>
      <c r="B97" s="329">
        <v>14</v>
      </c>
      <c r="C97" s="329">
        <v>6400</v>
      </c>
      <c r="D97" s="328" t="s">
        <v>1302</v>
      </c>
      <c r="E97" s="328" t="s">
        <v>1459</v>
      </c>
      <c r="F97" s="330" t="s">
        <v>841</v>
      </c>
      <c r="G97" s="331">
        <v>16300</v>
      </c>
      <c r="H97" s="331">
        <v>22617</v>
      </c>
      <c r="I97" s="332">
        <v>23316</v>
      </c>
      <c r="J97" s="332">
        <v>20695</v>
      </c>
    </row>
    <row r="98" spans="1:10">
      <c r="A98" s="328" t="s">
        <v>783</v>
      </c>
      <c r="B98" s="329">
        <v>12</v>
      </c>
      <c r="C98" s="329">
        <v>6400</v>
      </c>
      <c r="D98" s="328" t="s">
        <v>1302</v>
      </c>
      <c r="E98" s="328" t="s">
        <v>1460</v>
      </c>
      <c r="F98" s="330" t="s">
        <v>842</v>
      </c>
      <c r="G98" s="331">
        <v>2744</v>
      </c>
      <c r="H98" s="331">
        <v>3109</v>
      </c>
      <c r="I98" s="332">
        <v>4070</v>
      </c>
      <c r="J98" s="332">
        <v>4789</v>
      </c>
    </row>
    <row r="99" spans="1:10">
      <c r="A99" s="328" t="s">
        <v>1341</v>
      </c>
      <c r="B99" s="329">
        <v>28</v>
      </c>
      <c r="C99" s="329">
        <v>6300</v>
      </c>
      <c r="D99" s="328" t="s">
        <v>1405</v>
      </c>
      <c r="E99" s="328" t="s">
        <v>1406</v>
      </c>
      <c r="F99" s="330" t="s">
        <v>1407</v>
      </c>
      <c r="G99" s="331">
        <v>13781</v>
      </c>
      <c r="H99" s="331">
        <v>12343</v>
      </c>
      <c r="I99" s="332">
        <v>14900</v>
      </c>
      <c r="J99" s="332">
        <v>17159</v>
      </c>
    </row>
    <row r="100" spans="1:10">
      <c r="A100" s="328" t="s">
        <v>1046</v>
      </c>
      <c r="B100" s="329"/>
      <c r="C100" s="329">
        <v>6440</v>
      </c>
      <c r="D100" s="328" t="s">
        <v>1350</v>
      </c>
      <c r="E100" s="328" t="s">
        <v>1392</v>
      </c>
      <c r="F100" s="330" t="s">
        <v>906</v>
      </c>
      <c r="G100" s="331">
        <v>14997</v>
      </c>
      <c r="H100" s="331">
        <v>10893</v>
      </c>
      <c r="I100" s="332">
        <v>11503</v>
      </c>
      <c r="J100" s="332">
        <v>9391</v>
      </c>
    </row>
    <row r="101" spans="1:10">
      <c r="A101" s="328" t="s">
        <v>788</v>
      </c>
      <c r="B101" s="329">
        <v>10</v>
      </c>
      <c r="C101" s="329">
        <v>6430</v>
      </c>
      <c r="D101" s="328" t="s">
        <v>1302</v>
      </c>
      <c r="E101" s="328" t="s">
        <v>1461</v>
      </c>
      <c r="F101" s="330" t="s">
        <v>113</v>
      </c>
      <c r="G101" s="331">
        <v>143</v>
      </c>
      <c r="H101" s="331">
        <v>0</v>
      </c>
      <c r="I101" s="332"/>
      <c r="J101" s="332">
        <v>0</v>
      </c>
    </row>
    <row r="102" spans="1:10">
      <c r="A102" s="328" t="s">
        <v>792</v>
      </c>
      <c r="B102" s="329">
        <v>63</v>
      </c>
      <c r="C102" s="329">
        <v>6300</v>
      </c>
      <c r="D102" s="328" t="s">
        <v>1302</v>
      </c>
      <c r="E102" s="328" t="s">
        <v>1343</v>
      </c>
      <c r="F102" s="330" t="s">
        <v>865</v>
      </c>
      <c r="G102" s="332"/>
      <c r="H102" s="332"/>
      <c r="I102" s="332">
        <v>19991</v>
      </c>
      <c r="J102" s="332">
        <v>18655</v>
      </c>
    </row>
    <row r="103" spans="1:10">
      <c r="A103" s="328" t="s">
        <v>797</v>
      </c>
      <c r="B103" s="329">
        <v>2</v>
      </c>
      <c r="C103" s="329">
        <v>6300</v>
      </c>
      <c r="D103" s="328" t="s">
        <v>1302</v>
      </c>
      <c r="E103" s="328" t="s">
        <v>1338</v>
      </c>
      <c r="F103" s="330" t="s">
        <v>566</v>
      </c>
      <c r="G103" s="331">
        <v>25908</v>
      </c>
      <c r="H103" s="331">
        <v>15364</v>
      </c>
      <c r="I103" s="332">
        <v>13064</v>
      </c>
      <c r="J103" s="332">
        <v>16137</v>
      </c>
    </row>
    <row r="104" spans="1:10">
      <c r="A104" s="328" t="s">
        <v>799</v>
      </c>
      <c r="B104" s="329">
        <v>2</v>
      </c>
      <c r="C104" s="329">
        <v>6430</v>
      </c>
      <c r="D104" s="328" t="s">
        <v>1302</v>
      </c>
      <c r="E104" s="328" t="s">
        <v>1339</v>
      </c>
      <c r="F104" s="330" t="s">
        <v>834</v>
      </c>
      <c r="G104" s="331">
        <v>151153</v>
      </c>
      <c r="H104" s="331">
        <v>166268</v>
      </c>
      <c r="I104" s="332">
        <f>72591+69286</f>
        <v>141877</v>
      </c>
      <c r="J104" s="332">
        <f>78329+69956</f>
        <v>148285</v>
      </c>
    </row>
    <row r="105" spans="1:10">
      <c r="A105" s="328" t="s">
        <v>800</v>
      </c>
      <c r="B105" s="329">
        <v>3</v>
      </c>
      <c r="C105" s="329">
        <v>6320</v>
      </c>
      <c r="D105" s="328" t="s">
        <v>1393</v>
      </c>
      <c r="E105" s="328" t="s">
        <v>917</v>
      </c>
      <c r="F105" s="330" t="s">
        <v>915</v>
      </c>
      <c r="G105" s="331">
        <v>36120</v>
      </c>
      <c r="H105" s="331">
        <v>27159</v>
      </c>
      <c r="I105" s="332">
        <v>27062</v>
      </c>
      <c r="J105" s="332">
        <v>20220</v>
      </c>
    </row>
    <row r="106" spans="1:10">
      <c r="A106" s="328" t="s">
        <v>801</v>
      </c>
      <c r="B106" s="329">
        <v>79</v>
      </c>
      <c r="C106" s="329">
        <v>6400</v>
      </c>
      <c r="D106" s="328" t="s">
        <v>1394</v>
      </c>
      <c r="E106" s="328" t="s">
        <v>1395</v>
      </c>
      <c r="F106" s="330" t="s">
        <v>845</v>
      </c>
      <c r="G106" s="331">
        <v>2726</v>
      </c>
      <c r="H106" s="331">
        <v>2362</v>
      </c>
      <c r="I106" s="332">
        <v>2771</v>
      </c>
      <c r="J106" s="332">
        <v>2978</v>
      </c>
    </row>
    <row r="107" spans="1:10">
      <c r="A107" s="328" t="s">
        <v>606</v>
      </c>
      <c r="B107" s="329">
        <v>12</v>
      </c>
      <c r="C107" s="329">
        <v>6400</v>
      </c>
      <c r="D107" s="328" t="s">
        <v>1302</v>
      </c>
      <c r="E107" s="328" t="s">
        <v>601</v>
      </c>
      <c r="F107" s="330" t="s">
        <v>997</v>
      </c>
      <c r="G107" s="331">
        <v>2803</v>
      </c>
      <c r="H107" s="331">
        <v>3154</v>
      </c>
      <c r="I107" s="332">
        <v>3303</v>
      </c>
      <c r="J107" s="332">
        <v>4043</v>
      </c>
    </row>
    <row r="108" spans="1:10">
      <c r="A108" s="328" t="s">
        <v>1039</v>
      </c>
      <c r="B108" s="329">
        <v>1</v>
      </c>
      <c r="C108" s="329">
        <v>6300</v>
      </c>
      <c r="D108" s="328" t="s">
        <v>1396</v>
      </c>
      <c r="E108" s="328" t="s">
        <v>1397</v>
      </c>
      <c r="F108" s="330" t="s">
        <v>171</v>
      </c>
      <c r="G108" s="331">
        <v>186286</v>
      </c>
      <c r="H108" s="331">
        <v>185379</v>
      </c>
      <c r="I108" s="332">
        <f>233820+72162</f>
        <v>305982</v>
      </c>
      <c r="J108" s="332">
        <f>2026+76385</f>
        <v>78411</v>
      </c>
    </row>
    <row r="109" spans="1:10">
      <c r="A109" s="328" t="s">
        <v>657</v>
      </c>
      <c r="B109" s="329">
        <v>7</v>
      </c>
      <c r="C109" s="329">
        <v>6310</v>
      </c>
      <c r="D109" s="328" t="s">
        <v>1302</v>
      </c>
      <c r="E109" s="328" t="s">
        <v>1096</v>
      </c>
      <c r="F109" s="330" t="s">
        <v>563</v>
      </c>
      <c r="G109" s="331">
        <v>21977</v>
      </c>
      <c r="H109" s="331">
        <v>18051</v>
      </c>
      <c r="I109" s="332">
        <v>19886</v>
      </c>
      <c r="J109" s="332">
        <v>18526</v>
      </c>
    </row>
    <row r="110" spans="1:10">
      <c r="A110" s="328" t="s">
        <v>1298</v>
      </c>
      <c r="B110" s="329">
        <v>52</v>
      </c>
      <c r="C110" s="329">
        <v>6400</v>
      </c>
      <c r="D110" s="328" t="s">
        <v>1302</v>
      </c>
      <c r="E110" s="328" t="s">
        <v>1343</v>
      </c>
      <c r="F110" s="330" t="s">
        <v>100</v>
      </c>
      <c r="G110" s="331">
        <v>9521</v>
      </c>
      <c r="H110" s="331">
        <v>10608</v>
      </c>
      <c r="I110" s="332">
        <v>11165</v>
      </c>
      <c r="J110" s="332">
        <v>14051</v>
      </c>
    </row>
    <row r="111" spans="1:10">
      <c r="A111" s="328" t="s">
        <v>662</v>
      </c>
      <c r="B111" s="329">
        <v>1</v>
      </c>
      <c r="C111" s="329">
        <v>6300</v>
      </c>
      <c r="D111" s="328" t="s">
        <v>1456</v>
      </c>
      <c r="E111" s="328" t="s">
        <v>1302</v>
      </c>
      <c r="F111" s="330" t="s">
        <v>830</v>
      </c>
      <c r="G111" s="331">
        <v>535</v>
      </c>
      <c r="H111" s="331">
        <v>156</v>
      </c>
      <c r="I111" s="332">
        <v>196</v>
      </c>
      <c r="J111" s="332">
        <v>380</v>
      </c>
    </row>
    <row r="112" spans="1:10">
      <c r="A112" s="328" t="s">
        <v>1290</v>
      </c>
      <c r="B112" s="329">
        <v>9</v>
      </c>
      <c r="C112" s="329">
        <v>6430</v>
      </c>
      <c r="D112" s="328" t="s">
        <v>1302</v>
      </c>
      <c r="E112" s="328" t="s">
        <v>1457</v>
      </c>
      <c r="F112" s="330" t="s">
        <v>934</v>
      </c>
      <c r="G112" s="331">
        <v>5927</v>
      </c>
      <c r="H112" s="331">
        <v>7794</v>
      </c>
      <c r="I112" s="332">
        <v>7938</v>
      </c>
      <c r="J112" s="332">
        <v>8675</v>
      </c>
    </row>
    <row r="113" spans="1:10">
      <c r="A113" s="328" t="s">
        <v>1298</v>
      </c>
      <c r="B113" s="329">
        <v>58</v>
      </c>
      <c r="C113" s="329">
        <v>6400</v>
      </c>
      <c r="D113" s="328" t="s">
        <v>1152</v>
      </c>
      <c r="E113" s="328" t="s">
        <v>1398</v>
      </c>
      <c r="F113" s="330" t="s">
        <v>589</v>
      </c>
      <c r="G113" s="331">
        <v>90654</v>
      </c>
      <c r="H113" s="331">
        <v>7478</v>
      </c>
      <c r="I113" s="332">
        <v>10437</v>
      </c>
      <c r="J113" s="332">
        <v>12185</v>
      </c>
    </row>
    <row r="114" spans="1:10">
      <c r="A114" s="328" t="s">
        <v>606</v>
      </c>
      <c r="B114" s="329">
        <v>12</v>
      </c>
      <c r="C114" s="329">
        <v>6400</v>
      </c>
      <c r="D114" s="328" t="s">
        <v>1302</v>
      </c>
      <c r="E114" s="328" t="s">
        <v>632</v>
      </c>
      <c r="F114" s="330" t="s">
        <v>997</v>
      </c>
      <c r="G114" s="331">
        <v>23923</v>
      </c>
      <c r="H114" s="331">
        <v>37183</v>
      </c>
      <c r="I114" s="332">
        <v>49722</v>
      </c>
      <c r="J114" s="332">
        <v>62816</v>
      </c>
    </row>
    <row r="115" spans="1:10">
      <c r="A115" s="328" t="s">
        <v>1058</v>
      </c>
      <c r="B115" s="329">
        <v>2</v>
      </c>
      <c r="C115" s="329">
        <v>6400</v>
      </c>
      <c r="D115" s="328" t="s">
        <v>1302</v>
      </c>
      <c r="E115" s="328" t="s">
        <v>1152</v>
      </c>
      <c r="F115" s="330" t="s">
        <v>63</v>
      </c>
      <c r="G115" s="331">
        <v>13366</v>
      </c>
      <c r="H115" s="331">
        <v>16769</v>
      </c>
      <c r="I115" s="332">
        <v>17872</v>
      </c>
      <c r="J115" s="332">
        <v>6758</v>
      </c>
    </row>
    <row r="116" spans="1:10">
      <c r="A116" s="328" t="s">
        <v>1434</v>
      </c>
      <c r="B116" s="329">
        <v>5</v>
      </c>
      <c r="C116" s="329">
        <v>6310</v>
      </c>
      <c r="D116" s="328" t="s">
        <v>1152</v>
      </c>
      <c r="E116" s="328" t="s">
        <v>1399</v>
      </c>
      <c r="F116" s="330" t="s">
        <v>60</v>
      </c>
      <c r="G116" s="331">
        <v>10318</v>
      </c>
      <c r="H116" s="331">
        <v>9427</v>
      </c>
      <c r="I116" s="332">
        <v>8583</v>
      </c>
      <c r="J116" s="332">
        <v>10755</v>
      </c>
    </row>
    <row r="117" spans="1:10">
      <c r="A117" s="328" t="s">
        <v>1437</v>
      </c>
      <c r="B117" s="329">
        <v>28</v>
      </c>
      <c r="C117" s="329">
        <v>6320</v>
      </c>
      <c r="D117" s="328" t="s">
        <v>1152</v>
      </c>
      <c r="E117" s="328" t="s">
        <v>448</v>
      </c>
      <c r="F117" s="330" t="s">
        <v>501</v>
      </c>
      <c r="G117" s="331">
        <v>9235</v>
      </c>
      <c r="H117" s="331">
        <v>5976</v>
      </c>
      <c r="I117" s="332">
        <v>4159</v>
      </c>
      <c r="J117" s="332">
        <v>2568</v>
      </c>
    </row>
    <row r="118" spans="1:10">
      <c r="A118" s="328" t="s">
        <v>1438</v>
      </c>
      <c r="B118" s="329">
        <v>2</v>
      </c>
      <c r="C118" s="329">
        <v>6300</v>
      </c>
      <c r="D118" s="328" t="s">
        <v>1302</v>
      </c>
      <c r="E118" s="328" t="s">
        <v>627</v>
      </c>
      <c r="F118" s="330" t="s">
        <v>565</v>
      </c>
      <c r="G118" s="331">
        <v>5323</v>
      </c>
      <c r="H118" s="331">
        <v>6059</v>
      </c>
      <c r="I118" s="332">
        <v>5933</v>
      </c>
      <c r="J118" s="332">
        <v>5894</v>
      </c>
    </row>
    <row r="119" spans="1:10">
      <c r="A119" s="328" t="s">
        <v>1439</v>
      </c>
      <c r="B119" s="329">
        <v>4</v>
      </c>
      <c r="C119" s="329">
        <v>6440</v>
      </c>
      <c r="D119" s="328" t="s">
        <v>1302</v>
      </c>
      <c r="E119" s="328" t="s">
        <v>508</v>
      </c>
      <c r="F119" s="330" t="s">
        <v>114</v>
      </c>
      <c r="G119" s="331">
        <v>433</v>
      </c>
      <c r="H119" s="331">
        <v>371</v>
      </c>
      <c r="I119" s="332">
        <v>261</v>
      </c>
      <c r="J119" s="332">
        <v>438</v>
      </c>
    </row>
    <row r="120" spans="1:10">
      <c r="A120" s="328" t="s">
        <v>1443</v>
      </c>
      <c r="B120" s="329">
        <v>1</v>
      </c>
      <c r="C120" s="329">
        <v>6430</v>
      </c>
      <c r="D120" s="328" t="s">
        <v>1302</v>
      </c>
      <c r="E120" s="328" t="s">
        <v>611</v>
      </c>
      <c r="F120" s="330" t="s">
        <v>568</v>
      </c>
      <c r="G120" s="331">
        <v>31054</v>
      </c>
      <c r="H120" s="331">
        <v>26932</v>
      </c>
      <c r="I120" s="332">
        <v>29914</v>
      </c>
      <c r="J120" s="332">
        <v>36457</v>
      </c>
    </row>
    <row r="121" spans="1:10">
      <c r="A121" s="328" t="s">
        <v>762</v>
      </c>
      <c r="B121" s="329">
        <v>60</v>
      </c>
      <c r="C121" s="329">
        <v>6430</v>
      </c>
      <c r="D121" s="328" t="s">
        <v>1302</v>
      </c>
      <c r="E121" s="328" t="s">
        <v>612</v>
      </c>
      <c r="F121" s="330" t="s">
        <v>581</v>
      </c>
      <c r="G121" s="331">
        <v>5036</v>
      </c>
      <c r="H121" s="331">
        <v>3106</v>
      </c>
      <c r="I121" s="332">
        <v>2064</v>
      </c>
      <c r="J121" s="332">
        <v>591</v>
      </c>
    </row>
    <row r="122" spans="1:10">
      <c r="A122" s="328" t="s">
        <v>1446</v>
      </c>
      <c r="B122" s="329">
        <v>3</v>
      </c>
      <c r="C122" s="329">
        <v>6310</v>
      </c>
      <c r="D122" s="328" t="s">
        <v>1152</v>
      </c>
      <c r="E122" s="328" t="s">
        <v>509</v>
      </c>
      <c r="F122" s="330" t="s">
        <v>501</v>
      </c>
      <c r="G122" s="331">
        <v>11596</v>
      </c>
      <c r="H122" s="331">
        <v>13254</v>
      </c>
      <c r="I122" s="332">
        <v>15015</v>
      </c>
      <c r="J122" s="332">
        <v>12260</v>
      </c>
    </row>
    <row r="123" spans="1:10">
      <c r="A123" s="328" t="s">
        <v>1288</v>
      </c>
      <c r="B123" s="329">
        <v>4</v>
      </c>
      <c r="C123" s="329">
        <v>6430</v>
      </c>
      <c r="D123" s="328" t="s">
        <v>1302</v>
      </c>
      <c r="E123" s="328" t="s">
        <v>613</v>
      </c>
      <c r="F123" s="330" t="s">
        <v>835</v>
      </c>
      <c r="G123" s="331">
        <v>148964</v>
      </c>
      <c r="H123" s="331">
        <v>151694</v>
      </c>
      <c r="I123" s="332">
        <v>148786</v>
      </c>
      <c r="J123" s="332">
        <v>156105</v>
      </c>
    </row>
    <row r="124" spans="1:10">
      <c r="A124" s="328" t="s">
        <v>1447</v>
      </c>
      <c r="B124" s="329">
        <v>17</v>
      </c>
      <c r="C124" s="329">
        <v>6430</v>
      </c>
      <c r="D124" s="328" t="s">
        <v>1302</v>
      </c>
      <c r="E124" s="328" t="s">
        <v>614</v>
      </c>
      <c r="F124" s="330" t="s">
        <v>870</v>
      </c>
      <c r="G124" s="331">
        <v>23290</v>
      </c>
      <c r="H124" s="331">
        <v>21465</v>
      </c>
      <c r="I124" s="332">
        <v>32681</v>
      </c>
      <c r="J124" s="332">
        <v>29707</v>
      </c>
    </row>
    <row r="125" spans="1:10">
      <c r="A125" s="328" t="s">
        <v>1450</v>
      </c>
      <c r="B125" s="329">
        <v>15</v>
      </c>
      <c r="C125" s="329">
        <v>6430</v>
      </c>
      <c r="D125" s="328" t="s">
        <v>1302</v>
      </c>
      <c r="E125" s="328" t="s">
        <v>615</v>
      </c>
      <c r="F125" s="330" t="s">
        <v>944</v>
      </c>
      <c r="G125" s="331">
        <v>6537</v>
      </c>
      <c r="H125" s="331">
        <v>9532</v>
      </c>
      <c r="I125" s="332">
        <v>6366</v>
      </c>
      <c r="J125" s="332">
        <v>4936</v>
      </c>
    </row>
    <row r="126" spans="1:10">
      <c r="A126" s="328" t="s">
        <v>1437</v>
      </c>
      <c r="B126" s="329">
        <v>10</v>
      </c>
      <c r="C126" s="329">
        <v>6320</v>
      </c>
      <c r="D126" s="328" t="s">
        <v>1302</v>
      </c>
      <c r="E126" s="328" t="s">
        <v>616</v>
      </c>
      <c r="F126" s="330" t="s">
        <v>501</v>
      </c>
      <c r="G126" s="331">
        <v>95637</v>
      </c>
      <c r="H126" s="331">
        <v>65201</v>
      </c>
      <c r="I126" s="332">
        <v>57284</v>
      </c>
      <c r="J126" s="332">
        <v>60403</v>
      </c>
    </row>
    <row r="127" spans="1:10">
      <c r="A127" s="328" t="s">
        <v>1451</v>
      </c>
      <c r="B127" s="329"/>
      <c r="C127" s="329">
        <v>6300</v>
      </c>
      <c r="D127" s="328" t="s">
        <v>1152</v>
      </c>
      <c r="E127" s="328" t="s">
        <v>695</v>
      </c>
      <c r="F127" s="330" t="s">
        <v>501</v>
      </c>
      <c r="G127" s="331"/>
      <c r="H127" s="331">
        <v>23555</v>
      </c>
      <c r="I127" s="332">
        <v>23564</v>
      </c>
      <c r="J127" s="332">
        <v>0</v>
      </c>
    </row>
    <row r="128" spans="1:10">
      <c r="A128" s="328" t="s">
        <v>778</v>
      </c>
      <c r="B128" s="329">
        <v>96</v>
      </c>
      <c r="C128" s="329">
        <v>6440</v>
      </c>
      <c r="D128" s="328" t="s">
        <v>1302</v>
      </c>
      <c r="E128" s="328" t="s">
        <v>610</v>
      </c>
      <c r="F128" s="330" t="s">
        <v>596</v>
      </c>
      <c r="G128" s="331">
        <v>128590</v>
      </c>
      <c r="H128" s="331">
        <v>172064</v>
      </c>
      <c r="I128" s="332">
        <v>189116</v>
      </c>
      <c r="J128" s="332">
        <v>201261</v>
      </c>
    </row>
    <row r="129" spans="1:10">
      <c r="A129" s="328" t="s">
        <v>1287</v>
      </c>
      <c r="B129" s="329">
        <v>100</v>
      </c>
      <c r="C129" s="329">
        <v>6320</v>
      </c>
      <c r="D129" s="328" t="s">
        <v>1302</v>
      </c>
      <c r="E129" s="328" t="s">
        <v>917</v>
      </c>
      <c r="F129" s="330" t="s">
        <v>856</v>
      </c>
      <c r="G129" s="331">
        <v>2147</v>
      </c>
      <c r="H129" s="331">
        <v>1081</v>
      </c>
      <c r="I129" s="332">
        <v>796</v>
      </c>
      <c r="J129" s="332">
        <v>1707</v>
      </c>
    </row>
    <row r="130" spans="1:10">
      <c r="A130" s="328" t="s">
        <v>767</v>
      </c>
      <c r="B130" s="329">
        <v>1</v>
      </c>
      <c r="C130" s="329">
        <v>6310</v>
      </c>
      <c r="D130" s="328" t="s">
        <v>510</v>
      </c>
      <c r="E130" s="328" t="s">
        <v>511</v>
      </c>
      <c r="F130" s="330" t="s">
        <v>562</v>
      </c>
      <c r="G130" s="331">
        <v>14320</v>
      </c>
      <c r="H130" s="331">
        <v>13273</v>
      </c>
      <c r="I130" s="332">
        <v>15390</v>
      </c>
      <c r="J130" s="332">
        <v>11928</v>
      </c>
    </row>
    <row r="131" spans="1:10">
      <c r="A131" s="328" t="s">
        <v>778</v>
      </c>
      <c r="B131" s="329">
        <v>94</v>
      </c>
      <c r="C131" s="329">
        <v>6440</v>
      </c>
      <c r="D131" s="328" t="s">
        <v>1302</v>
      </c>
      <c r="E131" s="328" t="s">
        <v>153</v>
      </c>
      <c r="F131" s="330" t="s">
        <v>821</v>
      </c>
      <c r="G131" s="331">
        <v>2052</v>
      </c>
      <c r="H131" s="331">
        <v>2448</v>
      </c>
      <c r="I131" s="332">
        <v>4520</v>
      </c>
      <c r="J131" s="332">
        <v>3475</v>
      </c>
    </row>
    <row r="132" spans="1:10">
      <c r="A132" s="328" t="s">
        <v>778</v>
      </c>
      <c r="B132" s="329">
        <v>96</v>
      </c>
      <c r="C132" s="329">
        <v>6400</v>
      </c>
      <c r="D132" s="328" t="s">
        <v>1248</v>
      </c>
      <c r="E132" s="328"/>
      <c r="F132" s="330"/>
      <c r="G132" s="331">
        <v>1505</v>
      </c>
      <c r="H132" s="331">
        <v>1611</v>
      </c>
      <c r="I132" s="332"/>
      <c r="J132" s="332"/>
    </row>
    <row r="133" spans="1:10">
      <c r="A133" s="328" t="s">
        <v>778</v>
      </c>
      <c r="B133" s="329">
        <v>98</v>
      </c>
      <c r="C133" s="329">
        <v>6440</v>
      </c>
      <c r="D133" s="328" t="s">
        <v>1350</v>
      </c>
      <c r="E133" s="328" t="s">
        <v>1360</v>
      </c>
      <c r="F133" s="330" t="s">
        <v>990</v>
      </c>
      <c r="G133" s="332"/>
      <c r="H133" s="332"/>
      <c r="I133" s="332">
        <v>1567</v>
      </c>
      <c r="J133" s="332">
        <v>1229</v>
      </c>
    </row>
    <row r="134" spans="1:10">
      <c r="A134" s="328" t="s">
        <v>1297</v>
      </c>
      <c r="B134" s="329">
        <v>1</v>
      </c>
      <c r="C134" s="329">
        <v>6440</v>
      </c>
      <c r="D134" s="328" t="s">
        <v>1302</v>
      </c>
      <c r="E134" s="328" t="s">
        <v>505</v>
      </c>
      <c r="F134" s="330" t="s">
        <v>819</v>
      </c>
      <c r="G134" s="331">
        <v>10821</v>
      </c>
      <c r="H134" s="331">
        <v>10560</v>
      </c>
      <c r="I134" s="332">
        <v>11164</v>
      </c>
      <c r="J134" s="332">
        <v>10794</v>
      </c>
    </row>
    <row r="135" spans="1:10">
      <c r="A135" s="328" t="s">
        <v>700</v>
      </c>
      <c r="B135" s="329">
        <v>2</v>
      </c>
      <c r="C135" s="329">
        <v>6440</v>
      </c>
      <c r="D135" s="328" t="s">
        <v>512</v>
      </c>
      <c r="E135" s="328" t="s">
        <v>513</v>
      </c>
      <c r="F135" s="330" t="s">
        <v>850</v>
      </c>
      <c r="G135" s="331">
        <v>5892</v>
      </c>
      <c r="H135" s="331">
        <v>5423</v>
      </c>
      <c r="I135" s="332">
        <v>6929</v>
      </c>
      <c r="J135" s="332">
        <v>7446</v>
      </c>
    </row>
    <row r="136" spans="1:10">
      <c r="A136" s="328" t="s">
        <v>1442</v>
      </c>
      <c r="B136" s="329">
        <v>29</v>
      </c>
      <c r="C136" s="329">
        <v>6400</v>
      </c>
      <c r="D136" s="328" t="s">
        <v>1302</v>
      </c>
      <c r="E136" s="328" t="s">
        <v>506</v>
      </c>
      <c r="F136" s="330" t="s">
        <v>876</v>
      </c>
      <c r="G136" s="331">
        <v>10190</v>
      </c>
      <c r="H136" s="331">
        <v>9882</v>
      </c>
      <c r="I136" s="332">
        <v>10261</v>
      </c>
      <c r="J136" s="332">
        <v>12106</v>
      </c>
    </row>
    <row r="137" spans="1:10" s="333" customFormat="1">
      <c r="A137" s="328" t="s">
        <v>1298</v>
      </c>
      <c r="B137" s="329">
        <v>25</v>
      </c>
      <c r="C137" s="329">
        <v>6400</v>
      </c>
      <c r="D137" s="328" t="s">
        <v>1302</v>
      </c>
      <c r="E137" s="328" t="s">
        <v>514</v>
      </c>
      <c r="F137" s="330" t="s">
        <v>97</v>
      </c>
      <c r="G137" s="331">
        <v>13834</v>
      </c>
      <c r="H137" s="331">
        <v>11603</v>
      </c>
      <c r="I137" s="332">
        <v>12886</v>
      </c>
      <c r="J137" s="332">
        <v>20325</v>
      </c>
    </row>
    <row r="138" spans="1:10" s="333" customFormat="1">
      <c r="A138" s="328" t="s">
        <v>1410</v>
      </c>
      <c r="B138" s="329">
        <v>4</v>
      </c>
      <c r="C138" s="329"/>
      <c r="D138" s="328" t="s">
        <v>1411</v>
      </c>
      <c r="E138" s="328" t="s">
        <v>1412</v>
      </c>
      <c r="F138" s="330" t="s">
        <v>852</v>
      </c>
      <c r="G138" s="331">
        <v>93874</v>
      </c>
      <c r="H138" s="331">
        <v>102091</v>
      </c>
      <c r="I138" s="332">
        <v>110856</v>
      </c>
      <c r="J138" s="332">
        <v>108000</v>
      </c>
    </row>
    <row r="139" spans="1:10">
      <c r="A139" s="328" t="s">
        <v>705</v>
      </c>
      <c r="B139" s="329">
        <v>58</v>
      </c>
      <c r="C139" s="329">
        <v>6470</v>
      </c>
      <c r="D139" s="328" t="s">
        <v>515</v>
      </c>
      <c r="E139" s="328" t="s">
        <v>516</v>
      </c>
      <c r="F139" s="330" t="s">
        <v>165</v>
      </c>
      <c r="G139" s="331">
        <v>8833</v>
      </c>
      <c r="H139" s="331">
        <v>5471</v>
      </c>
      <c r="I139" s="332">
        <v>6424</v>
      </c>
      <c r="J139" s="332">
        <v>12038</v>
      </c>
    </row>
    <row r="140" spans="1:10">
      <c r="A140" s="328" t="s">
        <v>1080</v>
      </c>
      <c r="B140" s="329">
        <v>1</v>
      </c>
      <c r="C140" s="329">
        <v>6310</v>
      </c>
      <c r="D140" s="328" t="s">
        <v>1302</v>
      </c>
      <c r="E140" s="328" t="s">
        <v>507</v>
      </c>
      <c r="F140" s="330" t="s">
        <v>858</v>
      </c>
      <c r="G140" s="331">
        <v>10032</v>
      </c>
      <c r="H140" s="331">
        <v>10372</v>
      </c>
      <c r="I140" s="332">
        <v>12388</v>
      </c>
      <c r="J140" s="332">
        <v>13178</v>
      </c>
    </row>
    <row r="141" spans="1:10">
      <c r="A141" s="328" t="s">
        <v>1082</v>
      </c>
      <c r="B141" s="329">
        <v>4</v>
      </c>
      <c r="C141" s="329">
        <v>6400</v>
      </c>
      <c r="D141" s="328" t="s">
        <v>517</v>
      </c>
      <c r="E141" s="328" t="s">
        <v>518</v>
      </c>
      <c r="F141" s="330" t="s">
        <v>70</v>
      </c>
      <c r="G141" s="331">
        <v>29403</v>
      </c>
      <c r="H141" s="331">
        <v>30034</v>
      </c>
      <c r="I141" s="332">
        <f>23537+6377</f>
        <v>29914</v>
      </c>
      <c r="J141" s="332">
        <f>9662+11591</f>
        <v>21253</v>
      </c>
    </row>
    <row r="142" spans="1:10">
      <c r="A142" s="328" t="s">
        <v>709</v>
      </c>
      <c r="B142" s="329">
        <v>8</v>
      </c>
      <c r="C142" s="329">
        <v>6400</v>
      </c>
      <c r="D142" s="328" t="s">
        <v>1302</v>
      </c>
      <c r="E142" s="328" t="s">
        <v>425</v>
      </c>
      <c r="F142" s="330" t="s">
        <v>89</v>
      </c>
      <c r="G142" s="331">
        <v>7858</v>
      </c>
      <c r="H142" s="331">
        <v>6899</v>
      </c>
      <c r="I142" s="332">
        <v>7742</v>
      </c>
      <c r="J142" s="332">
        <v>8594</v>
      </c>
    </row>
    <row r="143" spans="1:10">
      <c r="A143" s="328" t="s">
        <v>1083</v>
      </c>
      <c r="B143" s="329">
        <v>5</v>
      </c>
      <c r="C143" s="329">
        <v>6400</v>
      </c>
      <c r="D143" s="328" t="s">
        <v>601</v>
      </c>
      <c r="E143" s="328" t="s">
        <v>519</v>
      </c>
      <c r="F143" s="330" t="s">
        <v>74</v>
      </c>
      <c r="G143" s="331">
        <v>41498</v>
      </c>
      <c r="H143" s="331">
        <v>45262</v>
      </c>
      <c r="I143" s="332">
        <v>34983</v>
      </c>
      <c r="J143" s="332">
        <v>32845</v>
      </c>
    </row>
    <row r="144" spans="1:10">
      <c r="A144" s="328" t="s">
        <v>184</v>
      </c>
      <c r="B144" s="329">
        <v>41</v>
      </c>
      <c r="C144" s="329">
        <v>6400</v>
      </c>
      <c r="D144" s="328" t="s">
        <v>1302</v>
      </c>
      <c r="E144" s="328" t="s">
        <v>426</v>
      </c>
      <c r="F144" s="330" t="s">
        <v>88</v>
      </c>
      <c r="G144" s="331">
        <v>8497</v>
      </c>
      <c r="H144" s="331">
        <v>9417</v>
      </c>
      <c r="I144" s="332">
        <v>10127</v>
      </c>
      <c r="J144" s="332">
        <v>12378</v>
      </c>
    </row>
    <row r="145" spans="1:10">
      <c r="A145" s="328" t="s">
        <v>186</v>
      </c>
      <c r="B145" s="329">
        <v>14</v>
      </c>
      <c r="C145" s="329">
        <v>6400</v>
      </c>
      <c r="D145" s="328" t="s">
        <v>1302</v>
      </c>
      <c r="E145" s="328" t="s">
        <v>427</v>
      </c>
      <c r="F145" s="330" t="s">
        <v>881</v>
      </c>
      <c r="G145" s="331">
        <v>22077</v>
      </c>
      <c r="H145" s="331">
        <v>21511</v>
      </c>
      <c r="I145" s="332">
        <v>24111</v>
      </c>
      <c r="J145" s="332">
        <v>19508</v>
      </c>
    </row>
    <row r="146" spans="1:10">
      <c r="A146" s="328" t="s">
        <v>188</v>
      </c>
      <c r="B146" s="329">
        <v>20</v>
      </c>
      <c r="C146" s="329">
        <v>6400</v>
      </c>
      <c r="D146" s="328" t="s">
        <v>1152</v>
      </c>
      <c r="E146" s="328" t="s">
        <v>925</v>
      </c>
      <c r="F146" s="330" t="s">
        <v>926</v>
      </c>
      <c r="G146" s="331">
        <v>371897</v>
      </c>
      <c r="H146" s="331">
        <v>418084</v>
      </c>
      <c r="I146" s="332">
        <f>92190+151588</f>
        <v>243778</v>
      </c>
      <c r="J146" s="332">
        <f>137290+145060</f>
        <v>282350</v>
      </c>
    </row>
    <row r="147" spans="1:10">
      <c r="A147" s="328" t="s">
        <v>634</v>
      </c>
      <c r="B147" s="329">
        <v>4</v>
      </c>
      <c r="C147" s="329">
        <v>6440</v>
      </c>
      <c r="D147" s="328" t="s">
        <v>1030</v>
      </c>
      <c r="E147" s="328" t="s">
        <v>520</v>
      </c>
      <c r="F147" s="330" t="s">
        <v>851</v>
      </c>
      <c r="G147" s="331">
        <v>7188</v>
      </c>
      <c r="H147" s="331">
        <v>7987</v>
      </c>
      <c r="I147" s="332">
        <v>8149</v>
      </c>
      <c r="J147" s="332">
        <v>8053</v>
      </c>
    </row>
    <row r="148" spans="1:10">
      <c r="A148" s="328" t="s">
        <v>1050</v>
      </c>
      <c r="B148" s="329">
        <v>7</v>
      </c>
      <c r="C148" s="329">
        <v>6430</v>
      </c>
      <c r="D148" s="328" t="s">
        <v>521</v>
      </c>
      <c r="E148" s="328" t="s">
        <v>522</v>
      </c>
      <c r="F148" s="330" t="s">
        <v>575</v>
      </c>
      <c r="G148" s="331">
        <v>46363</v>
      </c>
      <c r="H148" s="331">
        <v>37373</v>
      </c>
      <c r="I148" s="332">
        <f>12956+28763</f>
        <v>41719</v>
      </c>
      <c r="J148" s="332">
        <f>9612+45044</f>
        <v>54656</v>
      </c>
    </row>
    <row r="149" spans="1:10">
      <c r="A149" s="328" t="s">
        <v>191</v>
      </c>
      <c r="B149" s="329">
        <v>4</v>
      </c>
      <c r="C149" s="329">
        <v>6310</v>
      </c>
      <c r="D149" s="328" t="s">
        <v>1302</v>
      </c>
      <c r="E149" s="328" t="s">
        <v>917</v>
      </c>
      <c r="F149" s="330" t="s">
        <v>993</v>
      </c>
      <c r="G149" s="331">
        <v>40129</v>
      </c>
      <c r="H149" s="331">
        <v>63213</v>
      </c>
      <c r="I149" s="332">
        <v>80707</v>
      </c>
      <c r="J149" s="332">
        <v>70035</v>
      </c>
    </row>
    <row r="150" spans="1:10">
      <c r="A150" s="328" t="s">
        <v>1049</v>
      </c>
      <c r="B150" s="329">
        <v>42</v>
      </c>
      <c r="C150" s="329">
        <v>6470</v>
      </c>
      <c r="D150" s="328" t="s">
        <v>1302</v>
      </c>
      <c r="E150" s="328" t="s">
        <v>152</v>
      </c>
      <c r="F150" s="330" t="s">
        <v>826</v>
      </c>
      <c r="G150" s="331">
        <v>346060</v>
      </c>
      <c r="H150" s="331">
        <v>339247</v>
      </c>
      <c r="I150" s="332">
        <v>377789</v>
      </c>
      <c r="J150" s="332">
        <v>412640</v>
      </c>
    </row>
    <row r="151" spans="1:10">
      <c r="A151" s="328" t="s">
        <v>192</v>
      </c>
      <c r="B151" s="329">
        <v>3</v>
      </c>
      <c r="C151" s="329">
        <v>6400</v>
      </c>
      <c r="D151" s="328" t="s">
        <v>1302</v>
      </c>
      <c r="E151" s="328" t="s">
        <v>429</v>
      </c>
      <c r="F151" s="330" t="s">
        <v>90</v>
      </c>
      <c r="G151" s="331">
        <v>11479</v>
      </c>
      <c r="H151" s="331">
        <v>11013</v>
      </c>
      <c r="I151" s="332">
        <v>11401</v>
      </c>
      <c r="J151" s="332">
        <v>13687</v>
      </c>
    </row>
    <row r="152" spans="1:10">
      <c r="A152" s="328" t="s">
        <v>186</v>
      </c>
      <c r="B152" s="329">
        <v>10</v>
      </c>
      <c r="C152" s="329">
        <v>6400</v>
      </c>
      <c r="D152" s="328" t="s">
        <v>1302</v>
      </c>
      <c r="E152" s="328" t="s">
        <v>430</v>
      </c>
      <c r="F152" s="330" t="s">
        <v>558</v>
      </c>
      <c r="G152" s="331">
        <v>161098</v>
      </c>
      <c r="H152" s="331">
        <v>196604</v>
      </c>
      <c r="I152" s="332">
        <v>239937</v>
      </c>
      <c r="J152" s="332">
        <v>295791</v>
      </c>
    </row>
    <row r="153" spans="1:10">
      <c r="A153" s="328" t="s">
        <v>1088</v>
      </c>
      <c r="B153" s="329">
        <v>2</v>
      </c>
      <c r="C153" s="329">
        <v>6470</v>
      </c>
      <c r="D153" s="328" t="s">
        <v>1302</v>
      </c>
      <c r="E153" s="328" t="s">
        <v>431</v>
      </c>
      <c r="F153" s="330" t="s">
        <v>862</v>
      </c>
      <c r="G153" s="331">
        <v>7098</v>
      </c>
      <c r="H153" s="331">
        <v>8033</v>
      </c>
      <c r="I153" s="332">
        <v>10507</v>
      </c>
      <c r="J153" s="332">
        <v>9391</v>
      </c>
    </row>
    <row r="154" spans="1:10">
      <c r="A154" s="328" t="s">
        <v>786</v>
      </c>
      <c r="B154" s="329">
        <v>1</v>
      </c>
      <c r="C154" s="329">
        <v>6470</v>
      </c>
      <c r="D154" s="328" t="s">
        <v>1302</v>
      </c>
      <c r="E154" s="328" t="s">
        <v>152</v>
      </c>
      <c r="F154" s="330" t="s">
        <v>994</v>
      </c>
      <c r="G154" s="331">
        <v>42188</v>
      </c>
      <c r="H154" s="331">
        <v>41174</v>
      </c>
      <c r="I154" s="332">
        <v>41242</v>
      </c>
      <c r="J154" s="332">
        <v>44204</v>
      </c>
    </row>
    <row r="155" spans="1:10">
      <c r="A155" s="328" t="s">
        <v>1035</v>
      </c>
      <c r="B155" s="329">
        <v>0</v>
      </c>
      <c r="C155" s="329">
        <v>6400</v>
      </c>
      <c r="D155" s="328" t="s">
        <v>948</v>
      </c>
      <c r="E155" s="328" t="s">
        <v>432</v>
      </c>
      <c r="F155" s="330" t="s">
        <v>947</v>
      </c>
      <c r="G155" s="331">
        <v>18079</v>
      </c>
      <c r="H155" s="331">
        <v>16563</v>
      </c>
      <c r="I155" s="332">
        <v>19856</v>
      </c>
      <c r="J155" s="332">
        <v>21257</v>
      </c>
    </row>
    <row r="156" spans="1:10">
      <c r="A156" s="328" t="s">
        <v>1044</v>
      </c>
      <c r="B156" s="329">
        <v>13</v>
      </c>
      <c r="C156" s="329">
        <v>6310</v>
      </c>
      <c r="D156" s="328" t="s">
        <v>524</v>
      </c>
      <c r="E156" s="328" t="s">
        <v>917</v>
      </c>
      <c r="F156" s="330" t="s">
        <v>908</v>
      </c>
      <c r="G156" s="331">
        <v>44506</v>
      </c>
      <c r="H156" s="331">
        <v>34249</v>
      </c>
      <c r="I156" s="332">
        <v>36022</v>
      </c>
      <c r="J156" s="332">
        <v>42550</v>
      </c>
    </row>
    <row r="157" spans="1:10">
      <c r="A157" s="328" t="s">
        <v>714</v>
      </c>
      <c r="B157" s="329">
        <v>0</v>
      </c>
      <c r="C157" s="329">
        <v>6310</v>
      </c>
      <c r="D157" s="328" t="s">
        <v>917</v>
      </c>
      <c r="E157" s="328" t="s">
        <v>1251</v>
      </c>
      <c r="F157" s="330" t="s">
        <v>924</v>
      </c>
      <c r="G157" s="331">
        <v>8757</v>
      </c>
      <c r="H157" s="331">
        <v>10645</v>
      </c>
      <c r="I157" s="332">
        <v>9951</v>
      </c>
      <c r="J157" s="332">
        <v>11066</v>
      </c>
    </row>
    <row r="158" spans="1:10">
      <c r="A158" s="328" t="s">
        <v>1037</v>
      </c>
      <c r="B158" s="329">
        <v>5</v>
      </c>
      <c r="C158" s="329">
        <v>6300</v>
      </c>
      <c r="D158" s="328" t="s">
        <v>999</v>
      </c>
      <c r="E158" s="328" t="s">
        <v>756</v>
      </c>
      <c r="F158" s="330" t="s">
        <v>889</v>
      </c>
      <c r="G158" s="331">
        <v>37718</v>
      </c>
      <c r="H158" s="331">
        <v>18268</v>
      </c>
      <c r="I158" s="332">
        <v>10446</v>
      </c>
      <c r="J158" s="332">
        <v>5814</v>
      </c>
    </row>
    <row r="159" spans="1:10">
      <c r="A159" s="328" t="s">
        <v>715</v>
      </c>
      <c r="B159" s="329">
        <v>31</v>
      </c>
      <c r="C159" s="329">
        <v>6430</v>
      </c>
      <c r="D159" s="328" t="s">
        <v>627</v>
      </c>
      <c r="E159" s="328" t="s">
        <v>1252</v>
      </c>
      <c r="F159" s="330" t="s">
        <v>583</v>
      </c>
      <c r="G159" s="331">
        <v>44327</v>
      </c>
      <c r="H159" s="331">
        <v>44528</v>
      </c>
      <c r="I159" s="332">
        <v>34164</v>
      </c>
      <c r="J159" s="332">
        <v>33753</v>
      </c>
    </row>
    <row r="160" spans="1:10">
      <c r="A160" s="328" t="s">
        <v>722</v>
      </c>
      <c r="B160" s="329">
        <v>20</v>
      </c>
      <c r="C160" s="329">
        <v>6430</v>
      </c>
      <c r="D160" s="328" t="s">
        <v>1302</v>
      </c>
      <c r="E160" s="328" t="s">
        <v>1452</v>
      </c>
      <c r="F160" s="330" t="s">
        <v>177</v>
      </c>
      <c r="G160" s="331">
        <v>301995</v>
      </c>
      <c r="H160" s="331">
        <v>298186</v>
      </c>
      <c r="I160" s="332">
        <v>314990</v>
      </c>
      <c r="J160" s="332">
        <v>337543</v>
      </c>
    </row>
    <row r="161" spans="1:10">
      <c r="A161" s="328" t="s">
        <v>722</v>
      </c>
      <c r="B161" s="329">
        <v>20</v>
      </c>
      <c r="C161" s="329">
        <v>6430</v>
      </c>
      <c r="D161" s="328" t="s">
        <v>1302</v>
      </c>
      <c r="E161" s="328" t="s">
        <v>1452</v>
      </c>
      <c r="F161" s="330" t="s">
        <v>178</v>
      </c>
      <c r="I161" s="332">
        <v>85054</v>
      </c>
      <c r="J161" s="332">
        <v>93431</v>
      </c>
    </row>
    <row r="162" spans="1:10">
      <c r="A162" s="328" t="s">
        <v>1272</v>
      </c>
      <c r="B162" s="329">
        <v>8</v>
      </c>
      <c r="C162" s="329">
        <v>6430</v>
      </c>
      <c r="D162" s="328" t="s">
        <v>1302</v>
      </c>
      <c r="E162" s="328" t="s">
        <v>1453</v>
      </c>
      <c r="F162" s="330" t="s">
        <v>586</v>
      </c>
      <c r="G162" s="331">
        <v>12159</v>
      </c>
      <c r="H162" s="331">
        <v>9803</v>
      </c>
      <c r="I162" s="332">
        <v>8784</v>
      </c>
      <c r="J162" s="332">
        <v>7690</v>
      </c>
    </row>
    <row r="163" spans="1:10">
      <c r="A163" s="328" t="s">
        <v>1293</v>
      </c>
      <c r="B163" s="329">
        <v>36</v>
      </c>
      <c r="C163" s="329">
        <v>6430</v>
      </c>
      <c r="D163" s="328" t="s">
        <v>1302</v>
      </c>
      <c r="E163" s="328" t="s">
        <v>1454</v>
      </c>
      <c r="F163" s="330" t="s">
        <v>849</v>
      </c>
      <c r="G163" s="331">
        <v>29663</v>
      </c>
      <c r="H163" s="331">
        <v>38233</v>
      </c>
      <c r="I163" s="332">
        <v>40188</v>
      </c>
      <c r="J163" s="332">
        <v>35628</v>
      </c>
    </row>
    <row r="164" spans="1:10">
      <c r="A164" s="328" t="s">
        <v>1429</v>
      </c>
      <c r="B164" s="329">
        <v>19</v>
      </c>
      <c r="C164" s="329">
        <v>6400</v>
      </c>
      <c r="D164" s="328" t="s">
        <v>1302</v>
      </c>
      <c r="E164" s="328" t="s">
        <v>1455</v>
      </c>
      <c r="F164" s="330" t="s">
        <v>571</v>
      </c>
      <c r="G164" s="331">
        <v>5686</v>
      </c>
      <c r="H164" s="331">
        <v>5494</v>
      </c>
      <c r="I164" s="332">
        <v>5506</v>
      </c>
      <c r="J164" s="332">
        <v>6721</v>
      </c>
    </row>
    <row r="165" spans="1:10">
      <c r="A165" s="328" t="s">
        <v>1288</v>
      </c>
      <c r="B165" s="329">
        <v>19</v>
      </c>
      <c r="C165" s="329">
        <v>6400</v>
      </c>
      <c r="D165" s="328" t="s">
        <v>1302</v>
      </c>
      <c r="E165" s="328" t="s">
        <v>693</v>
      </c>
      <c r="F165" s="330" t="s">
        <v>874</v>
      </c>
      <c r="G165" s="331">
        <v>18202</v>
      </c>
      <c r="H165" s="331">
        <v>18703</v>
      </c>
      <c r="I165" s="332">
        <v>19852</v>
      </c>
      <c r="J165" s="332">
        <v>20320</v>
      </c>
    </row>
    <row r="166" spans="1:10">
      <c r="A166" s="328" t="s">
        <v>730</v>
      </c>
      <c r="B166" s="329">
        <v>4</v>
      </c>
      <c r="C166" s="329">
        <v>6300</v>
      </c>
      <c r="D166" s="328" t="s">
        <v>1253</v>
      </c>
      <c r="E166" s="328" t="s">
        <v>1254</v>
      </c>
      <c r="F166" s="330" t="s">
        <v>564</v>
      </c>
      <c r="G166" s="331">
        <v>146980</v>
      </c>
      <c r="H166" s="331">
        <v>126950</v>
      </c>
      <c r="I166" s="332">
        <v>65133</v>
      </c>
      <c r="J166" s="332">
        <v>57547</v>
      </c>
    </row>
    <row r="167" spans="1:10">
      <c r="A167" s="328" t="s">
        <v>730</v>
      </c>
      <c r="B167" s="329">
        <v>4</v>
      </c>
      <c r="C167" s="329">
        <v>6300</v>
      </c>
      <c r="D167" s="328" t="s">
        <v>1253</v>
      </c>
      <c r="E167" s="328" t="s">
        <v>1254</v>
      </c>
      <c r="F167" s="330" t="s">
        <v>500</v>
      </c>
      <c r="G167" s="331">
        <v>174311</v>
      </c>
      <c r="H167" s="331">
        <v>175217</v>
      </c>
      <c r="I167" s="332">
        <v>68238</v>
      </c>
      <c r="J167" s="332">
        <v>57977</v>
      </c>
    </row>
    <row r="168" spans="1:10">
      <c r="A168" s="328" t="s">
        <v>1052</v>
      </c>
      <c r="B168" s="329">
        <v>13</v>
      </c>
      <c r="C168" s="329">
        <v>6430</v>
      </c>
      <c r="D168" s="328" t="s">
        <v>1302</v>
      </c>
      <c r="E168" s="328" t="s">
        <v>754</v>
      </c>
      <c r="F168" s="330" t="s">
        <v>996</v>
      </c>
      <c r="G168" s="332"/>
      <c r="H168" s="332"/>
      <c r="I168" s="332">
        <v>42668</v>
      </c>
      <c r="J168" s="332">
        <v>89784</v>
      </c>
    </row>
    <row r="169" spans="1:10">
      <c r="A169" s="328" t="s">
        <v>1052</v>
      </c>
      <c r="B169" s="329">
        <v>13</v>
      </c>
      <c r="C169" s="329">
        <v>6430</v>
      </c>
      <c r="D169" s="328" t="s">
        <v>1302</v>
      </c>
      <c r="E169" s="328" t="s">
        <v>754</v>
      </c>
      <c r="F169" s="330" t="s">
        <v>996</v>
      </c>
      <c r="H169" s="332"/>
      <c r="I169" s="332">
        <v>85566</v>
      </c>
      <c r="J169" s="332">
        <v>97995</v>
      </c>
    </row>
    <row r="170" spans="1:10">
      <c r="A170" s="328" t="s">
        <v>735</v>
      </c>
      <c r="B170" s="329">
        <v>100</v>
      </c>
      <c r="C170" s="329">
        <v>6400</v>
      </c>
      <c r="D170" s="328" t="s">
        <v>1255</v>
      </c>
      <c r="E170" s="328" t="s">
        <v>1256</v>
      </c>
      <c r="F170" s="330" t="s">
        <v>572</v>
      </c>
      <c r="G170" s="331">
        <v>39752</v>
      </c>
      <c r="H170" s="331">
        <v>43804</v>
      </c>
      <c r="I170" s="332">
        <v>45660</v>
      </c>
      <c r="J170" s="332">
        <v>35222</v>
      </c>
    </row>
    <row r="171" spans="1:10">
      <c r="A171" s="328" t="s">
        <v>1446</v>
      </c>
      <c r="B171" s="329">
        <v>1</v>
      </c>
      <c r="C171" s="329">
        <v>6440</v>
      </c>
      <c r="D171" s="328" t="s">
        <v>1368</v>
      </c>
      <c r="E171" s="328" t="s">
        <v>756</v>
      </c>
      <c r="F171" s="330" t="s">
        <v>78</v>
      </c>
      <c r="G171" s="331">
        <v>3196</v>
      </c>
      <c r="H171" s="331">
        <v>1416</v>
      </c>
      <c r="I171" s="332">
        <v>1186</v>
      </c>
      <c r="J171" s="332">
        <v>1216</v>
      </c>
    </row>
    <row r="172" spans="1:10">
      <c r="A172" s="328" t="s">
        <v>1272</v>
      </c>
      <c r="B172" s="329">
        <v>4</v>
      </c>
      <c r="C172" s="329">
        <v>6430</v>
      </c>
      <c r="D172" s="328" t="s">
        <v>1257</v>
      </c>
      <c r="E172" s="328" t="s">
        <v>1258</v>
      </c>
      <c r="F172" s="330" t="s">
        <v>869</v>
      </c>
      <c r="G172" s="331">
        <v>13255</v>
      </c>
      <c r="H172" s="331">
        <v>17548</v>
      </c>
      <c r="I172" s="332">
        <v>19292</v>
      </c>
      <c r="J172" s="332">
        <v>11779</v>
      </c>
    </row>
    <row r="173" spans="1:10">
      <c r="A173" s="328" t="s">
        <v>1086</v>
      </c>
      <c r="B173" s="329">
        <v>32</v>
      </c>
      <c r="C173" s="329">
        <v>6400</v>
      </c>
      <c r="D173" s="328" t="s">
        <v>1302</v>
      </c>
      <c r="E173" s="328" t="s">
        <v>597</v>
      </c>
      <c r="F173" s="330" t="s">
        <v>942</v>
      </c>
      <c r="G173" s="331">
        <v>39304</v>
      </c>
      <c r="H173" s="331">
        <v>22743</v>
      </c>
      <c r="I173" s="332">
        <v>15995</v>
      </c>
      <c r="J173" s="332">
        <v>10428</v>
      </c>
    </row>
    <row r="174" spans="1:10">
      <c r="A174" s="328" t="s">
        <v>740</v>
      </c>
      <c r="B174" s="329">
        <v>1</v>
      </c>
      <c r="C174" s="329">
        <v>6470</v>
      </c>
      <c r="D174" s="328" t="s">
        <v>1302</v>
      </c>
      <c r="E174" s="328" t="s">
        <v>1421</v>
      </c>
      <c r="F174" s="330" t="s">
        <v>861</v>
      </c>
      <c r="G174" s="331">
        <v>11138</v>
      </c>
      <c r="H174" s="331">
        <v>13661</v>
      </c>
      <c r="I174" s="332">
        <v>14914</v>
      </c>
      <c r="J174" s="332">
        <v>17647</v>
      </c>
    </row>
    <row r="175" spans="1:10">
      <c r="A175" s="328" t="s">
        <v>1446</v>
      </c>
      <c r="B175" s="329">
        <v>1</v>
      </c>
      <c r="C175" s="329">
        <v>6440</v>
      </c>
      <c r="D175" s="328" t="s">
        <v>1259</v>
      </c>
      <c r="E175" s="328" t="s">
        <v>1260</v>
      </c>
      <c r="F175" s="330" t="s">
        <v>78</v>
      </c>
      <c r="G175" s="331">
        <v>14214</v>
      </c>
      <c r="H175" s="331">
        <v>14309</v>
      </c>
      <c r="I175" s="332">
        <v>11332</v>
      </c>
      <c r="J175" s="332">
        <v>9735</v>
      </c>
    </row>
    <row r="176" spans="1:10">
      <c r="A176" s="328" t="s">
        <v>746</v>
      </c>
      <c r="B176" s="329">
        <v>8</v>
      </c>
      <c r="C176" s="329">
        <v>6440</v>
      </c>
      <c r="D176" s="328" t="s">
        <v>1261</v>
      </c>
      <c r="E176" s="328" t="s">
        <v>1262</v>
      </c>
      <c r="F176" s="330" t="s">
        <v>854</v>
      </c>
      <c r="G176" s="331">
        <v>7408</v>
      </c>
      <c r="H176" s="331">
        <v>8223</v>
      </c>
      <c r="I176" s="332">
        <v>9148</v>
      </c>
      <c r="J176" s="332">
        <v>12331</v>
      </c>
    </row>
    <row r="177" spans="1:10">
      <c r="A177" s="328" t="s">
        <v>710</v>
      </c>
      <c r="B177" s="329">
        <v>21</v>
      </c>
      <c r="C177" s="329">
        <v>6300</v>
      </c>
      <c r="D177" s="328" t="s">
        <v>1302</v>
      </c>
      <c r="E177" s="328" t="s">
        <v>645</v>
      </c>
      <c r="F177" s="330" t="s">
        <v>727</v>
      </c>
      <c r="G177" s="331">
        <v>26627</v>
      </c>
      <c r="H177" s="331">
        <v>13788</v>
      </c>
      <c r="I177" s="332">
        <v>14183</v>
      </c>
      <c r="J177" s="332">
        <v>23226</v>
      </c>
    </row>
    <row r="178" spans="1:10">
      <c r="A178" s="328" t="s">
        <v>1288</v>
      </c>
      <c r="B178" s="329">
        <v>53</v>
      </c>
      <c r="C178" s="329">
        <v>6430</v>
      </c>
      <c r="D178" s="328" t="s">
        <v>1152</v>
      </c>
      <c r="E178" s="328" t="s">
        <v>1263</v>
      </c>
      <c r="F178" s="330" t="s">
        <v>80</v>
      </c>
      <c r="G178" s="331">
        <v>29562</v>
      </c>
      <c r="H178" s="331">
        <v>36188</v>
      </c>
      <c r="I178" s="332">
        <v>40849</v>
      </c>
      <c r="J178" s="332">
        <v>58017</v>
      </c>
    </row>
    <row r="179" spans="1:10">
      <c r="A179" s="328" t="s">
        <v>1438</v>
      </c>
      <c r="B179" s="329">
        <v>0</v>
      </c>
      <c r="C179" s="329">
        <v>6300</v>
      </c>
      <c r="D179" s="328" t="s">
        <v>1302</v>
      </c>
      <c r="E179" s="328" t="s">
        <v>646</v>
      </c>
      <c r="F179" s="330" t="s">
        <v>565</v>
      </c>
      <c r="G179" s="331">
        <v>1454</v>
      </c>
      <c r="H179" s="331">
        <v>3672</v>
      </c>
      <c r="I179" s="332">
        <v>5603</v>
      </c>
      <c r="J179" s="332">
        <v>3623</v>
      </c>
    </row>
    <row r="180" spans="1:10">
      <c r="A180" s="328" t="s">
        <v>749</v>
      </c>
      <c r="B180" s="329"/>
      <c r="C180" s="329">
        <v>6470</v>
      </c>
      <c r="D180" s="328" t="s">
        <v>1344</v>
      </c>
      <c r="E180" s="328" t="s">
        <v>1345</v>
      </c>
      <c r="F180" s="330" t="s">
        <v>852</v>
      </c>
      <c r="G180" s="331">
        <v>2319</v>
      </c>
      <c r="H180" s="331">
        <v>2566</v>
      </c>
      <c r="I180" s="332">
        <v>3611</v>
      </c>
      <c r="J180" s="332">
        <v>1171</v>
      </c>
    </row>
    <row r="181" spans="1:10">
      <c r="A181" s="328" t="s">
        <v>753</v>
      </c>
      <c r="B181" s="329">
        <v>39</v>
      </c>
      <c r="C181" s="329">
        <v>6320</v>
      </c>
      <c r="D181" s="328" t="s">
        <v>1302</v>
      </c>
      <c r="E181" s="328" t="s">
        <v>917</v>
      </c>
      <c r="F181" s="330" t="s">
        <v>83</v>
      </c>
      <c r="G181" s="331">
        <v>1378</v>
      </c>
      <c r="H181" s="331">
        <v>1245</v>
      </c>
      <c r="I181" s="332">
        <v>1641</v>
      </c>
      <c r="J181" s="332">
        <v>1500</v>
      </c>
    </row>
    <row r="182" spans="1:10">
      <c r="A182" s="328" t="s">
        <v>802</v>
      </c>
      <c r="B182" s="329">
        <v>21</v>
      </c>
      <c r="C182" s="329">
        <v>6430</v>
      </c>
      <c r="D182" s="328" t="s">
        <v>1302</v>
      </c>
      <c r="E182" s="328" t="s">
        <v>1151</v>
      </c>
      <c r="F182" s="330" t="s">
        <v>587</v>
      </c>
      <c r="G182" s="331">
        <v>2609</v>
      </c>
      <c r="H182" s="331">
        <v>2920</v>
      </c>
      <c r="I182" s="332">
        <v>3632</v>
      </c>
      <c r="J182" s="332">
        <v>3117</v>
      </c>
    </row>
    <row r="183" spans="1:10">
      <c r="A183" s="328" t="s">
        <v>1408</v>
      </c>
      <c r="B183" s="329">
        <v>8</v>
      </c>
      <c r="C183" s="329">
        <v>6440</v>
      </c>
      <c r="D183" s="328"/>
      <c r="E183" s="328" t="s">
        <v>1350</v>
      </c>
      <c r="F183" s="330" t="s">
        <v>1409</v>
      </c>
      <c r="G183" s="331">
        <v>14836</v>
      </c>
      <c r="H183" s="331">
        <v>13291</v>
      </c>
      <c r="I183" s="332">
        <v>12814</v>
      </c>
      <c r="J183" s="332">
        <v>12000</v>
      </c>
    </row>
    <row r="184" spans="1:10">
      <c r="A184" s="328" t="s">
        <v>450</v>
      </c>
      <c r="B184" s="329"/>
      <c r="C184" s="329">
        <v>6310</v>
      </c>
      <c r="D184" s="328" t="s">
        <v>1302</v>
      </c>
      <c r="E184" s="328" t="s">
        <v>917</v>
      </c>
      <c r="F184" s="330" t="s">
        <v>591</v>
      </c>
      <c r="G184" s="331">
        <v>35638</v>
      </c>
      <c r="H184" s="331">
        <v>18703</v>
      </c>
      <c r="I184" s="332">
        <v>6733</v>
      </c>
      <c r="J184" s="332">
        <v>3078</v>
      </c>
    </row>
    <row r="185" spans="1:10">
      <c r="A185" s="328" t="s">
        <v>451</v>
      </c>
      <c r="B185" s="329">
        <v>5</v>
      </c>
      <c r="C185" s="329">
        <v>6300</v>
      </c>
      <c r="D185" s="328" t="s">
        <v>1347</v>
      </c>
      <c r="E185" s="328" t="s">
        <v>1383</v>
      </c>
      <c r="F185" s="330" t="s">
        <v>166</v>
      </c>
      <c r="G185" s="331">
        <v>410</v>
      </c>
      <c r="H185" s="331">
        <v>430</v>
      </c>
      <c r="I185" s="332">
        <v>423</v>
      </c>
      <c r="J185" s="332">
        <v>155</v>
      </c>
    </row>
    <row r="186" spans="1:10">
      <c r="A186" s="328" t="s">
        <v>1282</v>
      </c>
      <c r="B186" s="329"/>
      <c r="C186" s="329">
        <v>6310</v>
      </c>
      <c r="D186" s="328" t="s">
        <v>917</v>
      </c>
      <c r="E186" s="328" t="s">
        <v>1264</v>
      </c>
      <c r="F186" s="330" t="s">
        <v>561</v>
      </c>
      <c r="G186" s="331">
        <v>40041</v>
      </c>
      <c r="H186" s="331">
        <v>31601</v>
      </c>
      <c r="I186" s="332">
        <v>33776</v>
      </c>
      <c r="J186" s="332">
        <v>31369</v>
      </c>
    </row>
    <row r="187" spans="1:10">
      <c r="A187" s="328" t="s">
        <v>802</v>
      </c>
      <c r="B187" s="329">
        <v>21</v>
      </c>
      <c r="C187" s="329">
        <v>6430</v>
      </c>
      <c r="D187" s="328" t="s">
        <v>1302</v>
      </c>
      <c r="E187" s="328" t="s">
        <v>694</v>
      </c>
      <c r="F187" s="330" t="s">
        <v>588</v>
      </c>
      <c r="G187" s="331">
        <v>37791</v>
      </c>
      <c r="H187" s="331">
        <v>32397</v>
      </c>
      <c r="I187" s="332">
        <v>34874</v>
      </c>
      <c r="J187" s="332">
        <v>28375</v>
      </c>
    </row>
    <row r="188" spans="1:10">
      <c r="A188" s="328" t="s">
        <v>705</v>
      </c>
      <c r="B188" s="329"/>
      <c r="C188" s="329">
        <v>6470</v>
      </c>
      <c r="D188" s="328" t="s">
        <v>1152</v>
      </c>
      <c r="E188" s="328" t="s">
        <v>1265</v>
      </c>
      <c r="F188" s="330" t="s">
        <v>84</v>
      </c>
      <c r="I188" s="332">
        <v>319</v>
      </c>
      <c r="J188" s="332">
        <v>442</v>
      </c>
    </row>
    <row r="189" spans="1:10">
      <c r="A189" s="328" t="s">
        <v>705</v>
      </c>
      <c r="B189" s="329"/>
      <c r="C189" s="329"/>
      <c r="D189" s="328"/>
      <c r="E189" s="328" t="s">
        <v>605</v>
      </c>
      <c r="F189" s="330"/>
      <c r="G189" s="331">
        <v>317</v>
      </c>
      <c r="H189" s="331">
        <v>318</v>
      </c>
      <c r="I189" s="332"/>
      <c r="J189" s="332"/>
    </row>
    <row r="190" spans="1:10">
      <c r="A190" s="328" t="s">
        <v>712</v>
      </c>
      <c r="B190" s="329">
        <v>0</v>
      </c>
      <c r="C190" s="329">
        <v>6430</v>
      </c>
      <c r="D190" s="328" t="s">
        <v>1302</v>
      </c>
      <c r="E190" s="328" t="s">
        <v>887</v>
      </c>
      <c r="F190" s="330" t="s">
        <v>501</v>
      </c>
      <c r="G190" s="331">
        <v>8057</v>
      </c>
      <c r="H190" s="331">
        <v>4662</v>
      </c>
      <c r="I190" s="332">
        <v>8152</v>
      </c>
      <c r="J190" s="332">
        <v>7000</v>
      </c>
    </row>
    <row r="191" spans="1:10">
      <c r="A191" s="328" t="s">
        <v>776</v>
      </c>
      <c r="B191" s="329">
        <v>1</v>
      </c>
      <c r="C191" s="329">
        <v>6400</v>
      </c>
      <c r="D191" s="328" t="s">
        <v>1302</v>
      </c>
      <c r="E191" s="328" t="s">
        <v>888</v>
      </c>
      <c r="F191" s="330" t="s">
        <v>501</v>
      </c>
      <c r="G191" s="331">
        <v>178</v>
      </c>
      <c r="H191" s="331">
        <v>288</v>
      </c>
      <c r="I191" s="332">
        <v>303</v>
      </c>
      <c r="J191" s="332">
        <v>181</v>
      </c>
    </row>
    <row r="192" spans="1:10">
      <c r="A192" s="328" t="s">
        <v>1288</v>
      </c>
      <c r="B192" s="329">
        <v>19</v>
      </c>
      <c r="C192" s="329">
        <v>6400</v>
      </c>
      <c r="D192" s="328" t="s">
        <v>1302</v>
      </c>
      <c r="E192" s="328" t="s">
        <v>1343</v>
      </c>
      <c r="F192" s="330" t="s">
        <v>112</v>
      </c>
      <c r="G192" s="331">
        <v>15664</v>
      </c>
      <c r="H192" s="331">
        <v>21740</v>
      </c>
      <c r="I192" s="332">
        <v>20687</v>
      </c>
      <c r="J192" s="332">
        <v>24966</v>
      </c>
    </row>
    <row r="193" spans="1:10">
      <c r="A193" s="328" t="s">
        <v>1293</v>
      </c>
      <c r="B193" s="329">
        <v>6</v>
      </c>
      <c r="C193" s="329">
        <v>6310</v>
      </c>
      <c r="D193" s="328" t="s">
        <v>1302</v>
      </c>
      <c r="E193" s="328" t="s">
        <v>923</v>
      </c>
      <c r="F193" s="330" t="s">
        <v>574</v>
      </c>
      <c r="G193" s="331">
        <v>29112</v>
      </c>
      <c r="H193" s="331">
        <v>13265</v>
      </c>
      <c r="I193" s="332">
        <v>11800</v>
      </c>
      <c r="J193" s="332">
        <v>12932</v>
      </c>
    </row>
    <row r="194" spans="1:10">
      <c r="A194" s="328" t="s">
        <v>1063</v>
      </c>
      <c r="B194" s="329">
        <v>24</v>
      </c>
      <c r="C194" s="329">
        <v>6430</v>
      </c>
      <c r="D194" s="328" t="s">
        <v>1302</v>
      </c>
      <c r="E194" s="328" t="s">
        <v>1151</v>
      </c>
      <c r="F194" s="330" t="s">
        <v>72</v>
      </c>
      <c r="G194" s="331"/>
      <c r="H194" s="331">
        <v>1</v>
      </c>
      <c r="I194" s="332">
        <v>7</v>
      </c>
      <c r="J194" s="332">
        <v>185</v>
      </c>
    </row>
    <row r="195" spans="1:10">
      <c r="A195" s="328" t="s">
        <v>455</v>
      </c>
      <c r="B195" s="329">
        <v>1</v>
      </c>
      <c r="C195" s="329">
        <v>6300</v>
      </c>
      <c r="D195" s="328" t="s">
        <v>1302</v>
      </c>
      <c r="E195" s="328" t="s">
        <v>1312</v>
      </c>
      <c r="F195" s="330" t="s">
        <v>161</v>
      </c>
      <c r="G195" s="331">
        <v>2919</v>
      </c>
      <c r="H195" s="331">
        <v>2561</v>
      </c>
      <c r="I195" s="332">
        <v>2123</v>
      </c>
      <c r="J195" s="332">
        <v>3305</v>
      </c>
    </row>
    <row r="196" spans="1:10">
      <c r="A196" s="328" t="s">
        <v>1046</v>
      </c>
      <c r="B196" s="329">
        <v>32</v>
      </c>
      <c r="C196" s="329">
        <v>6440</v>
      </c>
      <c r="D196" s="328" t="s">
        <v>1302</v>
      </c>
      <c r="E196" s="328" t="s">
        <v>654</v>
      </c>
      <c r="F196" s="330" t="s">
        <v>853</v>
      </c>
      <c r="G196" s="331">
        <v>12197</v>
      </c>
      <c r="H196" s="331">
        <v>14093</v>
      </c>
      <c r="I196" s="332">
        <v>11995</v>
      </c>
      <c r="J196" s="332">
        <v>11347</v>
      </c>
    </row>
    <row r="197" spans="1:10">
      <c r="A197" s="328" t="s">
        <v>1427</v>
      </c>
      <c r="B197" s="329">
        <v>66</v>
      </c>
      <c r="C197" s="329">
        <v>6440</v>
      </c>
      <c r="D197" s="328" t="s">
        <v>1302</v>
      </c>
      <c r="E197" s="328" t="s">
        <v>655</v>
      </c>
      <c r="F197" s="330" t="s">
        <v>855</v>
      </c>
      <c r="G197" s="331">
        <v>10838</v>
      </c>
      <c r="H197" s="331">
        <v>13475</v>
      </c>
      <c r="I197" s="332">
        <v>12221</v>
      </c>
      <c r="J197" s="332">
        <v>13218</v>
      </c>
    </row>
    <row r="198" spans="1:10">
      <c r="A198" s="328" t="s">
        <v>456</v>
      </c>
      <c r="B198" s="329">
        <v>56</v>
      </c>
      <c r="C198" s="329">
        <v>6310</v>
      </c>
      <c r="D198" s="328" t="s">
        <v>1379</v>
      </c>
      <c r="E198" s="328" t="s">
        <v>1380</v>
      </c>
      <c r="F198" s="330" t="s">
        <v>681</v>
      </c>
      <c r="G198" s="331">
        <v>4597</v>
      </c>
      <c r="H198" s="331">
        <v>968</v>
      </c>
      <c r="I198" s="332">
        <v>398</v>
      </c>
      <c r="J198" s="332">
        <v>1630</v>
      </c>
    </row>
    <row r="199" spans="1:10">
      <c r="A199" s="328" t="s">
        <v>1044</v>
      </c>
      <c r="B199" s="329">
        <v>19</v>
      </c>
      <c r="C199" s="329">
        <v>6310</v>
      </c>
      <c r="D199" s="328" t="s">
        <v>1302</v>
      </c>
      <c r="E199" s="328" t="s">
        <v>1310</v>
      </c>
      <c r="F199" s="330" t="s">
        <v>824</v>
      </c>
      <c r="G199" s="331">
        <v>10834</v>
      </c>
      <c r="H199" s="331">
        <v>10356</v>
      </c>
      <c r="I199" s="332">
        <v>11675</v>
      </c>
      <c r="J199" s="332">
        <v>11528</v>
      </c>
    </row>
    <row r="200" spans="1:10">
      <c r="A200" s="328" t="s">
        <v>1419</v>
      </c>
      <c r="B200" s="329" t="s">
        <v>1416</v>
      </c>
      <c r="C200" s="329"/>
      <c r="D200" s="328" t="s">
        <v>601</v>
      </c>
      <c r="E200" s="328" t="s">
        <v>1417</v>
      </c>
      <c r="F200" s="330" t="s">
        <v>1418</v>
      </c>
      <c r="G200" s="331">
        <v>159201</v>
      </c>
      <c r="H200" s="334">
        <v>172644</v>
      </c>
      <c r="I200" s="332">
        <v>196265</v>
      </c>
      <c r="J200" s="332">
        <v>192000</v>
      </c>
    </row>
    <row r="201" spans="1:10">
      <c r="A201" s="328" t="s">
        <v>1043</v>
      </c>
      <c r="B201" s="329">
        <v>8</v>
      </c>
      <c r="C201" s="329">
        <v>6440</v>
      </c>
      <c r="D201" s="328" t="s">
        <v>1302</v>
      </c>
      <c r="E201" s="328" t="s">
        <v>628</v>
      </c>
      <c r="F201" s="330" t="s">
        <v>946</v>
      </c>
      <c r="G201" s="331">
        <v>29576</v>
      </c>
      <c r="H201" s="331">
        <v>31545</v>
      </c>
      <c r="I201" s="332">
        <v>33000</v>
      </c>
      <c r="J201" s="332">
        <v>33175</v>
      </c>
    </row>
    <row r="202" spans="1:10">
      <c r="A202" s="328" t="s">
        <v>737</v>
      </c>
      <c r="B202" s="329">
        <v>12</v>
      </c>
      <c r="C202" s="329">
        <v>6300</v>
      </c>
      <c r="D202" s="328" t="s">
        <v>1302</v>
      </c>
      <c r="E202" s="328" t="s">
        <v>629</v>
      </c>
      <c r="F202" s="330" t="s">
        <v>866</v>
      </c>
      <c r="G202" s="331">
        <v>5403</v>
      </c>
      <c r="H202" s="331">
        <v>5972</v>
      </c>
      <c r="I202" s="332">
        <v>8176</v>
      </c>
      <c r="J202" s="332">
        <v>7941</v>
      </c>
    </row>
    <row r="203" spans="1:10">
      <c r="A203" s="328" t="s">
        <v>458</v>
      </c>
      <c r="B203" s="329">
        <v>6</v>
      </c>
      <c r="C203" s="329">
        <v>6400</v>
      </c>
      <c r="D203" s="328" t="s">
        <v>1302</v>
      </c>
      <c r="E203" s="328" t="s">
        <v>630</v>
      </c>
      <c r="F203" s="330" t="s">
        <v>501</v>
      </c>
      <c r="G203" s="331">
        <v>8929</v>
      </c>
      <c r="H203" s="331">
        <v>2018</v>
      </c>
      <c r="I203" s="332">
        <v>9024</v>
      </c>
      <c r="J203" s="332">
        <v>8507</v>
      </c>
    </row>
    <row r="204" spans="1:10">
      <c r="A204" s="328" t="s">
        <v>1039</v>
      </c>
      <c r="B204" s="329">
        <v>1</v>
      </c>
      <c r="C204" s="329">
        <v>6300</v>
      </c>
      <c r="D204" s="328" t="s">
        <v>1302</v>
      </c>
      <c r="E204" s="328" t="s">
        <v>631</v>
      </c>
      <c r="F204" s="330" t="s">
        <v>172</v>
      </c>
      <c r="G204" s="331">
        <v>20975</v>
      </c>
      <c r="H204" s="331">
        <v>19098</v>
      </c>
      <c r="I204" s="332">
        <v>19427</v>
      </c>
      <c r="J204" s="332">
        <v>20936</v>
      </c>
    </row>
    <row r="205" spans="1:10">
      <c r="A205" s="328" t="s">
        <v>459</v>
      </c>
      <c r="B205" s="329">
        <v>31</v>
      </c>
      <c r="C205" s="329">
        <v>6470</v>
      </c>
      <c r="D205" s="328" t="s">
        <v>152</v>
      </c>
      <c r="E205" s="328" t="s">
        <v>1166</v>
      </c>
      <c r="F205" s="330" t="s">
        <v>860</v>
      </c>
      <c r="G205" s="331">
        <v>8128</v>
      </c>
      <c r="H205" s="331">
        <v>9688</v>
      </c>
      <c r="I205" s="332">
        <v>11280</v>
      </c>
      <c r="J205" s="332">
        <v>11023</v>
      </c>
    </row>
    <row r="206" spans="1:10">
      <c r="A206" s="328" t="s">
        <v>460</v>
      </c>
      <c r="B206" s="329">
        <v>0</v>
      </c>
      <c r="C206" s="329">
        <v>6400</v>
      </c>
      <c r="D206" s="328" t="s">
        <v>1167</v>
      </c>
      <c r="E206" s="328" t="s">
        <v>1168</v>
      </c>
      <c r="F206" s="330" t="s">
        <v>501</v>
      </c>
      <c r="G206" s="331">
        <v>599</v>
      </c>
      <c r="H206" s="331">
        <v>1289</v>
      </c>
      <c r="I206" s="332">
        <v>999</v>
      </c>
      <c r="J206" s="332">
        <v>0</v>
      </c>
    </row>
    <row r="207" spans="1:10">
      <c r="A207" s="328" t="s">
        <v>782</v>
      </c>
      <c r="B207" s="329">
        <v>35</v>
      </c>
      <c r="C207" s="329">
        <v>6430</v>
      </c>
      <c r="D207" s="328" t="s">
        <v>1152</v>
      </c>
      <c r="E207" s="328" t="s">
        <v>1390</v>
      </c>
      <c r="F207" s="330" t="s">
        <v>1164</v>
      </c>
      <c r="G207" s="331">
        <v>9798</v>
      </c>
      <c r="H207" s="331">
        <v>3047</v>
      </c>
      <c r="I207" s="332">
        <v>3021</v>
      </c>
      <c r="J207" s="332">
        <v>3047</v>
      </c>
    </row>
    <row r="208" spans="1:10">
      <c r="A208" s="328" t="s">
        <v>188</v>
      </c>
      <c r="B208" s="329">
        <v>22</v>
      </c>
      <c r="C208" s="329">
        <v>6400</v>
      </c>
      <c r="D208" s="328" t="s">
        <v>1302</v>
      </c>
      <c r="E208" s="328" t="s">
        <v>1307</v>
      </c>
      <c r="F208" s="330" t="s">
        <v>877</v>
      </c>
      <c r="G208" s="331">
        <v>16961</v>
      </c>
      <c r="H208" s="331">
        <v>21255</v>
      </c>
      <c r="I208" s="332">
        <v>20817</v>
      </c>
      <c r="J208" s="332">
        <v>24851</v>
      </c>
    </row>
    <row r="209" spans="1:10">
      <c r="A209" s="328" t="s">
        <v>1283</v>
      </c>
      <c r="B209" s="329">
        <v>2</v>
      </c>
      <c r="C209" s="329">
        <v>6300</v>
      </c>
      <c r="D209" s="328" t="s">
        <v>1302</v>
      </c>
      <c r="E209" s="328" t="s">
        <v>1170</v>
      </c>
      <c r="F209" s="330" t="s">
        <v>174</v>
      </c>
      <c r="G209" s="331">
        <v>12310</v>
      </c>
      <c r="H209" s="331">
        <v>12172</v>
      </c>
      <c r="I209" s="332">
        <v>14276</v>
      </c>
      <c r="J209" s="332">
        <v>11188</v>
      </c>
    </row>
    <row r="210" spans="1:10">
      <c r="A210" s="328" t="s">
        <v>189</v>
      </c>
      <c r="B210" s="329">
        <v>11</v>
      </c>
      <c r="C210" s="329">
        <v>6430</v>
      </c>
      <c r="D210" s="328" t="s">
        <v>1160</v>
      </c>
      <c r="E210" s="328" t="s">
        <v>1302</v>
      </c>
      <c r="F210" s="330" t="s">
        <v>934</v>
      </c>
      <c r="G210" s="331">
        <v>5584</v>
      </c>
      <c r="H210" s="331">
        <v>6427</v>
      </c>
      <c r="I210" s="332">
        <v>4832</v>
      </c>
      <c r="J210" s="332">
        <v>6254</v>
      </c>
    </row>
    <row r="211" spans="1:10">
      <c r="A211" s="328" t="s">
        <v>455</v>
      </c>
      <c r="B211" s="329">
        <v>4</v>
      </c>
      <c r="C211" s="329">
        <v>6300</v>
      </c>
      <c r="D211" s="328" t="s">
        <v>1302</v>
      </c>
      <c r="E211" s="328" t="s">
        <v>1170</v>
      </c>
      <c r="F211" s="330" t="s">
        <v>175</v>
      </c>
      <c r="G211" s="331">
        <v>17680</v>
      </c>
      <c r="H211" s="331">
        <v>17442</v>
      </c>
      <c r="I211" s="332">
        <v>21966</v>
      </c>
      <c r="J211" s="332">
        <v>17683</v>
      </c>
    </row>
    <row r="212" spans="1:10">
      <c r="A212" s="328" t="s">
        <v>1293</v>
      </c>
      <c r="B212" s="329">
        <v>4</v>
      </c>
      <c r="C212" s="329">
        <v>6310</v>
      </c>
      <c r="D212" s="328" t="s">
        <v>1302</v>
      </c>
      <c r="E212" s="328" t="s">
        <v>1171</v>
      </c>
      <c r="F212" s="330" t="s">
        <v>101</v>
      </c>
      <c r="G212" s="331">
        <v>184</v>
      </c>
      <c r="H212" s="331">
        <v>198</v>
      </c>
      <c r="I212" s="332">
        <v>202</v>
      </c>
      <c r="J212" s="332">
        <v>3336</v>
      </c>
    </row>
    <row r="213" spans="1:10">
      <c r="A213" s="328" t="s">
        <v>188</v>
      </c>
      <c r="B213" s="329">
        <v>24</v>
      </c>
      <c r="C213" s="329">
        <v>6400</v>
      </c>
      <c r="D213" s="328" t="s">
        <v>1172</v>
      </c>
      <c r="E213" s="328" t="s">
        <v>1173</v>
      </c>
      <c r="F213" s="330" t="s">
        <v>180</v>
      </c>
      <c r="G213" s="331">
        <v>12480</v>
      </c>
      <c r="H213" s="331">
        <v>15541</v>
      </c>
      <c r="I213" s="332">
        <v>16507</v>
      </c>
      <c r="J213" s="332">
        <v>17715</v>
      </c>
    </row>
    <row r="214" spans="1:10">
      <c r="A214" s="328" t="s">
        <v>188</v>
      </c>
      <c r="B214" s="329">
        <v>24</v>
      </c>
      <c r="C214" s="329">
        <v>6400</v>
      </c>
      <c r="D214" s="328" t="s">
        <v>1172</v>
      </c>
      <c r="E214" s="328" t="s">
        <v>1173</v>
      </c>
      <c r="F214" s="330" t="s">
        <v>180</v>
      </c>
      <c r="G214" s="331">
        <v>20950</v>
      </c>
      <c r="H214" s="331">
        <v>21466</v>
      </c>
      <c r="I214" s="332">
        <v>23560</v>
      </c>
      <c r="J214" s="332">
        <v>24424</v>
      </c>
    </row>
    <row r="215" spans="1:10">
      <c r="A215" s="328" t="s">
        <v>188</v>
      </c>
      <c r="B215" s="329">
        <v>24</v>
      </c>
      <c r="C215" s="329">
        <v>6400</v>
      </c>
      <c r="D215" s="328" t="s">
        <v>1172</v>
      </c>
      <c r="E215" s="328" t="s">
        <v>1173</v>
      </c>
      <c r="F215" s="330" t="s">
        <v>180</v>
      </c>
      <c r="G215" s="331">
        <v>14989</v>
      </c>
      <c r="H215" s="331">
        <v>13959</v>
      </c>
      <c r="I215" s="332">
        <v>14494</v>
      </c>
      <c r="J215" s="332">
        <v>16828</v>
      </c>
    </row>
    <row r="216" spans="1:10">
      <c r="A216" s="328" t="s">
        <v>188</v>
      </c>
      <c r="B216" s="329">
        <v>24</v>
      </c>
      <c r="C216" s="329">
        <v>6400</v>
      </c>
      <c r="D216" s="328" t="s">
        <v>1302</v>
      </c>
      <c r="E216" s="328" t="s">
        <v>814</v>
      </c>
      <c r="F216" s="330" t="s">
        <v>180</v>
      </c>
      <c r="G216" s="331">
        <v>35517</v>
      </c>
      <c r="H216" s="331">
        <v>46474</v>
      </c>
      <c r="I216" s="332">
        <v>40631</v>
      </c>
      <c r="J216" s="332">
        <v>46893</v>
      </c>
    </row>
    <row r="217" spans="1:10">
      <c r="A217" s="328" t="s">
        <v>188</v>
      </c>
      <c r="B217" s="329">
        <v>24</v>
      </c>
      <c r="C217" s="329">
        <v>6400</v>
      </c>
      <c r="D217" s="328" t="s">
        <v>1172</v>
      </c>
      <c r="E217" s="328" t="s">
        <v>1173</v>
      </c>
      <c r="F217" s="330" t="s">
        <v>180</v>
      </c>
      <c r="G217" s="331">
        <v>18615</v>
      </c>
      <c r="H217" s="331">
        <v>20467</v>
      </c>
      <c r="I217" s="332">
        <v>21526</v>
      </c>
      <c r="J217" s="332">
        <v>23463</v>
      </c>
    </row>
    <row r="218" spans="1:10">
      <c r="A218" s="328" t="s">
        <v>468</v>
      </c>
      <c r="B218" s="329">
        <v>0</v>
      </c>
      <c r="C218" s="329">
        <v>6430</v>
      </c>
      <c r="D218" s="328" t="s">
        <v>1302</v>
      </c>
      <c r="E218" s="328" t="s">
        <v>654</v>
      </c>
      <c r="F218" s="330" t="s">
        <v>867</v>
      </c>
      <c r="G218" s="331">
        <v>16461</v>
      </c>
      <c r="H218" s="331">
        <v>14660</v>
      </c>
      <c r="I218" s="332">
        <v>15414</v>
      </c>
      <c r="J218" s="332">
        <v>10037</v>
      </c>
    </row>
    <row r="219" spans="1:10">
      <c r="A219" s="328" t="s">
        <v>1049</v>
      </c>
      <c r="B219" s="329">
        <v>42</v>
      </c>
      <c r="C219" s="329">
        <v>6470</v>
      </c>
      <c r="D219" s="328" t="s">
        <v>1302</v>
      </c>
      <c r="E219" s="328" t="s">
        <v>815</v>
      </c>
      <c r="F219" s="330" t="s">
        <v>827</v>
      </c>
      <c r="G219" s="331">
        <v>13821</v>
      </c>
      <c r="H219" s="331">
        <v>11505</v>
      </c>
      <c r="I219" s="332">
        <v>15089</v>
      </c>
      <c r="J219" s="332">
        <v>14534</v>
      </c>
    </row>
    <row r="220" spans="1:10">
      <c r="A220" s="328" t="s">
        <v>791</v>
      </c>
      <c r="B220" s="329">
        <v>54</v>
      </c>
      <c r="C220" s="329">
        <v>6400</v>
      </c>
      <c r="D220" s="328" t="s">
        <v>1302</v>
      </c>
      <c r="E220" s="328" t="s">
        <v>816</v>
      </c>
      <c r="F220" s="330" t="s">
        <v>880</v>
      </c>
      <c r="G220" s="331">
        <v>14986</v>
      </c>
      <c r="H220" s="331">
        <v>12646</v>
      </c>
      <c r="I220" s="332">
        <v>14607</v>
      </c>
      <c r="J220" s="332">
        <v>16934</v>
      </c>
    </row>
    <row r="221" spans="1:10">
      <c r="A221" s="328" t="s">
        <v>1052</v>
      </c>
      <c r="B221" s="329">
        <v>103</v>
      </c>
      <c r="C221" s="329">
        <v>6430</v>
      </c>
      <c r="D221" s="328" t="s">
        <v>1302</v>
      </c>
      <c r="E221" s="328" t="s">
        <v>1097</v>
      </c>
      <c r="F221" s="330" t="s">
        <v>868</v>
      </c>
      <c r="G221" s="331">
        <v>17187</v>
      </c>
      <c r="H221" s="331">
        <v>17262</v>
      </c>
      <c r="I221" s="332">
        <v>18857</v>
      </c>
      <c r="J221" s="332">
        <v>6636</v>
      </c>
    </row>
    <row r="222" spans="1:10">
      <c r="A222" s="328" t="s">
        <v>1434</v>
      </c>
      <c r="B222" s="329">
        <v>5</v>
      </c>
      <c r="C222" s="329">
        <v>6310</v>
      </c>
      <c r="D222" s="328" t="s">
        <v>1302</v>
      </c>
      <c r="E222" s="328" t="s">
        <v>917</v>
      </c>
      <c r="F222" s="330" t="s">
        <v>60</v>
      </c>
      <c r="G222" s="331">
        <v>229</v>
      </c>
      <c r="H222" s="331">
        <v>226</v>
      </c>
      <c r="I222" s="332">
        <v>285</v>
      </c>
      <c r="J222" s="332">
        <v>231</v>
      </c>
    </row>
    <row r="223" spans="1:10">
      <c r="A223" s="328" t="s">
        <v>665</v>
      </c>
      <c r="B223" s="329">
        <v>19</v>
      </c>
      <c r="C223" s="329">
        <v>6400</v>
      </c>
      <c r="D223" s="328" t="s">
        <v>1098</v>
      </c>
      <c r="E223" s="328" t="s">
        <v>1302</v>
      </c>
      <c r="F223" s="330" t="s">
        <v>181</v>
      </c>
      <c r="G223" s="331">
        <v>24547</v>
      </c>
      <c r="H223" s="331">
        <v>23871</v>
      </c>
      <c r="I223" s="332">
        <v>22565</v>
      </c>
      <c r="J223" s="332">
        <v>23871</v>
      </c>
    </row>
    <row r="224" spans="1:10">
      <c r="A224" s="328" t="s">
        <v>469</v>
      </c>
      <c r="B224" s="329">
        <v>0</v>
      </c>
      <c r="C224" s="329">
        <v>6400</v>
      </c>
      <c r="D224" s="328" t="s">
        <v>936</v>
      </c>
      <c r="E224" s="328" t="s">
        <v>1174</v>
      </c>
      <c r="F224" s="330" t="s">
        <v>937</v>
      </c>
      <c r="G224" s="331">
        <v>992</v>
      </c>
      <c r="H224" s="331">
        <v>1189</v>
      </c>
      <c r="I224" s="332">
        <v>1058</v>
      </c>
      <c r="J224" s="332">
        <v>1348</v>
      </c>
    </row>
    <row r="225" spans="1:10">
      <c r="A225" s="328" t="s">
        <v>452</v>
      </c>
      <c r="B225" s="329"/>
      <c r="C225" s="329">
        <v>6400</v>
      </c>
      <c r="D225" s="328" t="s">
        <v>1100</v>
      </c>
      <c r="E225" s="328" t="s">
        <v>1302</v>
      </c>
      <c r="F225" s="330" t="s">
        <v>501</v>
      </c>
      <c r="G225" s="331">
        <v>2697</v>
      </c>
      <c r="H225" s="331">
        <v>5147</v>
      </c>
      <c r="I225" s="332">
        <v>3515</v>
      </c>
      <c r="J225" s="332">
        <v>4105</v>
      </c>
    </row>
    <row r="226" spans="1:10">
      <c r="A226" s="328" t="s">
        <v>1040</v>
      </c>
      <c r="B226" s="329">
        <v>2</v>
      </c>
      <c r="C226" s="329">
        <v>6400</v>
      </c>
      <c r="D226" s="328" t="s">
        <v>1152</v>
      </c>
      <c r="E226" s="328" t="s">
        <v>1175</v>
      </c>
      <c r="F226" s="330" t="s">
        <v>1404</v>
      </c>
      <c r="G226" s="331">
        <v>278</v>
      </c>
      <c r="H226" s="331">
        <v>728</v>
      </c>
      <c r="I226" s="332">
        <v>530</v>
      </c>
      <c r="J226" s="332">
        <v>466</v>
      </c>
    </row>
    <row r="227" spans="1:10">
      <c r="A227" s="328"/>
      <c r="B227" s="329"/>
      <c r="C227" s="329">
        <v>6400</v>
      </c>
      <c r="D227" s="328" t="s">
        <v>669</v>
      </c>
      <c r="E227" s="328"/>
      <c r="F227" s="330" t="s">
        <v>844</v>
      </c>
      <c r="G227" s="331">
        <v>816322</v>
      </c>
      <c r="H227" s="331">
        <v>868613</v>
      </c>
      <c r="I227" s="332">
        <v>815581</v>
      </c>
      <c r="J227" s="332">
        <v>876242</v>
      </c>
    </row>
    <row r="228" spans="1:10">
      <c r="A228" s="328" t="s">
        <v>470</v>
      </c>
      <c r="B228" s="329">
        <v>5</v>
      </c>
      <c r="C228" s="329">
        <v>6400</v>
      </c>
      <c r="D228" s="328" t="s">
        <v>1152</v>
      </c>
      <c r="E228" s="328" t="s">
        <v>1173</v>
      </c>
      <c r="F228" s="330" t="s">
        <v>848</v>
      </c>
      <c r="G228" s="331">
        <v>246028</v>
      </c>
      <c r="H228" s="331">
        <v>250326</v>
      </c>
      <c r="I228" s="332">
        <v>228199</v>
      </c>
      <c r="J228" s="332">
        <v>201593</v>
      </c>
    </row>
    <row r="229" spans="1:10">
      <c r="A229" s="328" t="s">
        <v>470</v>
      </c>
      <c r="B229" s="329">
        <v>5</v>
      </c>
      <c r="C229" s="329">
        <v>6400</v>
      </c>
      <c r="D229" s="328" t="s">
        <v>1152</v>
      </c>
      <c r="E229" s="328" t="s">
        <v>1173</v>
      </c>
      <c r="F229" s="330" t="s">
        <v>848</v>
      </c>
      <c r="G229" s="332"/>
      <c r="I229" s="332">
        <v>75848</v>
      </c>
      <c r="J229" s="332">
        <v>84798</v>
      </c>
    </row>
    <row r="230" spans="1:10">
      <c r="A230" s="328" t="s">
        <v>471</v>
      </c>
      <c r="B230" s="329">
        <v>100</v>
      </c>
      <c r="C230" s="329">
        <v>6400</v>
      </c>
      <c r="D230" s="328" t="s">
        <v>1302</v>
      </c>
      <c r="E230" s="328" t="s">
        <v>1101</v>
      </c>
      <c r="F230" s="330" t="s">
        <v>843</v>
      </c>
      <c r="G230" s="331">
        <v>180853</v>
      </c>
      <c r="H230" s="331">
        <v>195062</v>
      </c>
      <c r="I230" s="332">
        <v>219007</v>
      </c>
      <c r="J230" s="332">
        <v>242439</v>
      </c>
    </row>
    <row r="231" spans="1:10">
      <c r="A231" s="328" t="s">
        <v>474</v>
      </c>
      <c r="B231" s="329">
        <v>34</v>
      </c>
      <c r="C231" s="329">
        <v>6400</v>
      </c>
      <c r="D231" s="328" t="s">
        <v>1302</v>
      </c>
      <c r="E231" s="328" t="s">
        <v>1102</v>
      </c>
      <c r="F231" s="330" t="s">
        <v>501</v>
      </c>
      <c r="G231" s="331">
        <v>12956</v>
      </c>
      <c r="H231" s="331">
        <v>13731</v>
      </c>
      <c r="I231" s="332">
        <v>14625</v>
      </c>
      <c r="J231" s="332">
        <v>15393</v>
      </c>
    </row>
    <row r="232" spans="1:10">
      <c r="A232" s="328" t="s">
        <v>1287</v>
      </c>
      <c r="B232" s="329">
        <v>31</v>
      </c>
      <c r="C232" s="329">
        <v>6400</v>
      </c>
      <c r="D232" s="328" t="s">
        <v>756</v>
      </c>
      <c r="E232" s="328" t="s">
        <v>1176</v>
      </c>
      <c r="F232" s="330" t="s">
        <v>502</v>
      </c>
      <c r="G232" s="331">
        <v>932</v>
      </c>
      <c r="H232" s="331">
        <v>871</v>
      </c>
      <c r="I232" s="332">
        <v>828</v>
      </c>
      <c r="J232" s="332">
        <v>1003</v>
      </c>
    </row>
    <row r="233" spans="1:10">
      <c r="A233" s="328" t="s">
        <v>475</v>
      </c>
      <c r="B233" s="329">
        <v>14</v>
      </c>
      <c r="C233" s="329">
        <v>6400</v>
      </c>
      <c r="D233" s="328" t="s">
        <v>1302</v>
      </c>
      <c r="E233" s="328" t="s">
        <v>1177</v>
      </c>
      <c r="F233" s="330" t="s">
        <v>111</v>
      </c>
      <c r="G233" s="331">
        <v>1095</v>
      </c>
      <c r="H233" s="331">
        <v>1164</v>
      </c>
      <c r="I233" s="332">
        <v>1141</v>
      </c>
      <c r="J233" s="332">
        <v>1167</v>
      </c>
    </row>
    <row r="234" spans="1:10">
      <c r="A234" s="328" t="s">
        <v>476</v>
      </c>
      <c r="B234" s="329">
        <v>1</v>
      </c>
      <c r="C234" s="329">
        <v>6400</v>
      </c>
      <c r="D234" s="328" t="s">
        <v>410</v>
      </c>
      <c r="E234" s="328" t="s">
        <v>1302</v>
      </c>
      <c r="F234" s="330" t="s">
        <v>592</v>
      </c>
      <c r="G234" s="331">
        <v>6644</v>
      </c>
      <c r="H234" s="331">
        <v>8693</v>
      </c>
      <c r="I234" s="332">
        <v>8049</v>
      </c>
      <c r="J234" s="332">
        <v>8878</v>
      </c>
    </row>
    <row r="235" spans="1:10">
      <c r="A235" s="328" t="s">
        <v>477</v>
      </c>
      <c r="B235" s="329">
        <v>1</v>
      </c>
      <c r="C235" s="329">
        <v>6400</v>
      </c>
      <c r="D235" s="328" t="s">
        <v>1302</v>
      </c>
      <c r="E235" s="328" t="s">
        <v>1177</v>
      </c>
      <c r="F235" s="330" t="s">
        <v>108</v>
      </c>
      <c r="G235" s="331">
        <v>1579</v>
      </c>
      <c r="H235" s="331">
        <v>1397</v>
      </c>
      <c r="I235" s="332">
        <v>1217</v>
      </c>
      <c r="J235" s="332">
        <v>1272</v>
      </c>
    </row>
    <row r="236" spans="1:10">
      <c r="A236" s="328" t="s">
        <v>652</v>
      </c>
      <c r="B236" s="329">
        <v>4</v>
      </c>
      <c r="C236" s="329">
        <v>6400</v>
      </c>
      <c r="D236" s="328" t="s">
        <v>1152</v>
      </c>
      <c r="E236" s="328" t="s">
        <v>412</v>
      </c>
      <c r="F236" s="330" t="s">
        <v>68</v>
      </c>
      <c r="G236" s="331">
        <v>3279</v>
      </c>
      <c r="H236" s="331">
        <v>3081</v>
      </c>
      <c r="I236" s="332">
        <v>3311</v>
      </c>
      <c r="J236" s="332">
        <v>3303</v>
      </c>
    </row>
    <row r="237" spans="1:10">
      <c r="A237" s="328" t="s">
        <v>452</v>
      </c>
      <c r="B237" s="329">
        <v>92</v>
      </c>
      <c r="C237" s="329">
        <v>6400</v>
      </c>
      <c r="D237" s="328" t="s">
        <v>1152</v>
      </c>
      <c r="E237" s="328" t="s">
        <v>756</v>
      </c>
      <c r="F237" s="330" t="s">
        <v>1401</v>
      </c>
      <c r="G237" s="331">
        <v>4211</v>
      </c>
      <c r="H237" s="331">
        <v>2512</v>
      </c>
      <c r="I237" s="332">
        <v>5336</v>
      </c>
      <c r="J237" s="332">
        <v>3491</v>
      </c>
    </row>
    <row r="238" spans="1:10">
      <c r="A238" s="328" t="s">
        <v>479</v>
      </c>
      <c r="B238" s="329">
        <v>1</v>
      </c>
      <c r="C238" s="329">
        <v>6400</v>
      </c>
      <c r="D238" s="328" t="s">
        <v>413</v>
      </c>
      <c r="E238" s="328" t="s">
        <v>414</v>
      </c>
      <c r="F238" s="330" t="s">
        <v>86</v>
      </c>
      <c r="G238" s="331">
        <v>32728</v>
      </c>
      <c r="H238" s="331">
        <v>41322</v>
      </c>
      <c r="I238" s="332">
        <v>59713</v>
      </c>
      <c r="J238" s="332">
        <v>50595</v>
      </c>
    </row>
    <row r="239" spans="1:10">
      <c r="A239" s="328" t="s">
        <v>479</v>
      </c>
      <c r="B239" s="329">
        <v>1</v>
      </c>
      <c r="C239" s="329">
        <v>6400</v>
      </c>
      <c r="D239" s="328" t="s">
        <v>413</v>
      </c>
      <c r="E239" s="328" t="s">
        <v>414</v>
      </c>
      <c r="F239" s="330" t="s">
        <v>86</v>
      </c>
      <c r="G239" s="331">
        <v>7756</v>
      </c>
      <c r="H239" s="331">
        <v>7029</v>
      </c>
      <c r="I239" s="332">
        <v>7115</v>
      </c>
      <c r="J239" s="332">
        <v>6888</v>
      </c>
    </row>
    <row r="240" spans="1:10">
      <c r="A240" s="328" t="s">
        <v>657</v>
      </c>
      <c r="B240" s="329">
        <v>30</v>
      </c>
      <c r="C240" s="329">
        <v>6400</v>
      </c>
      <c r="D240" s="328" t="s">
        <v>1152</v>
      </c>
      <c r="E240" s="328" t="s">
        <v>1005</v>
      </c>
      <c r="F240" s="330" t="s">
        <v>573</v>
      </c>
      <c r="G240" s="331">
        <v>10743</v>
      </c>
      <c r="H240" s="331">
        <v>4501</v>
      </c>
      <c r="I240" s="332">
        <v>3872</v>
      </c>
      <c r="J240" s="332">
        <v>2393</v>
      </c>
    </row>
    <row r="241" spans="1:10">
      <c r="A241" s="328" t="s">
        <v>477</v>
      </c>
      <c r="B241" s="329">
        <v>1</v>
      </c>
      <c r="C241" s="329">
        <v>6400</v>
      </c>
      <c r="D241" s="328" t="s">
        <v>1302</v>
      </c>
      <c r="E241" s="328" t="s">
        <v>1177</v>
      </c>
      <c r="F241" s="330" t="s">
        <v>108</v>
      </c>
      <c r="G241" s="331">
        <v>797</v>
      </c>
      <c r="H241" s="331">
        <v>781</v>
      </c>
      <c r="I241" s="332">
        <v>814</v>
      </c>
      <c r="J241" s="332">
        <v>993</v>
      </c>
    </row>
    <row r="242" spans="1:10">
      <c r="A242" s="328" t="s">
        <v>1053</v>
      </c>
      <c r="B242" s="329" t="s">
        <v>929</v>
      </c>
      <c r="C242" s="329">
        <v>6400</v>
      </c>
      <c r="D242" s="328" t="s">
        <v>928</v>
      </c>
      <c r="E242" s="328" t="s">
        <v>1006</v>
      </c>
      <c r="F242" s="330" t="s">
        <v>927</v>
      </c>
      <c r="G242" s="331">
        <v>665</v>
      </c>
      <c r="H242" s="331">
        <v>1599</v>
      </c>
      <c r="I242" s="332">
        <v>185</v>
      </c>
      <c r="J242" s="332">
        <v>0</v>
      </c>
    </row>
    <row r="243" spans="1:10">
      <c r="A243" s="328" t="s">
        <v>452</v>
      </c>
      <c r="B243" s="329">
        <v>90</v>
      </c>
      <c r="C243" s="329">
        <v>6400</v>
      </c>
      <c r="D243" s="328" t="s">
        <v>1302</v>
      </c>
      <c r="E243" s="328" t="s">
        <v>123</v>
      </c>
      <c r="F243" s="330" t="s">
        <v>1402</v>
      </c>
      <c r="G243" s="331">
        <v>117658</v>
      </c>
      <c r="H243" s="331">
        <v>88469</v>
      </c>
      <c r="I243" s="332">
        <v>75761</v>
      </c>
      <c r="J243" s="332">
        <v>69883</v>
      </c>
    </row>
    <row r="244" spans="1:10">
      <c r="A244" s="328" t="s">
        <v>471</v>
      </c>
      <c r="B244" s="329">
        <v>150</v>
      </c>
      <c r="C244" s="329">
        <v>6400</v>
      </c>
      <c r="D244" s="328" t="s">
        <v>1152</v>
      </c>
      <c r="E244" s="328" t="s">
        <v>1007</v>
      </c>
      <c r="F244" s="330" t="s">
        <v>847</v>
      </c>
      <c r="G244" s="173"/>
      <c r="H244" s="173"/>
      <c r="I244" s="332">
        <v>16626</v>
      </c>
      <c r="J244" s="332">
        <v>0</v>
      </c>
    </row>
    <row r="245" spans="1:10">
      <c r="A245" s="328" t="s">
        <v>471</v>
      </c>
      <c r="B245" s="329">
        <v>150</v>
      </c>
      <c r="C245" s="329">
        <v>6400</v>
      </c>
      <c r="D245" s="328" t="s">
        <v>1152</v>
      </c>
      <c r="E245" s="328" t="s">
        <v>1007</v>
      </c>
      <c r="F245" s="330" t="s">
        <v>847</v>
      </c>
      <c r="G245" s="331">
        <v>132564</v>
      </c>
      <c r="H245" s="331">
        <v>123876</v>
      </c>
      <c r="I245" s="332"/>
      <c r="J245" s="332"/>
    </row>
    <row r="246" spans="1:10">
      <c r="A246" s="328" t="s">
        <v>471</v>
      </c>
      <c r="B246" s="329">
        <v>150</v>
      </c>
      <c r="C246" s="329">
        <v>6400</v>
      </c>
      <c r="D246" s="328" t="s">
        <v>1152</v>
      </c>
      <c r="E246" s="328" t="s">
        <v>1007</v>
      </c>
      <c r="F246" s="330" t="s">
        <v>847</v>
      </c>
      <c r="I246" s="332">
        <v>111451</v>
      </c>
      <c r="J246" s="332">
        <v>126318</v>
      </c>
    </row>
    <row r="247" spans="1:10">
      <c r="A247" s="328" t="s">
        <v>1287</v>
      </c>
      <c r="B247" s="329">
        <v>27</v>
      </c>
      <c r="C247" s="329">
        <v>6400</v>
      </c>
      <c r="D247" s="328" t="s">
        <v>1008</v>
      </c>
      <c r="E247" s="328" t="s">
        <v>1009</v>
      </c>
      <c r="F247" s="330" t="s">
        <v>892</v>
      </c>
      <c r="G247" s="331">
        <v>11429</v>
      </c>
      <c r="H247" s="331">
        <v>10728</v>
      </c>
      <c r="I247" s="332">
        <v>6443</v>
      </c>
      <c r="J247" s="332">
        <v>6426</v>
      </c>
    </row>
    <row r="248" spans="1:10">
      <c r="A248" s="328" t="s">
        <v>481</v>
      </c>
      <c r="B248" s="329">
        <v>52</v>
      </c>
      <c r="C248" s="329">
        <v>6400</v>
      </c>
      <c r="D248" s="328" t="s">
        <v>1152</v>
      </c>
      <c r="E248" s="328" t="s">
        <v>1010</v>
      </c>
      <c r="F248" s="330" t="s">
        <v>947</v>
      </c>
      <c r="G248" s="331">
        <v>12836</v>
      </c>
      <c r="H248" s="331">
        <v>30677</v>
      </c>
      <c r="I248" s="332">
        <v>27464</v>
      </c>
      <c r="J248" s="332">
        <v>26518</v>
      </c>
    </row>
    <row r="249" spans="1:10">
      <c r="A249" s="328" t="s">
        <v>481</v>
      </c>
      <c r="B249" s="329">
        <v>52</v>
      </c>
      <c r="C249" s="329">
        <v>6400</v>
      </c>
      <c r="D249" s="328" t="s">
        <v>1152</v>
      </c>
      <c r="E249" s="328" t="s">
        <v>1010</v>
      </c>
      <c r="F249" s="330" t="s">
        <v>947</v>
      </c>
      <c r="G249" s="331">
        <v>19882</v>
      </c>
      <c r="H249" s="331">
        <v>23362</v>
      </c>
      <c r="I249" s="332">
        <v>23832</v>
      </c>
      <c r="J249" s="332">
        <v>20330</v>
      </c>
    </row>
    <row r="250" spans="1:10">
      <c r="A250" s="328" t="s">
        <v>472</v>
      </c>
      <c r="B250" s="329">
        <v>48</v>
      </c>
      <c r="C250" s="329">
        <v>6400</v>
      </c>
      <c r="D250" s="328" t="s">
        <v>1152</v>
      </c>
      <c r="E250" s="328" t="s">
        <v>1011</v>
      </c>
      <c r="F250" s="330" t="s">
        <v>501</v>
      </c>
      <c r="G250" s="331">
        <v>18171</v>
      </c>
      <c r="H250" s="331">
        <v>13781</v>
      </c>
      <c r="I250" s="332">
        <v>12526</v>
      </c>
      <c r="J250" s="332">
        <v>13781</v>
      </c>
    </row>
    <row r="251" spans="1:10">
      <c r="A251" s="328" t="s">
        <v>472</v>
      </c>
      <c r="B251" s="329">
        <v>46</v>
      </c>
      <c r="C251" s="329">
        <v>6400</v>
      </c>
      <c r="D251" s="328" t="s">
        <v>1152</v>
      </c>
      <c r="E251" s="328" t="s">
        <v>1012</v>
      </c>
      <c r="F251" s="330" t="s">
        <v>501</v>
      </c>
      <c r="G251" s="331">
        <v>6882</v>
      </c>
      <c r="H251" s="331">
        <v>6165</v>
      </c>
      <c r="I251" s="332">
        <v>6483</v>
      </c>
      <c r="J251" s="332">
        <v>5796</v>
      </c>
    </row>
    <row r="252" spans="1:10">
      <c r="A252" s="328" t="s">
        <v>472</v>
      </c>
      <c r="B252" s="329">
        <v>17</v>
      </c>
      <c r="C252" s="329">
        <v>6400</v>
      </c>
      <c r="D252" s="328" t="s">
        <v>1302</v>
      </c>
      <c r="E252" s="328" t="s">
        <v>124</v>
      </c>
      <c r="F252" s="330" t="s">
        <v>883</v>
      </c>
      <c r="G252" s="331">
        <v>26502</v>
      </c>
      <c r="H252" s="331">
        <v>27694</v>
      </c>
      <c r="I252" s="332">
        <v>27605</v>
      </c>
      <c r="J252" s="332">
        <v>33361</v>
      </c>
    </row>
    <row r="253" spans="1:10">
      <c r="A253" s="328" t="s">
        <v>482</v>
      </c>
      <c r="B253" s="329">
        <v>3</v>
      </c>
      <c r="C253" s="329">
        <v>6400</v>
      </c>
      <c r="D253" s="328" t="s">
        <v>1302</v>
      </c>
      <c r="E253" s="328" t="s">
        <v>1177</v>
      </c>
      <c r="F253" s="330" t="s">
        <v>102</v>
      </c>
      <c r="G253" s="331">
        <v>1412</v>
      </c>
      <c r="H253" s="331">
        <v>1428</v>
      </c>
      <c r="I253" s="332">
        <v>1431</v>
      </c>
      <c r="J253" s="332">
        <v>1667</v>
      </c>
    </row>
    <row r="254" spans="1:10">
      <c r="A254" s="328" t="s">
        <v>482</v>
      </c>
      <c r="B254" s="329">
        <v>5</v>
      </c>
      <c r="C254" s="329">
        <v>6400</v>
      </c>
      <c r="D254" s="328" t="s">
        <v>1302</v>
      </c>
      <c r="E254" s="328" t="s">
        <v>1177</v>
      </c>
      <c r="F254" s="330" t="s">
        <v>103</v>
      </c>
      <c r="G254" s="331">
        <v>950</v>
      </c>
      <c r="H254" s="331">
        <v>1131</v>
      </c>
      <c r="I254" s="332">
        <v>1081</v>
      </c>
      <c r="J254" s="332">
        <v>1148</v>
      </c>
    </row>
    <row r="255" spans="1:10">
      <c r="A255" s="328" t="s">
        <v>482</v>
      </c>
      <c r="B255" s="329">
        <v>7</v>
      </c>
      <c r="C255" s="329">
        <v>6400</v>
      </c>
      <c r="D255" s="328" t="s">
        <v>1302</v>
      </c>
      <c r="E255" s="328" t="s">
        <v>1177</v>
      </c>
      <c r="F255" s="330" t="s">
        <v>104</v>
      </c>
      <c r="G255" s="331">
        <v>1083</v>
      </c>
      <c r="H255" s="331">
        <v>1022</v>
      </c>
      <c r="I255" s="332">
        <v>866</v>
      </c>
      <c r="J255" s="332">
        <v>951</v>
      </c>
    </row>
    <row r="256" spans="1:10">
      <c r="A256" s="328" t="s">
        <v>483</v>
      </c>
      <c r="B256" s="329">
        <v>10</v>
      </c>
      <c r="C256" s="329">
        <v>6400</v>
      </c>
      <c r="D256" s="328" t="s">
        <v>1152</v>
      </c>
      <c r="E256" s="328" t="s">
        <v>1174</v>
      </c>
      <c r="F256" s="330" t="s">
        <v>107</v>
      </c>
      <c r="G256" s="331">
        <v>4969</v>
      </c>
      <c r="H256" s="331">
        <v>5247</v>
      </c>
      <c r="I256" s="332">
        <v>5010</v>
      </c>
      <c r="J256" s="332">
        <v>5744</v>
      </c>
    </row>
    <row r="257" spans="1:10">
      <c r="A257" s="328" t="s">
        <v>475</v>
      </c>
      <c r="B257" s="329">
        <v>14</v>
      </c>
      <c r="C257" s="329">
        <v>6400</v>
      </c>
      <c r="D257" s="328" t="s">
        <v>1302</v>
      </c>
      <c r="E257" s="328" t="s">
        <v>1177</v>
      </c>
      <c r="F257" s="330" t="s">
        <v>111</v>
      </c>
      <c r="G257" s="331">
        <v>584</v>
      </c>
      <c r="H257" s="331">
        <v>585</v>
      </c>
      <c r="I257" s="332">
        <v>873</v>
      </c>
      <c r="J257" s="332">
        <v>201</v>
      </c>
    </row>
    <row r="258" spans="1:10">
      <c r="A258" s="328" t="s">
        <v>477</v>
      </c>
      <c r="B258" s="329">
        <v>2</v>
      </c>
      <c r="C258" s="329">
        <v>6400</v>
      </c>
      <c r="D258" s="328" t="s">
        <v>1302</v>
      </c>
      <c r="E258" s="328" t="s">
        <v>1177</v>
      </c>
      <c r="F258" s="330" t="s">
        <v>109</v>
      </c>
      <c r="G258" s="331">
        <v>758</v>
      </c>
      <c r="H258" s="331">
        <v>809</v>
      </c>
      <c r="I258" s="332">
        <v>766</v>
      </c>
      <c r="J258" s="332">
        <v>1302</v>
      </c>
    </row>
    <row r="259" spans="1:10">
      <c r="A259" s="328" t="s">
        <v>477</v>
      </c>
      <c r="B259" s="329">
        <v>2</v>
      </c>
      <c r="C259" s="329">
        <v>6400</v>
      </c>
      <c r="D259" s="328" t="s">
        <v>1302</v>
      </c>
      <c r="E259" s="328" t="s">
        <v>1177</v>
      </c>
      <c r="F259" s="330" t="s">
        <v>109</v>
      </c>
      <c r="G259" s="331">
        <v>1069</v>
      </c>
      <c r="H259" s="331">
        <v>1123</v>
      </c>
      <c r="I259" s="332">
        <v>1127</v>
      </c>
      <c r="J259" s="332">
        <v>1361</v>
      </c>
    </row>
    <row r="260" spans="1:10">
      <c r="A260" s="328" t="s">
        <v>811</v>
      </c>
      <c r="B260" s="329">
        <v>5</v>
      </c>
      <c r="C260" s="329">
        <v>6400</v>
      </c>
      <c r="D260" s="328" t="s">
        <v>1302</v>
      </c>
      <c r="E260" s="328" t="s">
        <v>125</v>
      </c>
      <c r="F260" s="330" t="s">
        <v>182</v>
      </c>
      <c r="G260" s="331">
        <v>296811</v>
      </c>
      <c r="H260" s="331">
        <v>298034</v>
      </c>
      <c r="I260" s="332">
        <v>309430</v>
      </c>
      <c r="J260" s="332">
        <v>313960</v>
      </c>
    </row>
    <row r="261" spans="1:10">
      <c r="A261" s="328" t="s">
        <v>811</v>
      </c>
      <c r="B261" s="329">
        <v>5</v>
      </c>
      <c r="C261" s="329">
        <v>6400</v>
      </c>
      <c r="D261" s="328" t="s">
        <v>1302</v>
      </c>
      <c r="E261" s="328" t="s">
        <v>125</v>
      </c>
      <c r="F261" s="330" t="s">
        <v>183</v>
      </c>
      <c r="G261" s="332"/>
      <c r="I261" s="332">
        <v>106681</v>
      </c>
      <c r="J261" s="332">
        <v>114944</v>
      </c>
    </row>
    <row r="262" spans="1:10">
      <c r="A262" s="328" t="s">
        <v>1053</v>
      </c>
      <c r="B262" s="329">
        <v>27</v>
      </c>
      <c r="C262" s="329">
        <v>6400</v>
      </c>
      <c r="D262" s="328" t="s">
        <v>1152</v>
      </c>
      <c r="E262" s="328" t="s">
        <v>1013</v>
      </c>
      <c r="F262" s="330" t="s">
        <v>577</v>
      </c>
      <c r="G262" s="332"/>
      <c r="H262" s="332"/>
      <c r="I262" s="332">
        <v>128248</v>
      </c>
      <c r="J262" s="332">
        <v>142507</v>
      </c>
    </row>
    <row r="263" spans="1:10">
      <c r="A263" s="328" t="s">
        <v>1053</v>
      </c>
      <c r="B263" s="329">
        <v>27</v>
      </c>
      <c r="C263" s="329">
        <v>6400</v>
      </c>
      <c r="D263" s="328" t="s">
        <v>1152</v>
      </c>
      <c r="E263" s="328" t="s">
        <v>1013</v>
      </c>
      <c r="F263" s="330" t="s">
        <v>577</v>
      </c>
      <c r="G263" s="331">
        <v>126197</v>
      </c>
      <c r="H263" s="331">
        <v>121197</v>
      </c>
      <c r="I263" s="332">
        <v>70729</v>
      </c>
      <c r="J263" s="332">
        <v>75309</v>
      </c>
    </row>
    <row r="264" spans="1:10">
      <c r="A264" s="328" t="s">
        <v>1053</v>
      </c>
      <c r="B264" s="329">
        <v>35</v>
      </c>
      <c r="C264" s="329">
        <v>6400</v>
      </c>
      <c r="D264" s="328" t="s">
        <v>1302</v>
      </c>
      <c r="E264" s="328" t="s">
        <v>118</v>
      </c>
      <c r="F264" s="330" t="s">
        <v>840</v>
      </c>
      <c r="G264" s="331">
        <v>130407</v>
      </c>
      <c r="H264" s="331">
        <v>131175</v>
      </c>
      <c r="I264" s="332">
        <v>138160</v>
      </c>
      <c r="J264" s="332">
        <v>144611</v>
      </c>
    </row>
    <row r="265" spans="1:10">
      <c r="A265" s="328" t="s">
        <v>657</v>
      </c>
      <c r="B265" s="329">
        <v>13</v>
      </c>
      <c r="C265" s="329">
        <v>6400</v>
      </c>
      <c r="D265" s="328" t="s">
        <v>1302</v>
      </c>
      <c r="E265" s="328" t="s">
        <v>120</v>
      </c>
      <c r="F265" s="330" t="s">
        <v>98</v>
      </c>
      <c r="G265" s="331">
        <v>7141</v>
      </c>
      <c r="H265" s="331">
        <v>6711</v>
      </c>
      <c r="I265" s="332">
        <v>6965</v>
      </c>
      <c r="J265" s="332">
        <v>7058</v>
      </c>
    </row>
    <row r="266" spans="1:10">
      <c r="A266" s="328" t="s">
        <v>476</v>
      </c>
      <c r="B266" s="329">
        <v>1</v>
      </c>
      <c r="C266" s="329">
        <v>6400</v>
      </c>
      <c r="D266" s="328" t="s">
        <v>1302</v>
      </c>
      <c r="E266" s="328" t="s">
        <v>121</v>
      </c>
      <c r="F266" s="330" t="s">
        <v>592</v>
      </c>
      <c r="G266" s="331">
        <v>112271</v>
      </c>
      <c r="H266" s="331">
        <v>94479</v>
      </c>
      <c r="I266" s="332">
        <v>102529</v>
      </c>
      <c r="J266" s="332">
        <v>93205</v>
      </c>
    </row>
    <row r="267" spans="1:10">
      <c r="A267" s="328" t="s">
        <v>479</v>
      </c>
      <c r="B267" s="329">
        <v>1</v>
      </c>
      <c r="C267" s="329">
        <v>6400</v>
      </c>
      <c r="D267" s="328" t="s">
        <v>1152</v>
      </c>
      <c r="E267" s="328" t="s">
        <v>1174</v>
      </c>
      <c r="F267" s="330" t="s">
        <v>890</v>
      </c>
      <c r="G267" s="331">
        <v>1193</v>
      </c>
      <c r="H267" s="331">
        <v>1359</v>
      </c>
      <c r="I267" s="332">
        <v>1930</v>
      </c>
      <c r="J267" s="332">
        <v>3897</v>
      </c>
    </row>
    <row r="268" spans="1:10">
      <c r="A268" s="328" t="s">
        <v>485</v>
      </c>
      <c r="B268" s="329">
        <v>10</v>
      </c>
      <c r="C268" s="329">
        <v>6400</v>
      </c>
      <c r="D268" s="328" t="s">
        <v>1302</v>
      </c>
      <c r="E268" s="328" t="s">
        <v>122</v>
      </c>
      <c r="F268" s="330" t="s">
        <v>559</v>
      </c>
      <c r="G268" s="331">
        <v>2735</v>
      </c>
      <c r="H268" s="331">
        <v>4200</v>
      </c>
      <c r="I268" s="332">
        <v>7077</v>
      </c>
      <c r="J268" s="332">
        <v>16448</v>
      </c>
    </row>
    <row r="269" spans="1:10">
      <c r="A269" s="328" t="s">
        <v>487</v>
      </c>
      <c r="B269" s="329">
        <v>7</v>
      </c>
      <c r="C269" s="329">
        <v>6400</v>
      </c>
      <c r="D269" s="328" t="s">
        <v>1302</v>
      </c>
      <c r="E269" s="328" t="s">
        <v>1016</v>
      </c>
      <c r="F269" s="330" t="s">
        <v>991</v>
      </c>
      <c r="G269" s="331">
        <v>11292</v>
      </c>
      <c r="H269" s="331">
        <v>11344</v>
      </c>
      <c r="I269" s="332">
        <v>13179</v>
      </c>
      <c r="J269" s="332">
        <v>12210</v>
      </c>
    </row>
    <row r="270" spans="1:10">
      <c r="A270" s="328" t="s">
        <v>487</v>
      </c>
      <c r="B270" s="329">
        <v>10</v>
      </c>
      <c r="C270" s="329">
        <v>6400</v>
      </c>
      <c r="D270" s="328" t="s">
        <v>1172</v>
      </c>
      <c r="E270" s="328" t="s">
        <v>1173</v>
      </c>
      <c r="F270" s="330" t="s">
        <v>1165</v>
      </c>
      <c r="G270" s="331">
        <v>90286</v>
      </c>
      <c r="H270" s="331">
        <v>93123</v>
      </c>
      <c r="I270" s="332">
        <v>17705</v>
      </c>
      <c r="J270" s="332">
        <v>29444</v>
      </c>
    </row>
    <row r="271" spans="1:10">
      <c r="A271" s="328" t="s">
        <v>487</v>
      </c>
      <c r="B271" s="329">
        <v>10</v>
      </c>
      <c r="C271" s="329">
        <v>6400</v>
      </c>
      <c r="D271" s="328" t="s">
        <v>1172</v>
      </c>
      <c r="E271" s="328" t="s">
        <v>1173</v>
      </c>
      <c r="F271" s="330" t="s">
        <v>935</v>
      </c>
      <c r="G271" s="332"/>
      <c r="I271" s="332">
        <v>49349</v>
      </c>
      <c r="J271" s="332">
        <v>44277</v>
      </c>
    </row>
    <row r="272" spans="1:10">
      <c r="A272" s="328" t="s">
        <v>489</v>
      </c>
      <c r="B272" s="329">
        <v>14</v>
      </c>
      <c r="C272" s="329">
        <v>6400</v>
      </c>
      <c r="D272" s="328" t="s">
        <v>1152</v>
      </c>
      <c r="E272" s="328" t="s">
        <v>1174</v>
      </c>
      <c r="F272" s="330" t="s">
        <v>66</v>
      </c>
      <c r="G272" s="331">
        <v>250</v>
      </c>
      <c r="H272" s="331">
        <v>319</v>
      </c>
      <c r="I272" s="332">
        <v>108</v>
      </c>
      <c r="J272" s="332">
        <v>315</v>
      </c>
    </row>
    <row r="273" spans="1:10">
      <c r="A273" s="328" t="s">
        <v>479</v>
      </c>
      <c r="B273" s="329">
        <v>1</v>
      </c>
      <c r="C273" s="329">
        <v>6400</v>
      </c>
      <c r="D273" s="328" t="s">
        <v>1152</v>
      </c>
      <c r="E273" s="328" t="s">
        <v>1378</v>
      </c>
      <c r="F273" s="330" t="s">
        <v>890</v>
      </c>
      <c r="G273" s="331">
        <v>21533</v>
      </c>
      <c r="H273" s="331">
        <v>22223</v>
      </c>
      <c r="I273" s="332">
        <v>29466</v>
      </c>
      <c r="J273" s="332">
        <v>19299</v>
      </c>
    </row>
    <row r="274" spans="1:10">
      <c r="A274" s="328" t="s">
        <v>479</v>
      </c>
      <c r="B274" s="329">
        <v>1</v>
      </c>
      <c r="C274" s="329">
        <v>6400</v>
      </c>
      <c r="D274" s="328" t="s">
        <v>1152</v>
      </c>
      <c r="E274" s="328" t="s">
        <v>1378</v>
      </c>
      <c r="F274" s="330" t="s">
        <v>890</v>
      </c>
      <c r="H274" s="332"/>
      <c r="I274" s="332"/>
      <c r="J274" s="332"/>
    </row>
    <row r="275" spans="1:10">
      <c r="A275" s="328" t="s">
        <v>491</v>
      </c>
      <c r="B275" s="329">
        <v>11</v>
      </c>
      <c r="C275" s="329">
        <v>6400</v>
      </c>
      <c r="D275" s="328" t="s">
        <v>1152</v>
      </c>
      <c r="E275" s="328" t="s">
        <v>1174</v>
      </c>
      <c r="F275" s="330" t="s">
        <v>65</v>
      </c>
      <c r="G275" s="331">
        <v>1109</v>
      </c>
      <c r="H275" s="331">
        <v>1022</v>
      </c>
      <c r="I275" s="332">
        <v>1077</v>
      </c>
      <c r="J275" s="332">
        <v>1096</v>
      </c>
    </row>
    <row r="276" spans="1:10">
      <c r="A276" s="328" t="s">
        <v>492</v>
      </c>
      <c r="B276" s="329">
        <v>1</v>
      </c>
      <c r="C276" s="329">
        <v>6400</v>
      </c>
      <c r="D276" s="328" t="s">
        <v>1152</v>
      </c>
      <c r="E276" s="328" t="s">
        <v>412</v>
      </c>
      <c r="F276" s="330" t="s">
        <v>593</v>
      </c>
      <c r="G276" s="331">
        <v>2265</v>
      </c>
      <c r="H276" s="331">
        <v>2362</v>
      </c>
      <c r="I276" s="332">
        <v>2364</v>
      </c>
      <c r="J276" s="332">
        <v>2397</v>
      </c>
    </row>
    <row r="277" spans="1:10">
      <c r="A277" s="328" t="s">
        <v>493</v>
      </c>
      <c r="B277" s="329">
        <v>1</v>
      </c>
      <c r="C277" s="329">
        <v>6400</v>
      </c>
      <c r="D277" s="328" t="s">
        <v>1302</v>
      </c>
      <c r="E277" s="328" t="s">
        <v>1152</v>
      </c>
      <c r="F277" s="330" t="s">
        <v>590</v>
      </c>
      <c r="G277" s="332"/>
      <c r="H277" s="331">
        <v>11178</v>
      </c>
      <c r="I277" s="332">
        <v>10350</v>
      </c>
      <c r="J277" s="332">
        <v>11149</v>
      </c>
    </row>
    <row r="278" spans="1:10">
      <c r="A278" s="328" t="s">
        <v>494</v>
      </c>
      <c r="B278" s="329">
        <v>12</v>
      </c>
      <c r="C278" s="329">
        <v>6400</v>
      </c>
      <c r="D278" s="328" t="s">
        <v>1302</v>
      </c>
      <c r="E278" s="328" t="s">
        <v>120</v>
      </c>
      <c r="F278" s="330" t="s">
        <v>91</v>
      </c>
      <c r="G278" s="331">
        <v>5764</v>
      </c>
      <c r="H278" s="332">
        <v>5795</v>
      </c>
      <c r="I278" s="332">
        <v>5765</v>
      </c>
      <c r="J278" s="332">
        <v>7240</v>
      </c>
    </row>
    <row r="279" spans="1:10">
      <c r="A279" s="328" t="s">
        <v>492</v>
      </c>
      <c r="B279" s="329">
        <v>20</v>
      </c>
      <c r="C279" s="329">
        <v>6400</v>
      </c>
      <c r="D279" s="328" t="s">
        <v>1152</v>
      </c>
      <c r="E279" s="328" t="s">
        <v>1174</v>
      </c>
      <c r="F279" s="330" t="s">
        <v>64</v>
      </c>
      <c r="G279" s="331">
        <v>34655</v>
      </c>
      <c r="H279" s="331">
        <v>37156</v>
      </c>
      <c r="I279" s="332">
        <v>3893</v>
      </c>
      <c r="J279" s="332">
        <v>3766</v>
      </c>
    </row>
    <row r="280" spans="1:10">
      <c r="A280" s="328" t="s">
        <v>478</v>
      </c>
      <c r="B280" s="329">
        <v>9</v>
      </c>
      <c r="C280" s="329">
        <v>6400</v>
      </c>
      <c r="D280" s="328" t="s">
        <v>1152</v>
      </c>
      <c r="E280" s="328" t="s">
        <v>1174</v>
      </c>
      <c r="F280" s="330" t="s">
        <v>69</v>
      </c>
      <c r="G280" s="332"/>
      <c r="I280" s="332">
        <v>36882</v>
      </c>
      <c r="J280" s="332">
        <v>34594</v>
      </c>
    </row>
    <row r="281" spans="1:10">
      <c r="A281" s="328" t="s">
        <v>452</v>
      </c>
      <c r="B281" s="329">
        <v>82</v>
      </c>
      <c r="C281" s="329">
        <v>6400</v>
      </c>
      <c r="D281" s="328" t="s">
        <v>1302</v>
      </c>
      <c r="E281" s="328" t="s">
        <v>955</v>
      </c>
      <c r="F281" s="330" t="s">
        <v>501</v>
      </c>
      <c r="G281" s="331">
        <v>7073</v>
      </c>
      <c r="H281" s="331">
        <v>6432</v>
      </c>
      <c r="I281" s="332">
        <v>6330</v>
      </c>
      <c r="J281" s="332">
        <v>5267</v>
      </c>
    </row>
    <row r="282" spans="1:10">
      <c r="A282" s="328" t="s">
        <v>495</v>
      </c>
      <c r="B282" s="329" t="s">
        <v>941</v>
      </c>
      <c r="C282" s="329">
        <v>6400</v>
      </c>
      <c r="D282" s="328" t="s">
        <v>939</v>
      </c>
      <c r="E282" s="328" t="s">
        <v>411</v>
      </c>
      <c r="F282" s="330" t="s">
        <v>940</v>
      </c>
      <c r="G282" s="331">
        <v>32399</v>
      </c>
      <c r="H282" s="331">
        <v>30267</v>
      </c>
      <c r="I282" s="332">
        <v>26406</v>
      </c>
      <c r="J282" s="332">
        <v>26394</v>
      </c>
    </row>
    <row r="283" spans="1:10">
      <c r="A283" s="328" t="s">
        <v>652</v>
      </c>
      <c r="B283" s="329">
        <v>2</v>
      </c>
      <c r="C283" s="329">
        <v>6400</v>
      </c>
      <c r="D283" s="328" t="s">
        <v>956</v>
      </c>
      <c r="E283" s="328" t="s">
        <v>1302</v>
      </c>
      <c r="F283" s="330" t="s">
        <v>82</v>
      </c>
      <c r="G283" s="331">
        <v>117595</v>
      </c>
      <c r="H283" s="331">
        <v>114825</v>
      </c>
      <c r="I283" s="332">
        <v>120172</v>
      </c>
      <c r="J283" s="332">
        <v>111427</v>
      </c>
    </row>
    <row r="284" spans="1:10">
      <c r="A284" s="328" t="s">
        <v>652</v>
      </c>
      <c r="B284" s="329">
        <v>2</v>
      </c>
      <c r="C284" s="329">
        <v>6400</v>
      </c>
      <c r="D284" s="328" t="s">
        <v>956</v>
      </c>
      <c r="E284" s="328" t="s">
        <v>1302</v>
      </c>
      <c r="F284" s="330" t="s">
        <v>82</v>
      </c>
      <c r="H284" s="332"/>
      <c r="I284" s="332"/>
      <c r="J284" s="332"/>
    </row>
    <row r="285" spans="1:10">
      <c r="A285" s="328" t="s">
        <v>652</v>
      </c>
      <c r="B285" s="329">
        <v>2</v>
      </c>
      <c r="C285" s="329">
        <v>6400</v>
      </c>
      <c r="D285" s="328" t="s">
        <v>1152</v>
      </c>
      <c r="E285" s="328" t="s">
        <v>1174</v>
      </c>
      <c r="F285" s="330" t="s">
        <v>67</v>
      </c>
      <c r="G285" s="331">
        <v>2012</v>
      </c>
      <c r="H285" s="331">
        <v>2829</v>
      </c>
      <c r="I285" s="332">
        <v>858</v>
      </c>
      <c r="J285" s="332">
        <v>739</v>
      </c>
    </row>
    <row r="286" spans="1:10">
      <c r="A286" s="328" t="s">
        <v>652</v>
      </c>
      <c r="B286" s="329">
        <v>2</v>
      </c>
      <c r="C286" s="329">
        <v>6400</v>
      </c>
      <c r="D286" s="328" t="s">
        <v>1152</v>
      </c>
      <c r="E286" s="328" t="s">
        <v>1174</v>
      </c>
      <c r="F286" s="330" t="s">
        <v>67</v>
      </c>
      <c r="G286" s="331">
        <v>1306</v>
      </c>
      <c r="H286" s="331">
        <v>2408</v>
      </c>
      <c r="I286" s="332">
        <v>466</v>
      </c>
      <c r="J286" s="332">
        <v>435</v>
      </c>
    </row>
    <row r="287" spans="1:10">
      <c r="A287" s="328" t="s">
        <v>480</v>
      </c>
      <c r="B287" s="329">
        <v>92</v>
      </c>
      <c r="C287" s="329">
        <v>6400</v>
      </c>
      <c r="D287" s="328" t="s">
        <v>957</v>
      </c>
      <c r="E287" s="328" t="s">
        <v>1302</v>
      </c>
      <c r="F287" s="330" t="s">
        <v>1400</v>
      </c>
      <c r="G287" s="331">
        <v>90529</v>
      </c>
      <c r="H287" s="331">
        <v>240609</v>
      </c>
      <c r="I287" s="332">
        <v>26795</v>
      </c>
      <c r="J287" s="332">
        <v>28719</v>
      </c>
    </row>
    <row r="288" spans="1:10">
      <c r="A288" s="328" t="s">
        <v>1287</v>
      </c>
      <c r="B288" s="329">
        <v>999</v>
      </c>
      <c r="C288" s="329">
        <v>6400</v>
      </c>
      <c r="D288" s="328" t="s">
        <v>1302</v>
      </c>
      <c r="E288" s="328" t="s">
        <v>1100</v>
      </c>
      <c r="F288" s="330" t="s">
        <v>892</v>
      </c>
      <c r="G288" s="331">
        <v>10271</v>
      </c>
      <c r="H288" s="331">
        <v>7573</v>
      </c>
      <c r="I288" s="332">
        <v>4360</v>
      </c>
      <c r="J288" s="332">
        <v>2976</v>
      </c>
    </row>
    <row r="289" spans="1:10">
      <c r="A289" s="328" t="s">
        <v>811</v>
      </c>
      <c r="B289" s="329">
        <v>2</v>
      </c>
      <c r="C289" s="329">
        <v>6400</v>
      </c>
      <c r="D289" s="328" t="s">
        <v>1302</v>
      </c>
      <c r="E289" s="328" t="s">
        <v>958</v>
      </c>
      <c r="F289" s="330" t="s">
        <v>99</v>
      </c>
      <c r="G289" s="331">
        <v>871</v>
      </c>
      <c r="H289" s="331">
        <v>1158</v>
      </c>
      <c r="I289" s="332">
        <v>1143</v>
      </c>
      <c r="J289" s="332">
        <v>1264</v>
      </c>
    </row>
    <row r="290" spans="1:10">
      <c r="A290" s="328" t="s">
        <v>1040</v>
      </c>
      <c r="B290" s="329">
        <v>2</v>
      </c>
      <c r="C290" s="329">
        <v>6400</v>
      </c>
      <c r="D290" s="328" t="s">
        <v>1152</v>
      </c>
      <c r="E290" s="328" t="s">
        <v>1017</v>
      </c>
      <c r="F290" s="330" t="s">
        <v>1404</v>
      </c>
      <c r="G290" s="331">
        <v>32096</v>
      </c>
      <c r="H290" s="331">
        <v>28530</v>
      </c>
      <c r="I290" s="332">
        <v>29706</v>
      </c>
      <c r="J290" s="332">
        <v>27911</v>
      </c>
    </row>
    <row r="291" spans="1:10">
      <c r="A291" s="328" t="s">
        <v>1040</v>
      </c>
      <c r="B291" s="329">
        <v>2</v>
      </c>
      <c r="C291" s="329">
        <v>6400</v>
      </c>
      <c r="D291" s="328" t="s">
        <v>1152</v>
      </c>
      <c r="E291" s="328" t="s">
        <v>1017</v>
      </c>
      <c r="F291" s="330" t="s">
        <v>1404</v>
      </c>
      <c r="H291" s="332"/>
      <c r="I291" s="332">
        <v>10354</v>
      </c>
      <c r="J291" s="332">
        <v>9175</v>
      </c>
    </row>
    <row r="292" spans="1:10">
      <c r="A292" s="328" t="s">
        <v>497</v>
      </c>
      <c r="B292" s="329">
        <v>16</v>
      </c>
      <c r="C292" s="329">
        <v>6400</v>
      </c>
      <c r="D292" s="328" t="s">
        <v>1018</v>
      </c>
      <c r="E292" s="328" t="s">
        <v>1019</v>
      </c>
      <c r="F292" s="330" t="s">
        <v>77</v>
      </c>
      <c r="G292" s="331">
        <v>1121</v>
      </c>
      <c r="H292" s="331">
        <v>1170</v>
      </c>
      <c r="I292" s="332">
        <v>1111</v>
      </c>
      <c r="J292" s="332">
        <v>1504</v>
      </c>
    </row>
    <row r="293" spans="1:10">
      <c r="A293" s="328" t="s">
        <v>498</v>
      </c>
      <c r="B293" s="329">
        <v>3</v>
      </c>
      <c r="C293" s="329">
        <v>6400</v>
      </c>
      <c r="D293" s="328" t="s">
        <v>1302</v>
      </c>
      <c r="E293" s="328" t="s">
        <v>959</v>
      </c>
      <c r="F293" s="330" t="s">
        <v>179</v>
      </c>
      <c r="G293" s="331">
        <v>22602</v>
      </c>
      <c r="H293" s="331">
        <v>23686</v>
      </c>
      <c r="I293" s="332">
        <v>27865</v>
      </c>
      <c r="J293" s="332">
        <v>25065</v>
      </c>
    </row>
    <row r="294" spans="1:10">
      <c r="A294" s="328" t="s">
        <v>477</v>
      </c>
      <c r="B294" s="329">
        <v>3</v>
      </c>
      <c r="C294" s="329">
        <v>6400</v>
      </c>
      <c r="D294" s="328" t="s">
        <v>1302</v>
      </c>
      <c r="E294" s="328" t="s">
        <v>1177</v>
      </c>
      <c r="F294" s="330" t="s">
        <v>110</v>
      </c>
      <c r="G294" s="331">
        <v>306</v>
      </c>
      <c r="H294" s="331">
        <v>408</v>
      </c>
      <c r="I294" s="332">
        <v>299</v>
      </c>
      <c r="J294" s="332">
        <v>289</v>
      </c>
    </row>
    <row r="295" spans="1:10">
      <c r="A295" s="328" t="s">
        <v>477</v>
      </c>
      <c r="B295" s="329">
        <v>3</v>
      </c>
      <c r="C295" s="329">
        <v>6400</v>
      </c>
      <c r="D295" s="328" t="s">
        <v>1302</v>
      </c>
      <c r="E295" s="328" t="s">
        <v>1177</v>
      </c>
      <c r="F295" s="330" t="s">
        <v>110</v>
      </c>
      <c r="G295" s="331">
        <v>1590</v>
      </c>
      <c r="H295" s="331">
        <v>1520</v>
      </c>
      <c r="I295" s="332">
        <v>1624</v>
      </c>
      <c r="J295" s="332">
        <v>1818</v>
      </c>
    </row>
    <row r="296" spans="1:10">
      <c r="A296" s="328" t="s">
        <v>811</v>
      </c>
      <c r="B296" s="329">
        <v>3</v>
      </c>
      <c r="C296" s="329">
        <v>6400</v>
      </c>
      <c r="D296" s="328" t="s">
        <v>1302</v>
      </c>
      <c r="E296" s="328" t="s">
        <v>1177</v>
      </c>
      <c r="F296" s="330" t="s">
        <v>106</v>
      </c>
      <c r="G296" s="331">
        <v>3493</v>
      </c>
      <c r="H296" s="331">
        <v>3084</v>
      </c>
      <c r="I296" s="332">
        <v>3100</v>
      </c>
      <c r="J296" s="332">
        <v>2887</v>
      </c>
    </row>
    <row r="297" spans="1:10">
      <c r="A297" s="328" t="s">
        <v>811</v>
      </c>
      <c r="B297" s="329">
        <v>3</v>
      </c>
      <c r="C297" s="329">
        <v>6400</v>
      </c>
      <c r="D297" s="328" t="s">
        <v>1302</v>
      </c>
      <c r="E297" s="328" t="s">
        <v>1177</v>
      </c>
      <c r="F297" s="330" t="s">
        <v>106</v>
      </c>
      <c r="G297" s="331">
        <v>756</v>
      </c>
      <c r="H297" s="331">
        <v>855</v>
      </c>
      <c r="I297" s="332">
        <v>870</v>
      </c>
      <c r="J297" s="332">
        <v>855</v>
      </c>
    </row>
    <row r="298" spans="1:10">
      <c r="A298" s="328" t="s">
        <v>652</v>
      </c>
      <c r="B298" s="329">
        <v>16</v>
      </c>
      <c r="C298" s="329">
        <v>6400</v>
      </c>
      <c r="D298" s="328" t="s">
        <v>1302</v>
      </c>
      <c r="E298" s="328" t="s">
        <v>960</v>
      </c>
      <c r="F298" s="330" t="s">
        <v>594</v>
      </c>
      <c r="G298" s="331">
        <v>53278</v>
      </c>
      <c r="H298" s="331">
        <v>64964</v>
      </c>
      <c r="I298" s="332">
        <v>67690</v>
      </c>
      <c r="J298" s="332">
        <v>41314</v>
      </c>
    </row>
    <row r="299" spans="1:10">
      <c r="A299" s="328" t="s">
        <v>762</v>
      </c>
      <c r="B299" s="329">
        <v>76</v>
      </c>
      <c r="C299" s="329">
        <v>6400</v>
      </c>
      <c r="D299" s="328" t="s">
        <v>1302</v>
      </c>
      <c r="E299" s="328" t="s">
        <v>961</v>
      </c>
      <c r="F299" s="330" t="s">
        <v>87</v>
      </c>
      <c r="G299" s="331">
        <v>6046</v>
      </c>
      <c r="H299" s="331">
        <v>6438</v>
      </c>
      <c r="I299" s="332">
        <v>6245</v>
      </c>
      <c r="J299" s="332">
        <v>6438</v>
      </c>
    </row>
    <row r="300" spans="1:10">
      <c r="A300" s="328" t="s">
        <v>762</v>
      </c>
      <c r="B300" s="329">
        <v>76</v>
      </c>
      <c r="C300" s="329">
        <v>6400</v>
      </c>
      <c r="D300" s="328" t="s">
        <v>1302</v>
      </c>
      <c r="E300" s="328" t="s">
        <v>962</v>
      </c>
      <c r="F300" s="330" t="s">
        <v>945</v>
      </c>
      <c r="G300" s="331">
        <v>6934</v>
      </c>
      <c r="H300" s="331">
        <v>7306</v>
      </c>
      <c r="I300" s="332">
        <v>9103</v>
      </c>
      <c r="J300" s="332">
        <v>7306</v>
      </c>
    </row>
    <row r="301" spans="1:10">
      <c r="A301" s="328" t="s">
        <v>811</v>
      </c>
      <c r="B301" s="329">
        <v>90</v>
      </c>
      <c r="C301" s="329">
        <v>6400</v>
      </c>
      <c r="D301" s="328" t="s">
        <v>1302</v>
      </c>
      <c r="E301" s="328" t="s">
        <v>154</v>
      </c>
      <c r="F301" s="330" t="s">
        <v>76</v>
      </c>
      <c r="G301" s="331">
        <v>3</v>
      </c>
      <c r="H301" s="331">
        <v>0</v>
      </c>
      <c r="I301" s="332">
        <v>67</v>
      </c>
      <c r="J301" s="332">
        <v>3</v>
      </c>
    </row>
    <row r="302" spans="1:10">
      <c r="A302" s="328" t="s">
        <v>471</v>
      </c>
      <c r="B302" s="329">
        <v>130</v>
      </c>
      <c r="C302" s="329">
        <v>6400</v>
      </c>
      <c r="D302" s="328" t="s">
        <v>1302</v>
      </c>
      <c r="E302" s="328" t="s">
        <v>897</v>
      </c>
      <c r="F302" s="330" t="s">
        <v>92</v>
      </c>
      <c r="G302" s="331">
        <v>8784</v>
      </c>
      <c r="H302" s="331">
        <v>8547</v>
      </c>
      <c r="I302" s="332">
        <v>10577</v>
      </c>
      <c r="J302" s="332">
        <v>9685</v>
      </c>
    </row>
    <row r="303" spans="1:10">
      <c r="A303" s="328" t="s">
        <v>126</v>
      </c>
      <c r="B303" s="329">
        <v>1</v>
      </c>
      <c r="C303" s="329">
        <v>6400</v>
      </c>
      <c r="D303" s="328" t="s">
        <v>1302</v>
      </c>
      <c r="E303" s="328" t="s">
        <v>897</v>
      </c>
      <c r="F303" s="330" t="s">
        <v>93</v>
      </c>
      <c r="G303" s="331">
        <v>4717</v>
      </c>
      <c r="H303" s="331">
        <v>5246</v>
      </c>
      <c r="I303" s="332">
        <v>5713</v>
      </c>
      <c r="J303" s="332">
        <v>6469</v>
      </c>
    </row>
    <row r="304" spans="1:10">
      <c r="A304" s="328" t="s">
        <v>127</v>
      </c>
      <c r="B304" s="329">
        <v>1</v>
      </c>
      <c r="C304" s="329">
        <v>6400</v>
      </c>
      <c r="D304" s="328" t="s">
        <v>1302</v>
      </c>
      <c r="E304" s="328" t="s">
        <v>898</v>
      </c>
      <c r="F304" s="330" t="s">
        <v>879</v>
      </c>
      <c r="G304" s="331">
        <v>21217</v>
      </c>
      <c r="H304" s="331">
        <v>20126</v>
      </c>
      <c r="I304" s="332">
        <v>23873</v>
      </c>
      <c r="J304" s="332">
        <v>25054</v>
      </c>
    </row>
    <row r="305" spans="1:10">
      <c r="A305" s="328" t="s">
        <v>128</v>
      </c>
      <c r="B305" s="329">
        <v>4</v>
      </c>
      <c r="C305" s="329">
        <v>6400</v>
      </c>
      <c r="D305" s="328" t="s">
        <v>1302</v>
      </c>
      <c r="E305" s="328" t="s">
        <v>897</v>
      </c>
      <c r="F305" s="330" t="s">
        <v>96</v>
      </c>
      <c r="G305" s="331"/>
      <c r="H305" s="173"/>
      <c r="I305" s="332">
        <v>7756</v>
      </c>
      <c r="J305" s="332">
        <v>8265</v>
      </c>
    </row>
    <row r="306" spans="1:10">
      <c r="A306" s="328" t="s">
        <v>128</v>
      </c>
      <c r="B306" s="329">
        <v>6</v>
      </c>
      <c r="C306" s="329">
        <v>6400</v>
      </c>
      <c r="D306" s="328" t="s">
        <v>1302</v>
      </c>
      <c r="E306" s="328" t="s">
        <v>899</v>
      </c>
      <c r="F306" s="330" t="s">
        <v>95</v>
      </c>
      <c r="G306" s="331"/>
      <c r="H306" s="331"/>
      <c r="I306" s="332">
        <v>14964</v>
      </c>
      <c r="J306" s="332">
        <v>15234</v>
      </c>
    </row>
    <row r="307" spans="1:10">
      <c r="A307" s="328" t="s">
        <v>128</v>
      </c>
      <c r="B307" s="329">
        <v>4</v>
      </c>
      <c r="C307" s="329">
        <v>6400</v>
      </c>
      <c r="D307" s="328" t="s">
        <v>1302</v>
      </c>
      <c r="E307" s="328" t="s">
        <v>897</v>
      </c>
      <c r="F307" s="330" t="s">
        <v>96</v>
      </c>
      <c r="G307" s="331">
        <v>7217</v>
      </c>
      <c r="H307" s="331">
        <v>8265</v>
      </c>
      <c r="I307" s="332"/>
      <c r="J307" s="332"/>
    </row>
    <row r="308" spans="1:10">
      <c r="A308" s="328" t="s">
        <v>128</v>
      </c>
      <c r="B308" s="329">
        <v>6</v>
      </c>
      <c r="C308" s="329">
        <v>6400</v>
      </c>
      <c r="D308" s="328" t="s">
        <v>1302</v>
      </c>
      <c r="E308" s="328" t="s">
        <v>899</v>
      </c>
      <c r="F308" s="330" t="s">
        <v>95</v>
      </c>
      <c r="G308" s="331">
        <v>8738</v>
      </c>
      <c r="H308" s="331">
        <v>11495</v>
      </c>
      <c r="I308" s="332"/>
      <c r="J308" s="332"/>
    </row>
    <row r="309" spans="1:10">
      <c r="A309" s="328" t="s">
        <v>485</v>
      </c>
      <c r="B309" s="329">
        <v>10</v>
      </c>
      <c r="C309" s="329">
        <v>6400</v>
      </c>
      <c r="D309" s="328" t="s">
        <v>1302</v>
      </c>
      <c r="E309" s="328" t="s">
        <v>900</v>
      </c>
      <c r="F309" s="330" t="s">
        <v>559</v>
      </c>
      <c r="G309" s="331">
        <v>330118</v>
      </c>
      <c r="H309" s="331">
        <v>470842</v>
      </c>
      <c r="I309" s="332">
        <v>470842</v>
      </c>
      <c r="J309" s="332">
        <v>497044</v>
      </c>
    </row>
    <row r="310" spans="1:10">
      <c r="A310" s="328" t="s">
        <v>485</v>
      </c>
      <c r="B310" s="329">
        <v>10</v>
      </c>
      <c r="C310" s="329">
        <v>6400</v>
      </c>
      <c r="D310" s="328" t="s">
        <v>1302</v>
      </c>
      <c r="E310" s="328" t="s">
        <v>900</v>
      </c>
      <c r="F310" s="330" t="s">
        <v>559</v>
      </c>
      <c r="G310" s="332"/>
      <c r="I310" s="332"/>
      <c r="J310" s="332"/>
    </row>
    <row r="311" spans="1:10">
      <c r="A311" s="328" t="s">
        <v>129</v>
      </c>
      <c r="B311" s="329">
        <v>45</v>
      </c>
      <c r="C311" s="329">
        <v>6400</v>
      </c>
      <c r="D311" s="328" t="s">
        <v>1302</v>
      </c>
      <c r="E311" s="328" t="s">
        <v>901</v>
      </c>
      <c r="F311" s="330" t="s">
        <v>882</v>
      </c>
      <c r="G311" s="332"/>
      <c r="H311" s="332"/>
      <c r="I311" s="332"/>
      <c r="J311" s="332"/>
    </row>
    <row r="312" spans="1:10">
      <c r="A312" s="328" t="s">
        <v>129</v>
      </c>
      <c r="B312" s="329">
        <v>45</v>
      </c>
      <c r="C312" s="329">
        <v>6400</v>
      </c>
      <c r="D312" s="328" t="s">
        <v>1302</v>
      </c>
      <c r="E312" s="328" t="s">
        <v>901</v>
      </c>
      <c r="F312" s="330" t="s">
        <v>882</v>
      </c>
      <c r="G312" s="331">
        <v>14909</v>
      </c>
      <c r="H312" s="331">
        <v>14445</v>
      </c>
      <c r="I312" s="332">
        <v>16284</v>
      </c>
      <c r="J312" s="332">
        <v>15155</v>
      </c>
    </row>
    <row r="313" spans="1:10">
      <c r="A313" s="328" t="s">
        <v>486</v>
      </c>
      <c r="B313" s="329">
        <v>26</v>
      </c>
      <c r="C313" s="329">
        <v>6400</v>
      </c>
      <c r="D313" s="328" t="s">
        <v>1152</v>
      </c>
      <c r="E313" s="328" t="s">
        <v>1021</v>
      </c>
      <c r="F313" s="335" t="s">
        <v>998</v>
      </c>
      <c r="G313" s="331">
        <v>45364</v>
      </c>
      <c r="H313" s="331">
        <v>32759</v>
      </c>
      <c r="I313" s="332">
        <v>25649</v>
      </c>
      <c r="J313" s="332">
        <v>32759</v>
      </c>
    </row>
    <row r="314" spans="1:10">
      <c r="A314" s="328" t="s">
        <v>130</v>
      </c>
      <c r="B314" s="329">
        <v>4</v>
      </c>
      <c r="C314" s="329">
        <v>6400</v>
      </c>
      <c r="D314" s="328" t="s">
        <v>1302</v>
      </c>
      <c r="E314" s="328" t="s">
        <v>902</v>
      </c>
      <c r="F314" s="330" t="s">
        <v>878</v>
      </c>
      <c r="G314" s="331">
        <v>10236</v>
      </c>
      <c r="H314" s="331">
        <v>10897</v>
      </c>
      <c r="I314" s="332">
        <v>13311</v>
      </c>
      <c r="J314" s="332">
        <v>13992</v>
      </c>
    </row>
    <row r="315" spans="1:10">
      <c r="A315" s="328" t="s">
        <v>131</v>
      </c>
      <c r="B315" s="329">
        <v>66</v>
      </c>
      <c r="C315" s="329">
        <v>6400</v>
      </c>
      <c r="D315" s="328" t="s">
        <v>1302</v>
      </c>
      <c r="E315" s="328" t="s">
        <v>897</v>
      </c>
      <c r="F315" s="330" t="s">
        <v>94</v>
      </c>
      <c r="G315" s="331">
        <v>11249</v>
      </c>
      <c r="H315" s="331">
        <v>9943</v>
      </c>
      <c r="I315" s="332">
        <v>15942</v>
      </c>
      <c r="J315" s="332">
        <v>15514</v>
      </c>
    </row>
    <row r="316" spans="1:10">
      <c r="A316" s="328" t="s">
        <v>452</v>
      </c>
      <c r="B316" s="329">
        <v>124</v>
      </c>
      <c r="C316" s="329">
        <v>6400</v>
      </c>
      <c r="D316" s="328" t="s">
        <v>1100</v>
      </c>
      <c r="E316" s="328" t="s">
        <v>1302</v>
      </c>
      <c r="F316" s="330" t="s">
        <v>501</v>
      </c>
      <c r="G316" s="331">
        <v>8325</v>
      </c>
      <c r="H316" s="331">
        <v>5440</v>
      </c>
      <c r="I316" s="332">
        <v>6090</v>
      </c>
      <c r="J316" s="332">
        <v>7837</v>
      </c>
    </row>
    <row r="317" spans="1:10">
      <c r="A317" s="328" t="s">
        <v>1287</v>
      </c>
      <c r="B317" s="329">
        <v>29</v>
      </c>
      <c r="C317" s="329">
        <v>6400</v>
      </c>
      <c r="D317" s="328" t="s">
        <v>410</v>
      </c>
      <c r="E317" s="328" t="s">
        <v>1302</v>
      </c>
      <c r="F317" s="330" t="s">
        <v>891</v>
      </c>
      <c r="G317" s="331">
        <v>4098</v>
      </c>
      <c r="H317" s="331">
        <v>8671</v>
      </c>
      <c r="I317" s="332">
        <v>5293</v>
      </c>
      <c r="J317" s="332">
        <v>5501</v>
      </c>
    </row>
    <row r="318" spans="1:10">
      <c r="A318" s="328" t="s">
        <v>1057</v>
      </c>
      <c r="B318" s="329">
        <v>74</v>
      </c>
      <c r="C318" s="329">
        <v>6400</v>
      </c>
      <c r="D318" s="328" t="s">
        <v>1302</v>
      </c>
      <c r="E318" s="328" t="s">
        <v>903</v>
      </c>
      <c r="F318" s="330" t="s">
        <v>570</v>
      </c>
      <c r="G318" s="331">
        <v>12058</v>
      </c>
      <c r="H318" s="331">
        <v>11968</v>
      </c>
      <c r="I318" s="332">
        <v>13357</v>
      </c>
      <c r="J318" s="332">
        <v>13708</v>
      </c>
    </row>
    <row r="319" spans="1:10">
      <c r="A319" s="328" t="s">
        <v>1287</v>
      </c>
      <c r="B319" s="329">
        <v>13</v>
      </c>
      <c r="C319" s="329">
        <v>6400</v>
      </c>
      <c r="D319" s="328" t="s">
        <v>1302</v>
      </c>
      <c r="E319" s="328" t="s">
        <v>904</v>
      </c>
      <c r="F319" s="330" t="s">
        <v>1403</v>
      </c>
      <c r="G319" s="331">
        <v>22603</v>
      </c>
      <c r="H319" s="331">
        <v>15045</v>
      </c>
      <c r="I319" s="332">
        <v>31952</v>
      </c>
      <c r="J319" s="332">
        <v>39808</v>
      </c>
    </row>
    <row r="320" spans="1:10">
      <c r="A320" s="328" t="s">
        <v>132</v>
      </c>
      <c r="B320" s="329">
        <v>2</v>
      </c>
      <c r="C320" s="329">
        <v>6430</v>
      </c>
      <c r="D320" s="328" t="s">
        <v>1302</v>
      </c>
      <c r="E320" s="328" t="s">
        <v>1152</v>
      </c>
      <c r="F320" s="330" t="s">
        <v>176</v>
      </c>
      <c r="G320" s="332"/>
      <c r="I320" s="332">
        <v>31484</v>
      </c>
      <c r="J320" s="332">
        <v>34375</v>
      </c>
    </row>
    <row r="321" spans="1:10">
      <c r="A321" s="328" t="s">
        <v>132</v>
      </c>
      <c r="B321" s="329">
        <v>2</v>
      </c>
      <c r="C321" s="329">
        <v>6430</v>
      </c>
      <c r="D321" s="328" t="s">
        <v>1302</v>
      </c>
      <c r="E321" s="328" t="s">
        <v>1152</v>
      </c>
      <c r="F321" s="330" t="s">
        <v>176</v>
      </c>
      <c r="G321" s="331">
        <v>76055</v>
      </c>
      <c r="H321" s="331">
        <v>72598</v>
      </c>
      <c r="I321" s="332">
        <v>39902</v>
      </c>
      <c r="J321" s="332">
        <v>42529</v>
      </c>
    </row>
    <row r="322" spans="1:10">
      <c r="A322" s="328" t="s">
        <v>799</v>
      </c>
      <c r="B322" s="329">
        <v>2</v>
      </c>
      <c r="C322" s="329">
        <v>6430</v>
      </c>
      <c r="D322" s="328" t="s">
        <v>1302</v>
      </c>
      <c r="E322" s="328" t="s">
        <v>1339</v>
      </c>
      <c r="F322" s="330" t="s">
        <v>834</v>
      </c>
      <c r="G322" s="331">
        <v>37165</v>
      </c>
      <c r="H322" s="331">
        <v>40391</v>
      </c>
      <c r="I322" s="332">
        <v>38433</v>
      </c>
      <c r="J322" s="332">
        <v>47567</v>
      </c>
    </row>
    <row r="323" spans="1:10">
      <c r="A323" s="328" t="s">
        <v>742</v>
      </c>
      <c r="B323" s="329">
        <v>1</v>
      </c>
      <c r="C323" s="329">
        <v>6400</v>
      </c>
      <c r="D323" s="328" t="s">
        <v>1302</v>
      </c>
      <c r="E323" s="328" t="s">
        <v>905</v>
      </c>
      <c r="F323" s="330" t="s">
        <v>105</v>
      </c>
      <c r="G323" s="331">
        <v>19748</v>
      </c>
      <c r="H323" s="331">
        <v>17597</v>
      </c>
      <c r="I323" s="332">
        <v>28708</v>
      </c>
      <c r="J323" s="332">
        <v>29868</v>
      </c>
    </row>
    <row r="324" spans="1:10">
      <c r="A324" s="328" t="s">
        <v>1297</v>
      </c>
      <c r="B324" s="329">
        <v>5</v>
      </c>
      <c r="C324" s="329">
        <v>6440</v>
      </c>
      <c r="D324" s="328" t="s">
        <v>1022</v>
      </c>
      <c r="E324" s="328" t="s">
        <v>1023</v>
      </c>
      <c r="F324" s="330" t="s">
        <v>822</v>
      </c>
      <c r="G324" s="331">
        <v>10849</v>
      </c>
      <c r="H324" s="331">
        <v>11442</v>
      </c>
      <c r="I324" s="332">
        <v>12702</v>
      </c>
      <c r="J324" s="332">
        <v>13407</v>
      </c>
    </row>
    <row r="325" spans="1:10">
      <c r="A325" s="328" t="s">
        <v>1413</v>
      </c>
      <c r="B325" s="329">
        <v>10</v>
      </c>
      <c r="C325" s="329">
        <v>6300</v>
      </c>
      <c r="D325" s="328" t="s">
        <v>1405</v>
      </c>
      <c r="E325" s="328" t="s">
        <v>1414</v>
      </c>
      <c r="F325" s="330" t="s">
        <v>1415</v>
      </c>
      <c r="G325" s="331">
        <v>5953</v>
      </c>
      <c r="H325" s="331">
        <v>5900</v>
      </c>
      <c r="I325" s="332">
        <v>5666</v>
      </c>
      <c r="J325" s="332">
        <v>6300</v>
      </c>
    </row>
    <row r="326" spans="1:10">
      <c r="A326" s="328" t="s">
        <v>811</v>
      </c>
      <c r="B326" s="329">
        <v>90</v>
      </c>
      <c r="C326" s="329">
        <v>6400</v>
      </c>
      <c r="D326" s="328" t="s">
        <v>1344</v>
      </c>
      <c r="E326" s="328" t="s">
        <v>1345</v>
      </c>
      <c r="F326" s="330" t="s">
        <v>75</v>
      </c>
      <c r="G326" s="331">
        <v>1753</v>
      </c>
      <c r="H326" s="331">
        <v>1751</v>
      </c>
      <c r="I326" s="332">
        <v>1762</v>
      </c>
      <c r="J326" s="332">
        <v>3405</v>
      </c>
    </row>
    <row r="327" spans="1:10">
      <c r="G327" s="336">
        <f>SUM(G3:G326)</f>
        <v>10824468</v>
      </c>
      <c r="H327" s="336">
        <f>SUM(H3:H326)</f>
        <v>11078891</v>
      </c>
      <c r="I327" s="336">
        <f>SUM(I3:I326)</f>
        <v>11612829</v>
      </c>
      <c r="J327" s="336">
        <f>SUM(J3:J326)</f>
        <v>11787973</v>
      </c>
    </row>
    <row r="328" spans="1:10">
      <c r="G328" s="332"/>
      <c r="H328" s="332"/>
    </row>
    <row r="329" spans="1:10">
      <c r="G329" s="332"/>
      <c r="H329" s="332"/>
    </row>
    <row r="331" spans="1:10">
      <c r="G331" s="219">
        <f>G327-J327</f>
        <v>-963505</v>
      </c>
    </row>
  </sheetData>
  <mergeCells count="1">
    <mergeCell ref="G1:J1"/>
  </mergeCells>
  <phoneticPr fontId="6" type="noConversion"/>
  <pageMargins left="0" right="0" top="0.98425196850393704" bottom="0.98425196850393704" header="0" footer="0"/>
  <pageSetup paperSize="9" scale="9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5"/>
  <sheetViews>
    <sheetView zoomScale="85" zoomScaleNormal="75" workbookViewId="0">
      <pane ySplit="1" topLeftCell="A45" activePane="bottomLeft" state="frozen"/>
      <selection activeCell="D1" sqref="D1"/>
      <selection pane="bottomLeft" activeCell="A50" sqref="A50"/>
    </sheetView>
  </sheetViews>
  <sheetFormatPr defaultRowHeight="12.75"/>
  <cols>
    <col min="1" max="1" width="47.7109375" bestFit="1" customWidth="1"/>
    <col min="2" max="2" width="17.5703125" customWidth="1"/>
    <col min="3" max="3" width="7" style="23" customWidth="1"/>
    <col min="4" max="4" width="8.7109375" bestFit="1" customWidth="1"/>
    <col min="5" max="5" width="25.7109375" style="8" customWidth="1"/>
    <col min="6" max="6" width="11.5703125" style="273" customWidth="1"/>
    <col min="7" max="7" width="11.140625" style="10" customWidth="1"/>
    <col min="8" max="8" width="17.140625" style="18" customWidth="1"/>
    <col min="9" max="9" width="16.28515625" style="19" customWidth="1"/>
    <col min="10" max="10" width="17.140625" customWidth="1"/>
    <col min="11" max="11" width="17.140625" style="37" customWidth="1"/>
    <col min="13" max="13" width="14.85546875" style="253" customWidth="1"/>
    <col min="14" max="14" width="13" customWidth="1"/>
    <col min="15" max="15" width="13.5703125" customWidth="1"/>
    <col min="16" max="16" width="13.42578125" customWidth="1"/>
    <col min="17" max="17" width="11.5703125" customWidth="1"/>
    <col min="18" max="18" width="11.5703125" style="253" customWidth="1"/>
    <col min="19" max="19" width="13.5703125" customWidth="1"/>
    <col min="20" max="20" width="12.85546875" customWidth="1"/>
    <col min="21" max="22" width="13.28515625" customWidth="1"/>
  </cols>
  <sheetData>
    <row r="1" spans="1:22" s="4" customFormat="1" ht="32.450000000000003" customHeight="1">
      <c r="A1" s="141" t="s">
        <v>1300</v>
      </c>
      <c r="B1" s="141" t="s">
        <v>1267</v>
      </c>
      <c r="C1" s="142" t="s">
        <v>1268</v>
      </c>
      <c r="D1" s="143" t="s">
        <v>1269</v>
      </c>
      <c r="E1" s="144" t="s">
        <v>1301</v>
      </c>
      <c r="F1" s="262" t="s">
        <v>1092</v>
      </c>
      <c r="G1" s="145" t="s">
        <v>675</v>
      </c>
      <c r="H1" s="215" t="s">
        <v>1515</v>
      </c>
      <c r="I1" s="215" t="s">
        <v>1513</v>
      </c>
      <c r="J1" s="215" t="s">
        <v>1514</v>
      </c>
      <c r="K1" s="216" t="s">
        <v>1309</v>
      </c>
      <c r="L1" s="143" t="s">
        <v>895</v>
      </c>
      <c r="M1" s="254" t="s">
        <v>893</v>
      </c>
      <c r="N1" s="215" t="s">
        <v>1508</v>
      </c>
      <c r="O1" s="215" t="s">
        <v>1509</v>
      </c>
      <c r="P1" s="215" t="s">
        <v>1510</v>
      </c>
      <c r="Q1" s="216" t="s">
        <v>1511</v>
      </c>
      <c r="R1" s="242"/>
      <c r="S1" s="215" t="s">
        <v>1516</v>
      </c>
      <c r="T1" s="215" t="s">
        <v>1517</v>
      </c>
      <c r="U1" s="215" t="s">
        <v>1518</v>
      </c>
      <c r="V1" s="216" t="s">
        <v>1519</v>
      </c>
    </row>
    <row r="2" spans="1:22" s="4" customFormat="1">
      <c r="A2" s="5" t="s">
        <v>1266</v>
      </c>
      <c r="B2" s="5" t="s">
        <v>784</v>
      </c>
      <c r="C2" s="56">
        <v>12</v>
      </c>
      <c r="D2" s="6">
        <v>6470</v>
      </c>
      <c r="E2" s="7" t="s">
        <v>152</v>
      </c>
      <c r="F2" s="263" t="s">
        <v>651</v>
      </c>
      <c r="G2" s="9"/>
      <c r="K2" s="67"/>
      <c r="M2" s="253"/>
      <c r="N2" s="55"/>
      <c r="O2" s="55"/>
      <c r="P2" s="55"/>
      <c r="Q2" s="55"/>
      <c r="R2" s="243"/>
    </row>
    <row r="3" spans="1:22" s="4" customFormat="1">
      <c r="A3" s="5" t="s">
        <v>632</v>
      </c>
      <c r="B3" s="5" t="s">
        <v>786</v>
      </c>
      <c r="C3" s="56"/>
      <c r="D3" s="6">
        <v>6470</v>
      </c>
      <c r="E3" s="7" t="s">
        <v>1152</v>
      </c>
      <c r="F3" s="263" t="s">
        <v>886</v>
      </c>
      <c r="G3" s="9" t="s">
        <v>681</v>
      </c>
      <c r="K3" s="54"/>
      <c r="M3" s="253"/>
      <c r="N3" s="55"/>
      <c r="O3" s="55"/>
      <c r="P3" s="55"/>
      <c r="Q3" s="55"/>
      <c r="R3" s="243"/>
    </row>
    <row r="4" spans="1:22" s="4" customFormat="1">
      <c r="A4" s="5" t="s">
        <v>1152</v>
      </c>
      <c r="B4" s="5" t="s">
        <v>1451</v>
      </c>
      <c r="C4" s="56"/>
      <c r="D4" s="6">
        <v>6300</v>
      </c>
      <c r="E4" s="7" t="s">
        <v>695</v>
      </c>
      <c r="F4" s="263" t="s">
        <v>1337</v>
      </c>
      <c r="G4" s="9" t="s">
        <v>435</v>
      </c>
      <c r="K4" s="54"/>
      <c r="M4" s="253"/>
      <c r="N4" s="55"/>
      <c r="O4" s="55"/>
      <c r="P4" s="55"/>
      <c r="Q4" s="55"/>
      <c r="R4" s="243"/>
    </row>
    <row r="5" spans="1:22" s="4" customFormat="1">
      <c r="A5" s="5" t="s">
        <v>1264</v>
      </c>
      <c r="B5" s="5" t="s">
        <v>1282</v>
      </c>
      <c r="C5" s="56">
        <v>13</v>
      </c>
      <c r="D5" s="6">
        <v>6310</v>
      </c>
      <c r="E5" s="7" t="s">
        <v>1264</v>
      </c>
      <c r="F5" s="263" t="s">
        <v>1337</v>
      </c>
      <c r="G5" s="9"/>
      <c r="K5" s="54"/>
      <c r="M5" s="253"/>
      <c r="N5" s="55"/>
      <c r="O5" s="55"/>
      <c r="P5" s="55"/>
      <c r="Q5" s="55"/>
      <c r="R5" s="243"/>
    </row>
    <row r="6" spans="1:22" s="4" customFormat="1">
      <c r="A6" s="5" t="s">
        <v>445</v>
      </c>
      <c r="B6" s="5" t="s">
        <v>810</v>
      </c>
      <c r="C6" s="56">
        <v>4</v>
      </c>
      <c r="D6" s="6">
        <v>6400</v>
      </c>
      <c r="E6" s="7" t="s">
        <v>1000</v>
      </c>
      <c r="F6" s="263" t="s">
        <v>1337</v>
      </c>
      <c r="G6" s="9"/>
      <c r="K6" s="54"/>
      <c r="M6" s="253"/>
      <c r="N6" s="55"/>
      <c r="O6" s="55"/>
      <c r="P6" s="55"/>
      <c r="Q6" s="55"/>
      <c r="R6" s="243"/>
    </row>
    <row r="7" spans="1:22" s="4" customFormat="1">
      <c r="A7" s="5" t="s">
        <v>904</v>
      </c>
      <c r="B7" s="5" t="s">
        <v>1287</v>
      </c>
      <c r="C7" s="56">
        <v>13</v>
      </c>
      <c r="D7" s="6">
        <v>6400</v>
      </c>
      <c r="E7" s="7" t="s">
        <v>904</v>
      </c>
      <c r="F7" s="263" t="s">
        <v>1337</v>
      </c>
      <c r="G7" s="9"/>
      <c r="K7" s="54"/>
      <c r="M7" s="253"/>
      <c r="N7" s="55"/>
      <c r="O7" s="55"/>
      <c r="P7" s="55"/>
      <c r="Q7" s="55"/>
      <c r="R7" s="243"/>
    </row>
    <row r="8" spans="1:22" s="4" customFormat="1">
      <c r="A8" s="5" t="s">
        <v>1152</v>
      </c>
      <c r="B8" s="5" t="s">
        <v>1040</v>
      </c>
      <c r="C8" s="56">
        <v>2</v>
      </c>
      <c r="D8" s="6">
        <v>6400</v>
      </c>
      <c r="E8" s="7" t="s">
        <v>1017</v>
      </c>
      <c r="F8" s="263" t="s">
        <v>1337</v>
      </c>
      <c r="G8" s="9"/>
      <c r="K8" s="54"/>
      <c r="M8" s="253"/>
      <c r="N8" s="55"/>
      <c r="O8" s="55"/>
      <c r="P8" s="55"/>
      <c r="Q8" s="55"/>
      <c r="R8" s="243"/>
    </row>
    <row r="9" spans="1:22" s="4" customFormat="1">
      <c r="A9" s="5" t="s">
        <v>447</v>
      </c>
      <c r="B9" s="5" t="s">
        <v>1287</v>
      </c>
      <c r="C9" s="56">
        <v>29</v>
      </c>
      <c r="D9" s="6">
        <v>6400</v>
      </c>
      <c r="E9" s="7" t="s">
        <v>1302</v>
      </c>
      <c r="F9" s="263" t="s">
        <v>1337</v>
      </c>
      <c r="G9" s="9"/>
      <c r="K9" s="54"/>
      <c r="M9" s="253"/>
      <c r="N9" s="55"/>
      <c r="O9" s="55"/>
      <c r="P9" s="55"/>
      <c r="Q9" s="55"/>
      <c r="R9" s="243"/>
    </row>
    <row r="10" spans="1:22" s="4" customFormat="1">
      <c r="A10" s="5" t="s">
        <v>1169</v>
      </c>
      <c r="B10" s="5" t="s">
        <v>461</v>
      </c>
      <c r="C10" s="56">
        <v>2</v>
      </c>
      <c r="D10" s="6">
        <v>6400</v>
      </c>
      <c r="E10" s="7" t="s">
        <v>1169</v>
      </c>
      <c r="F10" s="263" t="s">
        <v>1337</v>
      </c>
      <c r="G10" s="9"/>
      <c r="K10" s="54"/>
      <c r="M10" s="253"/>
      <c r="N10" s="55"/>
      <c r="O10" s="55"/>
      <c r="P10" s="55"/>
      <c r="Q10" s="55"/>
      <c r="R10" s="243"/>
    </row>
    <row r="11" spans="1:22" s="4" customFormat="1">
      <c r="A11" s="5" t="s">
        <v>517</v>
      </c>
      <c r="B11" s="5" t="s">
        <v>1082</v>
      </c>
      <c r="C11" s="56">
        <v>4</v>
      </c>
      <c r="D11" s="6">
        <v>6400</v>
      </c>
      <c r="E11" s="7" t="s">
        <v>518</v>
      </c>
      <c r="F11" s="263" t="s">
        <v>1337</v>
      </c>
      <c r="G11" s="9"/>
      <c r="K11" s="54"/>
      <c r="M11" s="253"/>
      <c r="N11" s="55"/>
      <c r="O11" s="55"/>
      <c r="P11" s="55"/>
      <c r="Q11" s="55"/>
      <c r="R11" s="243"/>
    </row>
    <row r="12" spans="1:22" s="4" customFormat="1">
      <c r="A12" s="5" t="s">
        <v>1100</v>
      </c>
      <c r="B12" s="5" t="s">
        <v>452</v>
      </c>
      <c r="C12" s="56">
        <v>124</v>
      </c>
      <c r="D12" s="6">
        <v>6400</v>
      </c>
      <c r="E12" s="7" t="s">
        <v>1302</v>
      </c>
      <c r="F12" s="263" t="s">
        <v>1337</v>
      </c>
      <c r="G12" s="9"/>
      <c r="K12" s="54"/>
      <c r="M12" s="253"/>
      <c r="N12" s="55"/>
      <c r="O12" s="55"/>
      <c r="P12" s="55"/>
      <c r="Q12" s="55"/>
      <c r="R12" s="243"/>
    </row>
    <row r="13" spans="1:22" s="4" customFormat="1">
      <c r="A13" s="5" t="s">
        <v>1152</v>
      </c>
      <c r="B13" s="5" t="s">
        <v>1284</v>
      </c>
      <c r="C13" s="56">
        <v>3</v>
      </c>
      <c r="D13" s="6">
        <v>6400</v>
      </c>
      <c r="E13" s="7" t="s">
        <v>1346</v>
      </c>
      <c r="F13" s="263" t="s">
        <v>1337</v>
      </c>
      <c r="G13" s="9"/>
      <c r="K13" s="54"/>
      <c r="M13" s="253"/>
      <c r="N13" s="55"/>
      <c r="O13" s="55"/>
      <c r="P13" s="55"/>
      <c r="Q13" s="55"/>
      <c r="R13" s="243"/>
    </row>
    <row r="14" spans="1:22" s="4" customFormat="1">
      <c r="A14" s="5" t="s">
        <v>1390</v>
      </c>
      <c r="B14" s="5" t="s">
        <v>782</v>
      </c>
      <c r="C14" s="56">
        <v>35</v>
      </c>
      <c r="D14" s="6">
        <v>6430</v>
      </c>
      <c r="E14" s="7" t="s">
        <v>1390</v>
      </c>
      <c r="F14" s="263" t="s">
        <v>1337</v>
      </c>
      <c r="G14" s="9" t="s">
        <v>677</v>
      </c>
      <c r="K14" s="54"/>
      <c r="M14" s="253"/>
      <c r="N14" s="55"/>
      <c r="O14" s="55"/>
      <c r="P14" s="55"/>
      <c r="Q14" s="55"/>
      <c r="R14" s="243"/>
    </row>
    <row r="15" spans="1:22" s="4" customFormat="1">
      <c r="A15" s="5" t="s">
        <v>611</v>
      </c>
      <c r="B15" s="5" t="s">
        <v>1443</v>
      </c>
      <c r="C15" s="56">
        <v>1</v>
      </c>
      <c r="D15" s="6">
        <v>6430</v>
      </c>
      <c r="E15" s="7" t="s">
        <v>611</v>
      </c>
      <c r="F15" s="263" t="s">
        <v>1337</v>
      </c>
      <c r="G15" s="9"/>
      <c r="K15" s="54"/>
      <c r="M15" s="253"/>
      <c r="N15" s="55"/>
      <c r="O15" s="55"/>
      <c r="P15" s="55"/>
      <c r="Q15" s="55"/>
      <c r="R15" s="243"/>
    </row>
    <row r="16" spans="1:22" s="4" customFormat="1">
      <c r="A16" s="5" t="s">
        <v>1363</v>
      </c>
      <c r="B16" s="5" t="s">
        <v>1051</v>
      </c>
      <c r="C16" s="56">
        <v>29</v>
      </c>
      <c r="D16" s="6">
        <v>6430</v>
      </c>
      <c r="E16" s="7" t="s">
        <v>1363</v>
      </c>
      <c r="F16" s="263" t="s">
        <v>1337</v>
      </c>
      <c r="G16" s="9" t="s">
        <v>676</v>
      </c>
      <c r="K16" s="54"/>
      <c r="M16" s="253"/>
      <c r="N16" s="55"/>
      <c r="O16" s="55"/>
      <c r="P16" s="55"/>
      <c r="Q16" s="55"/>
      <c r="R16" s="243"/>
    </row>
    <row r="17" spans="1:22" s="4" customFormat="1">
      <c r="A17" s="5" t="s">
        <v>1348</v>
      </c>
      <c r="B17" s="5" t="s">
        <v>1292</v>
      </c>
      <c r="C17" s="56"/>
      <c r="D17" s="6">
        <v>6430</v>
      </c>
      <c r="E17" s="7" t="s">
        <v>1349</v>
      </c>
      <c r="F17" s="263" t="s">
        <v>1337</v>
      </c>
      <c r="G17" s="9"/>
      <c r="K17" s="54"/>
      <c r="M17" s="253"/>
      <c r="N17" s="55"/>
      <c r="O17" s="55"/>
      <c r="P17" s="55"/>
      <c r="Q17" s="55"/>
      <c r="R17" s="243"/>
    </row>
    <row r="18" spans="1:22" s="4" customFormat="1">
      <c r="A18" s="5" t="s">
        <v>444</v>
      </c>
      <c r="B18" s="5" t="s">
        <v>652</v>
      </c>
      <c r="C18" s="56"/>
      <c r="D18" s="6">
        <v>6430</v>
      </c>
      <c r="E18" s="7" t="s">
        <v>755</v>
      </c>
      <c r="F18" s="263" t="s">
        <v>1337</v>
      </c>
      <c r="G18" s="9"/>
      <c r="K18" s="54"/>
      <c r="M18" s="253"/>
      <c r="N18" s="55"/>
      <c r="O18" s="55"/>
      <c r="P18" s="55"/>
      <c r="Q18" s="55"/>
      <c r="R18" s="243"/>
    </row>
    <row r="19" spans="1:22" s="4" customFormat="1">
      <c r="A19" s="5" t="s">
        <v>887</v>
      </c>
      <c r="B19" s="5" t="s">
        <v>712</v>
      </c>
      <c r="C19" s="56">
        <v>0</v>
      </c>
      <c r="D19" s="6">
        <v>6430</v>
      </c>
      <c r="E19" s="7" t="s">
        <v>887</v>
      </c>
      <c r="F19" s="263" t="s">
        <v>1337</v>
      </c>
      <c r="G19" s="9"/>
      <c r="K19" s="54"/>
      <c r="M19" s="253"/>
      <c r="N19" s="55"/>
      <c r="O19" s="55"/>
      <c r="P19" s="55"/>
      <c r="Q19" s="55"/>
      <c r="R19" s="243"/>
    </row>
    <row r="20" spans="1:22" s="4" customFormat="1">
      <c r="A20" s="5" t="s">
        <v>1362</v>
      </c>
      <c r="B20" s="5" t="s">
        <v>1049</v>
      </c>
      <c r="C20" s="56">
        <v>3</v>
      </c>
      <c r="D20" s="6">
        <v>6430</v>
      </c>
      <c r="E20" s="7" t="s">
        <v>1362</v>
      </c>
      <c r="F20" s="263" t="s">
        <v>1337</v>
      </c>
      <c r="G20" s="9" t="s">
        <v>676</v>
      </c>
      <c r="K20" s="54"/>
      <c r="M20" s="253"/>
      <c r="N20" s="55"/>
      <c r="O20" s="55"/>
      <c r="P20" s="55"/>
      <c r="Q20" s="55"/>
      <c r="R20" s="243"/>
    </row>
    <row r="21" spans="1:22" s="4" customFormat="1">
      <c r="A21" s="5" t="s">
        <v>1364</v>
      </c>
      <c r="B21" s="5" t="s">
        <v>1054</v>
      </c>
      <c r="C21" s="56">
        <v>6</v>
      </c>
      <c r="D21" s="6">
        <v>6440</v>
      </c>
      <c r="E21" s="7" t="s">
        <v>1365</v>
      </c>
      <c r="F21" s="263" t="s">
        <v>1337</v>
      </c>
      <c r="G21" s="9"/>
      <c r="K21" s="54"/>
      <c r="M21" s="253"/>
      <c r="N21" s="55"/>
      <c r="O21" s="55"/>
      <c r="P21" s="55"/>
      <c r="Q21" s="55"/>
      <c r="R21" s="243"/>
    </row>
    <row r="22" spans="1:22" s="4" customFormat="1">
      <c r="A22" s="5" t="s">
        <v>1392</v>
      </c>
      <c r="B22" s="5" t="s">
        <v>1046</v>
      </c>
      <c r="C22" s="56"/>
      <c r="D22" s="6">
        <v>6440</v>
      </c>
      <c r="E22" s="7" t="s">
        <v>1392</v>
      </c>
      <c r="F22" s="263" t="s">
        <v>1337</v>
      </c>
      <c r="G22" s="9"/>
      <c r="K22" s="54"/>
      <c r="M22" s="253"/>
      <c r="N22" s="55"/>
      <c r="O22" s="55"/>
      <c r="P22" s="55"/>
      <c r="Q22" s="55"/>
      <c r="R22" s="243"/>
    </row>
    <row r="23" spans="1:22" s="4" customFormat="1">
      <c r="A23" s="5" t="s">
        <v>1361</v>
      </c>
      <c r="B23" s="5" t="s">
        <v>1045</v>
      </c>
      <c r="C23" s="56">
        <v>10</v>
      </c>
      <c r="D23" s="6">
        <v>6440</v>
      </c>
      <c r="E23" s="7" t="s">
        <v>1350</v>
      </c>
      <c r="F23" s="263" t="s">
        <v>1337</v>
      </c>
      <c r="G23" s="9"/>
      <c r="K23" s="54"/>
      <c r="M23" s="253"/>
      <c r="N23" s="55"/>
      <c r="O23" s="55"/>
      <c r="P23" s="55"/>
      <c r="Q23" s="55"/>
      <c r="R23" s="243"/>
    </row>
    <row r="24" spans="1:22" s="4" customFormat="1">
      <c r="A24" s="5" t="s">
        <v>1384</v>
      </c>
      <c r="B24" s="5" t="s">
        <v>765</v>
      </c>
      <c r="C24" s="56">
        <v>4</v>
      </c>
      <c r="D24" s="6">
        <v>6470</v>
      </c>
      <c r="E24" s="7" t="s">
        <v>1385</v>
      </c>
      <c r="F24" s="263" t="s">
        <v>1337</v>
      </c>
      <c r="G24" s="9"/>
      <c r="K24" s="54"/>
      <c r="M24" s="253"/>
      <c r="N24" s="55"/>
      <c r="O24" s="55"/>
      <c r="P24" s="55"/>
      <c r="Q24" s="55"/>
      <c r="R24" s="243"/>
    </row>
    <row r="25" spans="1:22" s="4" customFormat="1">
      <c r="A25" s="5" t="s">
        <v>1249</v>
      </c>
      <c r="B25" s="5" t="s">
        <v>1066</v>
      </c>
      <c r="C25" s="56">
        <v>1</v>
      </c>
      <c r="D25" s="6">
        <v>6470</v>
      </c>
      <c r="E25" s="7" t="s">
        <v>152</v>
      </c>
      <c r="F25" s="263" t="s">
        <v>1337</v>
      </c>
      <c r="G25" s="9"/>
      <c r="K25" s="54"/>
      <c r="M25" s="253"/>
      <c r="N25" s="55"/>
      <c r="O25" s="55"/>
      <c r="P25" s="55"/>
      <c r="Q25" s="55"/>
      <c r="R25" s="243"/>
    </row>
    <row r="26" spans="1:22" s="4" customFormat="1">
      <c r="A26" s="5" t="s">
        <v>1100</v>
      </c>
      <c r="B26" s="5" t="s">
        <v>1278</v>
      </c>
      <c r="C26" s="56">
        <v>382</v>
      </c>
      <c r="D26" s="6">
        <v>6470</v>
      </c>
      <c r="E26" s="7" t="s">
        <v>1306</v>
      </c>
      <c r="F26" s="263" t="s">
        <v>1337</v>
      </c>
      <c r="G26" s="9"/>
      <c r="K26" s="54"/>
      <c r="M26" s="253"/>
      <c r="N26" s="55"/>
      <c r="O26" s="55"/>
      <c r="P26" s="55"/>
      <c r="Q26" s="55"/>
      <c r="R26" s="243"/>
    </row>
    <row r="27" spans="1:22" s="156" customFormat="1">
      <c r="A27" s="151" t="s">
        <v>1253</v>
      </c>
      <c r="B27" s="151" t="s">
        <v>730</v>
      </c>
      <c r="C27" s="152">
        <v>4</v>
      </c>
      <c r="D27" s="153">
        <v>6300</v>
      </c>
      <c r="E27" s="154" t="s">
        <v>1254</v>
      </c>
      <c r="F27" s="264" t="s">
        <v>1093</v>
      </c>
      <c r="G27" s="155" t="s">
        <v>679</v>
      </c>
      <c r="H27" s="206">
        <v>336.98</v>
      </c>
      <c r="I27" s="206">
        <v>309.43</v>
      </c>
      <c r="J27" s="206">
        <v>293.58999999999997</v>
      </c>
      <c r="K27" s="217">
        <v>429.86</v>
      </c>
      <c r="L27" s="156" t="s">
        <v>415</v>
      </c>
      <c r="M27" s="255" t="s">
        <v>417</v>
      </c>
      <c r="N27" s="206">
        <v>336.98</v>
      </c>
      <c r="O27" s="206">
        <v>309.43</v>
      </c>
      <c r="P27" s="206">
        <v>293.58999999999997</v>
      </c>
      <c r="Q27" s="217">
        <v>429.86</v>
      </c>
      <c r="R27" s="244"/>
      <c r="S27" s="206">
        <f t="shared" ref="S27:S37" si="0">0.85*N27/$N$39+0.15*N27</f>
        <v>384.99735628160249</v>
      </c>
      <c r="T27" s="206">
        <f t="shared" ref="T27:T37" si="1">0.85*O27/$O$39+0.15*O27</f>
        <v>349.28083333333325</v>
      </c>
      <c r="U27" s="206">
        <f t="shared" ref="U27:U35" si="2">0.85*P27/$P$39+0.15*P27</f>
        <v>306.25537189359466</v>
      </c>
      <c r="V27" s="206">
        <f t="shared" ref="V27:V37" si="3">0.85*Q27/$Q$39+0.15*Q27</f>
        <v>378.76947621776503</v>
      </c>
    </row>
    <row r="28" spans="1:22" s="156" customFormat="1" ht="14.25" customHeight="1">
      <c r="A28" s="151" t="s">
        <v>619</v>
      </c>
      <c r="B28" s="151" t="s">
        <v>1036</v>
      </c>
      <c r="C28" s="152">
        <v>12</v>
      </c>
      <c r="D28" s="153">
        <v>6300</v>
      </c>
      <c r="E28" s="154" t="s">
        <v>1004</v>
      </c>
      <c r="F28" s="264" t="s">
        <v>1093</v>
      </c>
      <c r="G28" s="155" t="s">
        <v>676</v>
      </c>
      <c r="H28" s="206">
        <f>34530/1000</f>
        <v>34.53</v>
      </c>
      <c r="I28" s="206">
        <f>37182/1000</f>
        <v>37.182000000000002</v>
      </c>
      <c r="J28" s="206">
        <f>49377/1000</f>
        <v>49.377000000000002</v>
      </c>
      <c r="K28" s="206">
        <v>62.313000000000002</v>
      </c>
      <c r="L28" s="156" t="s">
        <v>415</v>
      </c>
      <c r="M28" s="255" t="s">
        <v>417</v>
      </c>
      <c r="N28" s="206">
        <f>34530/1000</f>
        <v>34.53</v>
      </c>
      <c r="O28" s="206">
        <f>37182/1000</f>
        <v>37.182000000000002</v>
      </c>
      <c r="P28" s="206">
        <f>49377/1000</f>
        <v>49.377000000000002</v>
      </c>
      <c r="Q28" s="206">
        <v>62.313000000000002</v>
      </c>
      <c r="R28" s="245"/>
      <c r="S28" s="206">
        <f t="shared" si="0"/>
        <v>39.450289964994163</v>
      </c>
      <c r="T28" s="206">
        <f t="shared" si="1"/>
        <v>41.970590909090909</v>
      </c>
      <c r="U28" s="206">
        <f t="shared" si="2"/>
        <v>51.507106842842148</v>
      </c>
      <c r="V28" s="206">
        <f t="shared" si="3"/>
        <v>54.906858911174787</v>
      </c>
    </row>
    <row r="29" spans="1:22" s="156" customFormat="1">
      <c r="A29" s="151" t="s">
        <v>654</v>
      </c>
      <c r="B29" s="151" t="s">
        <v>1285</v>
      </c>
      <c r="C29" s="152">
        <v>4</v>
      </c>
      <c r="D29" s="153">
        <v>6300</v>
      </c>
      <c r="E29" s="154" t="s">
        <v>1157</v>
      </c>
      <c r="F29" s="264" t="s">
        <v>1093</v>
      </c>
      <c r="G29" s="155" t="s">
        <v>673</v>
      </c>
      <c r="H29" s="206">
        <f>69983/1000</f>
        <v>69.983000000000004</v>
      </c>
      <c r="I29" s="206">
        <f>54485/1000</f>
        <v>54.484999999999999</v>
      </c>
      <c r="J29" s="206">
        <f>61842/1000</f>
        <v>61.841999999999999</v>
      </c>
      <c r="K29" s="206">
        <v>74.316999999999993</v>
      </c>
      <c r="L29" s="156" t="s">
        <v>415</v>
      </c>
      <c r="M29" s="255" t="s">
        <v>417</v>
      </c>
      <c r="N29" s="206">
        <f>69983/1000</f>
        <v>69.983000000000004</v>
      </c>
      <c r="O29" s="206">
        <f>54485/1000</f>
        <v>54.484999999999999</v>
      </c>
      <c r="P29" s="206">
        <f>61842/1000</f>
        <v>61.841999999999999</v>
      </c>
      <c r="Q29" s="206">
        <v>74.316999999999993</v>
      </c>
      <c r="R29" s="245"/>
      <c r="S29" s="206">
        <f t="shared" si="0"/>
        <v>79.955101147413458</v>
      </c>
      <c r="T29" s="206">
        <f t="shared" si="1"/>
        <v>61.502007575757574</v>
      </c>
      <c r="U29" s="206">
        <f t="shared" si="2"/>
        <v>64.509842667133356</v>
      </c>
      <c r="V29" s="206">
        <f t="shared" si="3"/>
        <v>65.484137077363883</v>
      </c>
    </row>
    <row r="30" spans="1:22" s="156" customFormat="1">
      <c r="A30" s="151" t="s">
        <v>1343</v>
      </c>
      <c r="B30" s="151" t="s">
        <v>792</v>
      </c>
      <c r="C30" s="152">
        <v>63</v>
      </c>
      <c r="D30" s="153">
        <v>6300</v>
      </c>
      <c r="E30" s="154" t="s">
        <v>1343</v>
      </c>
      <c r="F30" s="264" t="s">
        <v>1093</v>
      </c>
      <c r="G30" s="155" t="s">
        <v>673</v>
      </c>
      <c r="H30" s="206">
        <f>31687/1000</f>
        <v>31.687000000000001</v>
      </c>
      <c r="I30" s="206">
        <f>45019/1000</f>
        <v>45.018999999999998</v>
      </c>
      <c r="J30" s="206">
        <f>45087/1000</f>
        <v>45.087000000000003</v>
      </c>
      <c r="K30" s="206">
        <v>52.363999999999997</v>
      </c>
      <c r="L30" s="156" t="s">
        <v>415</v>
      </c>
      <c r="M30" s="255" t="s">
        <v>417</v>
      </c>
      <c r="N30" s="206">
        <f>31687/1000</f>
        <v>31.687000000000001</v>
      </c>
      <c r="O30" s="206">
        <f>45019/1000</f>
        <v>45.018999999999998</v>
      </c>
      <c r="P30" s="206">
        <f>45087/1000</f>
        <v>45.087000000000003</v>
      </c>
      <c r="Q30" s="206">
        <v>52.363999999999997</v>
      </c>
      <c r="R30" s="245"/>
      <c r="S30" s="206">
        <f t="shared" si="0"/>
        <v>36.202181816413848</v>
      </c>
      <c r="T30" s="206">
        <f t="shared" si="1"/>
        <v>50.816901515151514</v>
      </c>
      <c r="U30" s="206">
        <f t="shared" si="2"/>
        <v>47.032037714385723</v>
      </c>
      <c r="V30" s="206">
        <f t="shared" si="3"/>
        <v>46.140336045845267</v>
      </c>
    </row>
    <row r="31" spans="1:22" s="156" customFormat="1" ht="14.25" customHeight="1">
      <c r="A31" s="151" t="s">
        <v>629</v>
      </c>
      <c r="B31" s="151" t="s">
        <v>737</v>
      </c>
      <c r="C31" s="152">
        <v>12</v>
      </c>
      <c r="D31" s="153">
        <v>6300</v>
      </c>
      <c r="E31" s="154" t="s">
        <v>629</v>
      </c>
      <c r="F31" s="264" t="s">
        <v>1093</v>
      </c>
      <c r="G31" s="155" t="s">
        <v>673</v>
      </c>
      <c r="H31" s="206">
        <f>20080/1000</f>
        <v>20.079999999999998</v>
      </c>
      <c r="I31" s="206">
        <f>26670/1000</f>
        <v>26.67</v>
      </c>
      <c r="J31" s="206">
        <f>19691/1000</f>
        <v>19.690999999999999</v>
      </c>
      <c r="K31" s="206">
        <v>23.555</v>
      </c>
      <c r="L31" s="156" t="s">
        <v>415</v>
      </c>
      <c r="M31" s="255" t="s">
        <v>417</v>
      </c>
      <c r="N31" s="206">
        <f>20080/1000</f>
        <v>20.079999999999998</v>
      </c>
      <c r="O31" s="206">
        <f>26670/1000</f>
        <v>26.67</v>
      </c>
      <c r="P31" s="206">
        <f>19691/1000</f>
        <v>19.690999999999999</v>
      </c>
      <c r="Q31" s="206">
        <v>23.555</v>
      </c>
      <c r="R31" s="245"/>
      <c r="S31" s="206">
        <f t="shared" si="0"/>
        <v>22.941263321664721</v>
      </c>
      <c r="T31" s="206">
        <f t="shared" si="1"/>
        <v>30.104772727272724</v>
      </c>
      <c r="U31" s="206">
        <f t="shared" si="2"/>
        <v>20.540462985649281</v>
      </c>
      <c r="V31" s="206">
        <f t="shared" si="3"/>
        <v>20.755397134670485</v>
      </c>
    </row>
    <row r="32" spans="1:22" s="156" customFormat="1">
      <c r="A32" s="151" t="s">
        <v>647</v>
      </c>
      <c r="B32" s="151" t="s">
        <v>1285</v>
      </c>
      <c r="C32" s="152">
        <v>6</v>
      </c>
      <c r="D32" s="153">
        <v>6300</v>
      </c>
      <c r="E32" s="154" t="s">
        <v>647</v>
      </c>
      <c r="F32" s="264" t="s">
        <v>1093</v>
      </c>
      <c r="G32" s="155" t="s">
        <v>680</v>
      </c>
      <c r="H32" s="206">
        <f>54452/1000</f>
        <v>54.451999999999998</v>
      </c>
      <c r="I32" s="206">
        <f>68783/1000</f>
        <v>68.783000000000001</v>
      </c>
      <c r="J32" s="206">
        <f>56398/1000</f>
        <v>56.398000000000003</v>
      </c>
      <c r="K32" s="206">
        <v>75.942999999999998</v>
      </c>
      <c r="L32" s="156" t="s">
        <v>415</v>
      </c>
      <c r="M32" s="255" t="s">
        <v>417</v>
      </c>
      <c r="N32" s="206">
        <f>54452/1000</f>
        <v>54.451999999999998</v>
      </c>
      <c r="O32" s="206">
        <f>68783/1000</f>
        <v>68.783000000000001</v>
      </c>
      <c r="P32" s="206">
        <f>56398/1000</f>
        <v>56.398000000000003</v>
      </c>
      <c r="Q32" s="206">
        <v>75.942999999999998</v>
      </c>
      <c r="R32" s="245"/>
      <c r="S32" s="206">
        <f t="shared" si="0"/>
        <v>62.211039362115905</v>
      </c>
      <c r="T32" s="206">
        <f t="shared" si="1"/>
        <v>77.641416666666657</v>
      </c>
      <c r="U32" s="206">
        <f t="shared" si="2"/>
        <v>58.83099037451872</v>
      </c>
      <c r="V32" s="206">
        <f t="shared" si="3"/>
        <v>66.916880687679068</v>
      </c>
    </row>
    <row r="33" spans="1:22" s="156" customFormat="1">
      <c r="A33" s="151" t="s">
        <v>1338</v>
      </c>
      <c r="B33" s="151" t="s">
        <v>797</v>
      </c>
      <c r="C33" s="152">
        <v>2</v>
      </c>
      <c r="D33" s="153">
        <v>6300</v>
      </c>
      <c r="E33" s="154" t="s">
        <v>1338</v>
      </c>
      <c r="F33" s="264" t="s">
        <v>1093</v>
      </c>
      <c r="G33" s="155" t="s">
        <v>679</v>
      </c>
      <c r="H33" s="206">
        <f>27053/1000</f>
        <v>27.053000000000001</v>
      </c>
      <c r="I33" s="206">
        <f>37694/1000</f>
        <v>37.694000000000003</v>
      </c>
      <c r="J33" s="206">
        <f>47119/1000</f>
        <v>47.119</v>
      </c>
      <c r="K33" s="206">
        <v>19.803999999999998</v>
      </c>
      <c r="L33" s="156" t="s">
        <v>415</v>
      </c>
      <c r="M33" s="255" t="s">
        <v>417</v>
      </c>
      <c r="N33" s="206">
        <f>27053/1000</f>
        <v>27.053000000000001</v>
      </c>
      <c r="O33" s="206">
        <f>37694/1000</f>
        <v>37.694000000000003</v>
      </c>
      <c r="P33" s="206">
        <f>47119/1000</f>
        <v>47.119</v>
      </c>
      <c r="Q33" s="206">
        <v>19.803999999999998</v>
      </c>
      <c r="R33" s="245"/>
      <c r="S33" s="206">
        <f t="shared" si="0"/>
        <v>30.907868358615325</v>
      </c>
      <c r="T33" s="206">
        <f t="shared" si="1"/>
        <v>42.548530303030304</v>
      </c>
      <c r="U33" s="206">
        <f t="shared" si="2"/>
        <v>49.151697497374869</v>
      </c>
      <c r="V33" s="206">
        <f t="shared" si="3"/>
        <v>17.450217994269337</v>
      </c>
    </row>
    <row r="34" spans="1:22" s="156" customFormat="1">
      <c r="A34" s="151" t="s">
        <v>631</v>
      </c>
      <c r="B34" s="151" t="s">
        <v>1039</v>
      </c>
      <c r="C34" s="152">
        <v>1</v>
      </c>
      <c r="D34" s="153">
        <v>6300</v>
      </c>
      <c r="E34" s="154" t="s">
        <v>631</v>
      </c>
      <c r="F34" s="264" t="s">
        <v>1093</v>
      </c>
      <c r="G34" s="155" t="s">
        <v>680</v>
      </c>
      <c r="H34" s="206">
        <v>332.02</v>
      </c>
      <c r="I34" s="206">
        <v>289.82400000000001</v>
      </c>
      <c r="J34" s="206">
        <v>291.98500000000001</v>
      </c>
      <c r="K34" s="206">
        <v>346.14299999999997</v>
      </c>
      <c r="L34" s="156" t="s">
        <v>415</v>
      </c>
      <c r="M34" s="255" t="s">
        <v>417</v>
      </c>
      <c r="N34" s="206">
        <v>332.02</v>
      </c>
      <c r="O34" s="206">
        <v>289.82400000000001</v>
      </c>
      <c r="P34" s="206">
        <v>291.98500000000001</v>
      </c>
      <c r="Q34" s="206">
        <v>346.14299999999997</v>
      </c>
      <c r="R34" s="245"/>
      <c r="S34" s="206">
        <f t="shared" si="0"/>
        <v>379.33059004278488</v>
      </c>
      <c r="T34" s="206">
        <f t="shared" si="1"/>
        <v>327.14981818181815</v>
      </c>
      <c r="U34" s="206">
        <f t="shared" si="2"/>
        <v>304.58113274413722</v>
      </c>
      <c r="V34" s="206">
        <f t="shared" si="3"/>
        <v>305.00256550143263</v>
      </c>
    </row>
    <row r="35" spans="1:22" s="156" customFormat="1">
      <c r="A35" s="151" t="s">
        <v>1002</v>
      </c>
      <c r="B35" s="151" t="s">
        <v>1034</v>
      </c>
      <c r="C35" s="152">
        <v>2</v>
      </c>
      <c r="D35" s="153">
        <v>6300</v>
      </c>
      <c r="E35" s="154" t="s">
        <v>1002</v>
      </c>
      <c r="F35" s="264" t="s">
        <v>1093</v>
      </c>
      <c r="G35" s="155" t="s">
        <v>677</v>
      </c>
      <c r="H35" s="206">
        <v>162.81</v>
      </c>
      <c r="I35" s="206">
        <v>209.45</v>
      </c>
      <c r="J35" s="207">
        <v>209.45</v>
      </c>
      <c r="K35" s="206">
        <v>209.45</v>
      </c>
      <c r="L35" s="156" t="s">
        <v>415</v>
      </c>
      <c r="M35" s="255" t="s">
        <v>417</v>
      </c>
      <c r="N35" s="206">
        <v>162.81</v>
      </c>
      <c r="O35" s="206">
        <v>209.45</v>
      </c>
      <c r="P35" s="207">
        <v>209.45</v>
      </c>
      <c r="Q35" s="206">
        <v>209.45</v>
      </c>
      <c r="R35" s="245"/>
      <c r="S35" s="207">
        <f t="shared" si="0"/>
        <v>186.00931680280047</v>
      </c>
      <c r="T35" s="207">
        <f t="shared" si="1"/>
        <v>236.4246212121212</v>
      </c>
      <c r="U35" s="207">
        <f t="shared" si="2"/>
        <v>218.48560115505774</v>
      </c>
      <c r="V35" s="207">
        <f t="shared" si="3"/>
        <v>184.55605730659025</v>
      </c>
    </row>
    <row r="36" spans="1:22" s="156" customFormat="1">
      <c r="A36" s="151" t="s">
        <v>1333</v>
      </c>
      <c r="B36" s="151" t="s">
        <v>662</v>
      </c>
      <c r="C36" s="152">
        <v>1</v>
      </c>
      <c r="D36" s="153">
        <v>6300</v>
      </c>
      <c r="E36" s="154" t="s">
        <v>711</v>
      </c>
      <c r="F36" s="264" t="s">
        <v>1093</v>
      </c>
      <c r="G36" s="155" t="s">
        <v>677</v>
      </c>
      <c r="H36" s="206"/>
      <c r="I36" s="206"/>
      <c r="J36" s="206" t="s">
        <v>1512</v>
      </c>
      <c r="K36" s="206"/>
      <c r="M36" s="255"/>
      <c r="N36" s="206"/>
      <c r="O36" s="206"/>
      <c r="P36" s="206" t="s">
        <v>1512</v>
      </c>
      <c r="Q36" s="206"/>
      <c r="R36" s="245"/>
      <c r="S36" s="206">
        <f t="shared" si="0"/>
        <v>0</v>
      </c>
      <c r="T36" s="206">
        <f t="shared" si="1"/>
        <v>0</v>
      </c>
      <c r="U36" s="206">
        <v>0</v>
      </c>
      <c r="V36" s="206">
        <f t="shared" si="3"/>
        <v>0</v>
      </c>
    </row>
    <row r="37" spans="1:22" s="156" customFormat="1">
      <c r="A37" s="160" t="s">
        <v>618</v>
      </c>
      <c r="B37" s="160" t="s">
        <v>1035</v>
      </c>
      <c r="C37" s="161">
        <v>8</v>
      </c>
      <c r="D37" s="162">
        <v>6300</v>
      </c>
      <c r="E37" s="163" t="s">
        <v>999</v>
      </c>
      <c r="F37" s="265" t="s">
        <v>1093</v>
      </c>
      <c r="G37" s="155" t="s">
        <v>682</v>
      </c>
      <c r="H37" s="206">
        <v>98.33</v>
      </c>
      <c r="I37" s="206">
        <v>106.48</v>
      </c>
      <c r="J37" s="206">
        <v>105.53400000000001</v>
      </c>
      <c r="K37" s="206">
        <v>125.087</v>
      </c>
      <c r="L37" s="156" t="s">
        <v>415</v>
      </c>
      <c r="M37" s="255" t="s">
        <v>417</v>
      </c>
      <c r="N37" s="206">
        <v>98.33</v>
      </c>
      <c r="O37" s="206">
        <v>106.48</v>
      </c>
      <c r="P37" s="206">
        <v>105.53400000000001</v>
      </c>
      <c r="Q37" s="206">
        <v>125.087</v>
      </c>
      <c r="R37" s="245"/>
      <c r="S37" s="206">
        <f t="shared" si="0"/>
        <v>112.34135569817191</v>
      </c>
      <c r="T37" s="206">
        <f t="shared" si="1"/>
        <v>120.19333333333331</v>
      </c>
      <c r="U37" s="206">
        <f>0.85*P37/$P$39+0.15*P37</f>
        <v>110.08670056002801</v>
      </c>
      <c r="V37" s="206">
        <f t="shared" si="3"/>
        <v>110.21992618911173</v>
      </c>
    </row>
    <row r="38" spans="1:22" s="170" customFormat="1" ht="13.5" thickBot="1">
      <c r="A38" s="168" t="s">
        <v>1111</v>
      </c>
      <c r="B38" s="168"/>
      <c r="C38" s="169"/>
      <c r="E38" s="171" t="s">
        <v>1496</v>
      </c>
      <c r="F38" s="266" t="s">
        <v>1093</v>
      </c>
      <c r="G38" s="168" t="s">
        <v>1497</v>
      </c>
      <c r="H38" s="218">
        <f>SUM(H27:H37)</f>
        <v>1167.925</v>
      </c>
      <c r="I38" s="218">
        <f>SUM(I27:I37)</f>
        <v>1185.0170000000001</v>
      </c>
      <c r="J38" s="218">
        <f>SUM(J27:J37)</f>
        <v>1180.0730000000001</v>
      </c>
      <c r="K38" s="218">
        <f>SUM(K27:K37)</f>
        <v>1418.836</v>
      </c>
      <c r="M38" s="256"/>
      <c r="N38" s="218">
        <f>SUM(N27:N37)</f>
        <v>1167.925</v>
      </c>
      <c r="O38" s="218">
        <f>SUM(O27:O37)</f>
        <v>1185.0170000000001</v>
      </c>
      <c r="P38" s="218">
        <f>SUM(P27:P37)</f>
        <v>1180.0730000000001</v>
      </c>
      <c r="Q38" s="218">
        <f>SUM(Q27:Q37)</f>
        <v>1418.836</v>
      </c>
      <c r="R38" s="246"/>
      <c r="S38" s="218">
        <f>0.85*N38/$N$39+0.15*N38</f>
        <v>1334.3463627965771</v>
      </c>
      <c r="T38" s="218">
        <f>0.85*O38/$O$39+0.15*O38</f>
        <v>1337.6328257575756</v>
      </c>
      <c r="U38" s="218">
        <f>0.85*P38/$P$39+0.15*P38</f>
        <v>1230.9809444347218</v>
      </c>
      <c r="V38" s="218">
        <f>0.85*Q38/$Q$39+0.15*Q38</f>
        <v>1250.2018530659025</v>
      </c>
    </row>
    <row r="39" spans="1:22" s="225" customFormat="1" ht="13.5" thickBot="1">
      <c r="A39" s="223"/>
      <c r="B39" s="223"/>
      <c r="C39" s="224"/>
      <c r="E39" s="226"/>
      <c r="F39" s="267"/>
      <c r="G39" s="223"/>
      <c r="H39" s="227"/>
      <c r="I39" s="227"/>
      <c r="J39" s="227"/>
      <c r="K39" s="227"/>
      <c r="M39" s="257" t="s">
        <v>1520</v>
      </c>
      <c r="N39" s="228">
        <f>graddage!D32</f>
        <v>0.85642904730179881</v>
      </c>
      <c r="O39" s="228">
        <f>graddage!D33</f>
        <v>0.86842105263157898</v>
      </c>
      <c r="P39" s="228">
        <f>graddage!D34</f>
        <v>0.95169886742171883</v>
      </c>
      <c r="Q39" s="228">
        <f>graddage!D35</f>
        <v>1.1625582944703532</v>
      </c>
      <c r="R39" s="247"/>
      <c r="S39" s="227"/>
      <c r="T39" s="227"/>
    </row>
    <row r="40" spans="1:22" s="159" customFormat="1">
      <c r="A40" s="164"/>
      <c r="B40" s="164"/>
      <c r="C40" s="165"/>
      <c r="D40" s="166"/>
      <c r="E40" s="167"/>
      <c r="F40" s="268"/>
      <c r="G40" s="158"/>
      <c r="H40" s="217"/>
      <c r="I40" s="217"/>
      <c r="J40" s="217"/>
      <c r="K40" s="217"/>
      <c r="M40" s="254"/>
      <c r="N40" s="157"/>
      <c r="O40" s="157"/>
      <c r="P40" s="157"/>
      <c r="Q40" s="157"/>
      <c r="R40" s="248"/>
      <c r="S40" s="217"/>
      <c r="T40" s="217"/>
    </row>
    <row r="41" spans="1:22" s="66" customFormat="1">
      <c r="A41" s="133" t="s">
        <v>923</v>
      </c>
      <c r="B41" s="133" t="s">
        <v>1293</v>
      </c>
      <c r="C41" s="135">
        <v>6</v>
      </c>
      <c r="D41" s="136">
        <v>6310</v>
      </c>
      <c r="E41" s="137" t="s">
        <v>923</v>
      </c>
      <c r="F41" s="264" t="s">
        <v>1093</v>
      </c>
      <c r="G41" s="138" t="s">
        <v>1501</v>
      </c>
      <c r="H41" s="202">
        <v>25.765999999999998</v>
      </c>
      <c r="I41" s="202">
        <v>27.547999999999998</v>
      </c>
      <c r="J41" s="140">
        <v>27.547999999999998</v>
      </c>
      <c r="K41" s="140">
        <v>22.088999999999999</v>
      </c>
      <c r="L41" s="66" t="s">
        <v>686</v>
      </c>
      <c r="M41" s="255" t="s">
        <v>1507</v>
      </c>
      <c r="N41" s="202">
        <v>25.765999999999998</v>
      </c>
      <c r="O41" s="202">
        <v>27.547999999999998</v>
      </c>
      <c r="P41" s="140">
        <v>27.547999999999998</v>
      </c>
      <c r="Q41" s="140">
        <v>22.088999999999999</v>
      </c>
      <c r="R41" s="245"/>
      <c r="S41" s="140">
        <f>0.85*N41/$N$54+0.15*N41</f>
        <v>30.96383577306193</v>
      </c>
      <c r="T41" s="140">
        <f>0.85*O41/$O$54+0.15*O41</f>
        <v>31.023642846212695</v>
      </c>
      <c r="U41" s="140">
        <f>0.85*P41/$P$54+0.15*P41</f>
        <v>29.210413200142696</v>
      </c>
      <c r="V41" s="140">
        <f>0.85*Q41/$Q$54+0.15*Q41</f>
        <v>21.721090463749182</v>
      </c>
    </row>
    <row r="42" spans="1:22" s="66" customFormat="1">
      <c r="A42" s="133" t="s">
        <v>1032</v>
      </c>
      <c r="B42" s="133" t="s">
        <v>1041</v>
      </c>
      <c r="C42" s="135">
        <v>14</v>
      </c>
      <c r="D42" s="136">
        <v>6310</v>
      </c>
      <c r="E42" s="137" t="s">
        <v>1032</v>
      </c>
      <c r="F42" s="264" t="s">
        <v>1093</v>
      </c>
      <c r="G42" s="138" t="s">
        <v>673</v>
      </c>
      <c r="H42" s="202">
        <v>29.88</v>
      </c>
      <c r="I42" s="202">
        <v>30.5</v>
      </c>
      <c r="J42" s="140">
        <v>32.85</v>
      </c>
      <c r="K42" s="140">
        <v>30.5</v>
      </c>
      <c r="L42" s="66" t="s">
        <v>686</v>
      </c>
      <c r="M42" s="255" t="s">
        <v>1507</v>
      </c>
      <c r="N42" s="202">
        <v>29.88</v>
      </c>
      <c r="O42" s="202">
        <v>30.5</v>
      </c>
      <c r="P42" s="140">
        <v>32.85</v>
      </c>
      <c r="Q42" s="140">
        <v>30.5</v>
      </c>
      <c r="R42" s="245"/>
      <c r="S42" s="140">
        <f t="shared" ref="S42:S53" si="4">0.85*N42/$N$54+0.15*N42</f>
        <v>35.907762667821565</v>
      </c>
      <c r="T42" s="140">
        <f t="shared" ref="T42:T53" si="5">0.85*O42/$O$54+0.15*O42</f>
        <v>34.348087222647287</v>
      </c>
      <c r="U42" s="140">
        <f t="shared" ref="U42:U53" si="6">0.85*P42/$P$54+0.15*P42</f>
        <v>34.832367998572956</v>
      </c>
      <c r="V42" s="140">
        <f t="shared" ref="V42:V53" si="7">0.85*Q42/$Q$54+0.15*Q42</f>
        <v>29.991998693664272</v>
      </c>
    </row>
    <row r="43" spans="1:22" s="66" customFormat="1">
      <c r="A43" s="133" t="s">
        <v>1310</v>
      </c>
      <c r="B43" s="133" t="s">
        <v>1044</v>
      </c>
      <c r="C43" s="135">
        <v>19</v>
      </c>
      <c r="D43" s="136">
        <v>6310</v>
      </c>
      <c r="E43" s="137" t="s">
        <v>1310</v>
      </c>
      <c r="F43" s="264" t="s">
        <v>1093</v>
      </c>
      <c r="G43" s="138" t="s">
        <v>677</v>
      </c>
      <c r="H43" s="202">
        <v>228.124</v>
      </c>
      <c r="I43" s="202">
        <v>212.69399999999999</v>
      </c>
      <c r="J43" s="140"/>
      <c r="K43" s="140">
        <v>10.599</v>
      </c>
      <c r="L43" s="66" t="s">
        <v>686</v>
      </c>
      <c r="M43" s="255" t="s">
        <v>1507</v>
      </c>
      <c r="N43" s="202">
        <v>228.124</v>
      </c>
      <c r="O43" s="202">
        <v>212.69399999999999</v>
      </c>
      <c r="P43" s="140"/>
      <c r="Q43" s="140">
        <v>10.599</v>
      </c>
      <c r="R43" s="245"/>
      <c r="S43" s="140">
        <f t="shared" si="4"/>
        <v>274.14399099177132</v>
      </c>
      <c r="T43" s="140">
        <f t="shared" si="5"/>
        <v>239.52892012241776</v>
      </c>
      <c r="U43" s="140">
        <f t="shared" si="6"/>
        <v>0</v>
      </c>
      <c r="V43" s="140">
        <f t="shared" si="7"/>
        <v>10.4224653821032</v>
      </c>
    </row>
    <row r="44" spans="1:22" s="66" customFormat="1">
      <c r="A44" s="133"/>
      <c r="B44" s="133" t="s">
        <v>1044</v>
      </c>
      <c r="C44" s="135">
        <v>19</v>
      </c>
      <c r="D44" s="136">
        <v>6310</v>
      </c>
      <c r="E44" s="137" t="s">
        <v>1310</v>
      </c>
      <c r="F44" s="264" t="s">
        <v>1093</v>
      </c>
      <c r="G44" s="138" t="s">
        <v>677</v>
      </c>
      <c r="H44" s="202"/>
      <c r="I44" s="202"/>
      <c r="J44" s="303">
        <v>332.2</v>
      </c>
      <c r="K44" s="303">
        <v>431.08800000000002</v>
      </c>
      <c r="M44" s="255" t="s">
        <v>1507</v>
      </c>
      <c r="N44" s="202"/>
      <c r="O44" s="202"/>
      <c r="P44" s="303">
        <v>332.2</v>
      </c>
      <c r="Q44" s="303">
        <v>431.08800000000002</v>
      </c>
      <c r="R44" s="244"/>
      <c r="S44" s="140">
        <f t="shared" si="4"/>
        <v>0</v>
      </c>
      <c r="T44" s="140">
        <f t="shared" si="5"/>
        <v>0</v>
      </c>
      <c r="U44" s="303">
        <f t="shared" si="6"/>
        <v>352.24696039957189</v>
      </c>
      <c r="V44" s="303">
        <f t="shared" si="7"/>
        <v>423.90789288047029</v>
      </c>
    </row>
    <row r="45" spans="1:22" s="66" customFormat="1">
      <c r="A45" s="133"/>
      <c r="B45" s="133" t="s">
        <v>1044</v>
      </c>
      <c r="C45" s="135">
        <v>19</v>
      </c>
      <c r="D45" s="136">
        <v>6310</v>
      </c>
      <c r="E45" s="137" t="s">
        <v>1310</v>
      </c>
      <c r="F45" s="264" t="s">
        <v>1093</v>
      </c>
      <c r="G45" s="138" t="s">
        <v>677</v>
      </c>
      <c r="H45" s="202"/>
      <c r="I45" s="202"/>
      <c r="J45" s="140">
        <v>212.69399999999999</v>
      </c>
      <c r="K45" s="140">
        <v>218.102</v>
      </c>
      <c r="M45" s="255" t="s">
        <v>1507</v>
      </c>
      <c r="N45" s="202"/>
      <c r="O45" s="202"/>
      <c r="P45" s="140">
        <v>212.69399999999999</v>
      </c>
      <c r="Q45" s="140">
        <v>218.102</v>
      </c>
      <c r="R45" s="245"/>
      <c r="S45" s="140">
        <f t="shared" si="4"/>
        <v>0</v>
      </c>
      <c r="T45" s="140">
        <f t="shared" si="5"/>
        <v>0</v>
      </c>
      <c r="U45" s="140">
        <f t="shared" si="6"/>
        <v>225.52924441669637</v>
      </c>
      <c r="V45" s="140">
        <f t="shared" si="7"/>
        <v>214.46934095362508</v>
      </c>
    </row>
    <row r="46" spans="1:22" s="66" customFormat="1">
      <c r="A46" s="133" t="s">
        <v>620</v>
      </c>
      <c r="B46" s="133" t="s">
        <v>1293</v>
      </c>
      <c r="C46" s="135">
        <v>33</v>
      </c>
      <c r="D46" s="136">
        <v>6310</v>
      </c>
      <c r="E46" s="137" t="s">
        <v>1026</v>
      </c>
      <c r="F46" s="264" t="s">
        <v>1093</v>
      </c>
      <c r="G46" s="138" t="s">
        <v>681</v>
      </c>
      <c r="H46" s="202">
        <v>56.627000000000002</v>
      </c>
      <c r="I46" s="202">
        <v>53.676000000000002</v>
      </c>
      <c r="J46" s="140">
        <v>56.627000000000002</v>
      </c>
      <c r="K46" s="140">
        <v>63.869</v>
      </c>
      <c r="L46" s="66" t="s">
        <v>686</v>
      </c>
      <c r="M46" s="255" t="s">
        <v>1507</v>
      </c>
      <c r="N46" s="202">
        <v>56.627000000000002</v>
      </c>
      <c r="O46" s="202">
        <v>53.676000000000002</v>
      </c>
      <c r="P46" s="140">
        <v>56.627000000000002</v>
      </c>
      <c r="Q46" s="140">
        <v>63.869</v>
      </c>
      <c r="R46" s="245"/>
      <c r="S46" s="140">
        <f t="shared" si="4"/>
        <v>68.050497877869205</v>
      </c>
      <c r="T46" s="140">
        <f t="shared" si="5"/>
        <v>60.448128844682486</v>
      </c>
      <c r="U46" s="140">
        <f t="shared" si="6"/>
        <v>60.044216214769889</v>
      </c>
      <c r="V46" s="140">
        <f t="shared" si="7"/>
        <v>62.805211952971902</v>
      </c>
    </row>
    <row r="47" spans="1:22" s="66" customFormat="1">
      <c r="A47" s="133"/>
      <c r="B47" s="133" t="s">
        <v>1446</v>
      </c>
      <c r="C47" s="135">
        <v>3</v>
      </c>
      <c r="D47" s="136">
        <v>6310</v>
      </c>
      <c r="E47" s="137" t="s">
        <v>509</v>
      </c>
      <c r="F47" s="264" t="s">
        <v>1093</v>
      </c>
      <c r="G47" s="138"/>
      <c r="H47" s="202">
        <v>90</v>
      </c>
      <c r="I47" s="202">
        <v>90</v>
      </c>
      <c r="J47" s="140">
        <v>96.38</v>
      </c>
      <c r="K47" s="140">
        <v>76.87</v>
      </c>
      <c r="L47" s="66" t="s">
        <v>686</v>
      </c>
      <c r="M47" s="255" t="s">
        <v>1507</v>
      </c>
      <c r="N47" s="202">
        <v>90</v>
      </c>
      <c r="O47" s="202">
        <v>90</v>
      </c>
      <c r="P47" s="140">
        <v>96.38</v>
      </c>
      <c r="Q47" s="140">
        <v>76.87</v>
      </c>
      <c r="R47" s="245"/>
      <c r="S47" s="140">
        <f t="shared" si="4"/>
        <v>108.15591165006497</v>
      </c>
      <c r="T47" s="140">
        <f t="shared" si="5"/>
        <v>101.35501147666412</v>
      </c>
      <c r="U47" s="140">
        <f t="shared" si="6"/>
        <v>102.19615305030322</v>
      </c>
      <c r="V47" s="140">
        <f t="shared" si="7"/>
        <v>75.589670150228613</v>
      </c>
    </row>
    <row r="48" spans="1:22" s="66" customFormat="1" ht="25.5">
      <c r="A48" s="133" t="s">
        <v>621</v>
      </c>
      <c r="B48" s="133" t="s">
        <v>1044</v>
      </c>
      <c r="C48" s="135">
        <v>21</v>
      </c>
      <c r="D48" s="136">
        <v>6310</v>
      </c>
      <c r="E48" s="137" t="s">
        <v>1356</v>
      </c>
      <c r="F48" s="264" t="s">
        <v>1093</v>
      </c>
      <c r="G48" s="138" t="s">
        <v>673</v>
      </c>
      <c r="H48" s="202">
        <v>63.752000000000002</v>
      </c>
      <c r="I48" s="202">
        <v>59.658999999999999</v>
      </c>
      <c r="J48" s="140">
        <v>59.658999999999999</v>
      </c>
      <c r="K48" s="140">
        <v>74.043999999999997</v>
      </c>
      <c r="L48" s="66" t="s">
        <v>415</v>
      </c>
      <c r="M48" s="255" t="s">
        <v>1507</v>
      </c>
      <c r="N48" s="202">
        <v>63.752000000000002</v>
      </c>
      <c r="O48" s="202">
        <v>59.658999999999999</v>
      </c>
      <c r="P48" s="140">
        <v>59.658999999999999</v>
      </c>
      <c r="Q48" s="140">
        <v>74.043999999999997</v>
      </c>
      <c r="R48" s="245"/>
      <c r="S48" s="140">
        <f t="shared" si="4"/>
        <v>76.612840883499345</v>
      </c>
      <c r="T48" s="140">
        <f t="shared" si="5"/>
        <v>67.18598477429228</v>
      </c>
      <c r="U48" s="140">
        <f t="shared" si="6"/>
        <v>63.259185462004993</v>
      </c>
      <c r="V48" s="140">
        <f t="shared" si="7"/>
        <v>72.810739386022192</v>
      </c>
    </row>
    <row r="49" spans="1:22" s="66" customFormat="1">
      <c r="A49" s="133" t="s">
        <v>433</v>
      </c>
      <c r="B49" s="133" t="s">
        <v>1042</v>
      </c>
      <c r="C49" s="135">
        <v>13</v>
      </c>
      <c r="D49" s="136">
        <v>6310</v>
      </c>
      <c r="E49" s="137" t="s">
        <v>1355</v>
      </c>
      <c r="F49" s="264" t="s">
        <v>1093</v>
      </c>
      <c r="G49" s="138" t="s">
        <v>677</v>
      </c>
      <c r="H49" s="202">
        <v>120.57</v>
      </c>
      <c r="I49" s="202">
        <v>135.245</v>
      </c>
      <c r="J49" s="140">
        <v>135.245</v>
      </c>
      <c r="K49" s="140">
        <v>140.345</v>
      </c>
      <c r="L49" s="66" t="s">
        <v>686</v>
      </c>
      <c r="M49" s="255" t="s">
        <v>1507</v>
      </c>
      <c r="N49" s="202">
        <v>120.57</v>
      </c>
      <c r="O49" s="202">
        <v>135.245</v>
      </c>
      <c r="P49" s="140">
        <v>135.245</v>
      </c>
      <c r="Q49" s="140">
        <v>140.345</v>
      </c>
      <c r="R49" s="245"/>
      <c r="S49" s="140">
        <f t="shared" si="4"/>
        <v>144.89286964053701</v>
      </c>
      <c r="T49" s="140">
        <f t="shared" si="5"/>
        <v>152.30842807957157</v>
      </c>
      <c r="U49" s="140">
        <f t="shared" si="6"/>
        <v>143.40650258651445</v>
      </c>
      <c r="V49" s="140">
        <f t="shared" si="7"/>
        <v>138.00744448073152</v>
      </c>
    </row>
    <row r="50" spans="1:22" s="66" customFormat="1">
      <c r="A50" s="133" t="s">
        <v>507</v>
      </c>
      <c r="B50" s="133" t="s">
        <v>1080</v>
      </c>
      <c r="C50" s="135">
        <v>1</v>
      </c>
      <c r="D50" s="136">
        <v>6310</v>
      </c>
      <c r="E50" s="137" t="s">
        <v>507</v>
      </c>
      <c r="F50" s="264" t="s">
        <v>1093</v>
      </c>
      <c r="G50" s="138" t="s">
        <v>673</v>
      </c>
      <c r="H50" s="202">
        <v>43.481999999999999</v>
      </c>
      <c r="I50" s="202">
        <v>43.186</v>
      </c>
      <c r="J50" s="140">
        <v>43.186</v>
      </c>
      <c r="K50" s="140">
        <v>53.381</v>
      </c>
      <c r="L50" s="66" t="s">
        <v>415</v>
      </c>
      <c r="M50" s="255" t="s">
        <v>1507</v>
      </c>
      <c r="N50" s="202">
        <v>43.481999999999999</v>
      </c>
      <c r="O50" s="202">
        <v>43.186</v>
      </c>
      <c r="P50" s="140">
        <v>43.186</v>
      </c>
      <c r="Q50" s="140">
        <v>53.381</v>
      </c>
      <c r="R50" s="245"/>
      <c r="S50" s="140">
        <f t="shared" si="4"/>
        <v>52.253726115201381</v>
      </c>
      <c r="T50" s="140">
        <f t="shared" si="5"/>
        <v>48.634639173680185</v>
      </c>
      <c r="U50" s="140">
        <f t="shared" si="6"/>
        <v>45.792104851944345</v>
      </c>
      <c r="V50" s="140">
        <f t="shared" si="7"/>
        <v>52.491897779229262</v>
      </c>
    </row>
    <row r="51" spans="1:22" s="66" customFormat="1">
      <c r="A51" s="133" t="s">
        <v>678</v>
      </c>
      <c r="B51" s="133" t="s">
        <v>191</v>
      </c>
      <c r="C51" s="135">
        <v>4</v>
      </c>
      <c r="D51" s="136">
        <v>6310</v>
      </c>
      <c r="E51" s="137" t="s">
        <v>917</v>
      </c>
      <c r="F51" s="264" t="s">
        <v>1093</v>
      </c>
      <c r="G51" s="138" t="s">
        <v>682</v>
      </c>
      <c r="H51" s="202">
        <v>211.88800000000001</v>
      </c>
      <c r="I51" s="202">
        <v>295.92399999999998</v>
      </c>
      <c r="J51" s="140">
        <v>295.92399999999998</v>
      </c>
      <c r="K51" s="140">
        <v>305.67399999999998</v>
      </c>
      <c r="L51" s="66" t="s">
        <v>686</v>
      </c>
      <c r="M51" s="255" t="s">
        <v>1507</v>
      </c>
      <c r="N51" s="202">
        <v>211.88800000000001</v>
      </c>
      <c r="O51" s="202">
        <v>295.92399999999998</v>
      </c>
      <c r="P51" s="140">
        <v>295.92399999999998</v>
      </c>
      <c r="Q51" s="140">
        <v>305.67399999999998</v>
      </c>
      <c r="R51" s="245"/>
      <c r="S51" s="140">
        <f t="shared" si="4"/>
        <v>254.63266453009962</v>
      </c>
      <c r="T51" s="140">
        <f t="shared" si="5"/>
        <v>333.25978240244837</v>
      </c>
      <c r="U51" s="140">
        <f t="shared" si="6"/>
        <v>313.78184680699246</v>
      </c>
      <c r="V51" s="140">
        <f t="shared" si="7"/>
        <v>300.58276094056163</v>
      </c>
    </row>
    <row r="52" spans="1:22" s="66" customFormat="1">
      <c r="A52" s="191" t="s">
        <v>442</v>
      </c>
      <c r="B52" s="191" t="s">
        <v>1044</v>
      </c>
      <c r="C52" s="192">
        <v>2</v>
      </c>
      <c r="D52" s="193">
        <v>6310</v>
      </c>
      <c r="E52" s="150" t="s">
        <v>917</v>
      </c>
      <c r="F52" s="265" t="s">
        <v>1093</v>
      </c>
      <c r="G52" s="138" t="s">
        <v>673</v>
      </c>
      <c r="H52" s="140">
        <v>103.7</v>
      </c>
      <c r="I52" s="140">
        <v>59.6</v>
      </c>
      <c r="J52" s="140">
        <v>44.78</v>
      </c>
      <c r="K52" s="140">
        <v>57.005000000000003</v>
      </c>
      <c r="L52" s="66" t="s">
        <v>415</v>
      </c>
      <c r="M52" s="255" t="s">
        <v>1507</v>
      </c>
      <c r="N52" s="140">
        <v>103.7</v>
      </c>
      <c r="O52" s="140">
        <v>59.6</v>
      </c>
      <c r="P52" s="140">
        <v>44.78</v>
      </c>
      <c r="Q52" s="140">
        <v>57.005000000000003</v>
      </c>
      <c r="R52" s="245"/>
      <c r="S52" s="140">
        <f t="shared" si="4"/>
        <v>124.61964486790816</v>
      </c>
      <c r="T52" s="140">
        <f t="shared" si="5"/>
        <v>67.119540933435346</v>
      </c>
      <c r="U52" s="140">
        <f t="shared" si="6"/>
        <v>47.482296468069926</v>
      </c>
      <c r="V52" s="140">
        <f t="shared" si="7"/>
        <v>56.055537230568255</v>
      </c>
    </row>
    <row r="53" spans="1:22" s="200" customFormat="1" ht="13.5" thickBot="1">
      <c r="A53" s="198" t="s">
        <v>1110</v>
      </c>
      <c r="B53" s="198"/>
      <c r="C53" s="199"/>
      <c r="E53" s="201" t="s">
        <v>1502</v>
      </c>
      <c r="F53" s="266"/>
      <c r="G53" s="198"/>
      <c r="H53" s="212">
        <f>SUM(H41:H52)</f>
        <v>973.7890000000001</v>
      </c>
      <c r="I53" s="212">
        <f>SUM(I41:I52)</f>
        <v>1008.0319999999999</v>
      </c>
      <c r="J53" s="212">
        <f>SUM(J41:J52)</f>
        <v>1337.0929999999998</v>
      </c>
      <c r="K53" s="212">
        <f>SUM(K41:K52)</f>
        <v>1483.5660000000003</v>
      </c>
      <c r="L53" s="200" t="s">
        <v>686</v>
      </c>
      <c r="M53" s="256"/>
      <c r="N53" s="212">
        <f>SUM(N41:N52)</f>
        <v>973.7890000000001</v>
      </c>
      <c r="O53" s="212">
        <f>SUM(O41:O52)</f>
        <v>1008.0319999999999</v>
      </c>
      <c r="P53" s="212">
        <f>SUM(P41:P52)</f>
        <v>1337.0929999999998</v>
      </c>
      <c r="Q53" s="212">
        <f>SUM(Q41:Q52)</f>
        <v>1483.5660000000003</v>
      </c>
      <c r="R53" s="246"/>
      <c r="S53" s="212">
        <f t="shared" si="4"/>
        <v>1170.2337449978347</v>
      </c>
      <c r="T53" s="212">
        <f t="shared" si="5"/>
        <v>1135.212165876052</v>
      </c>
      <c r="U53" s="212">
        <f t="shared" si="6"/>
        <v>1417.7812914555832</v>
      </c>
      <c r="V53" s="212">
        <f t="shared" si="7"/>
        <v>1458.8560502939258</v>
      </c>
    </row>
    <row r="54" spans="1:22" s="231" customFormat="1" ht="13.5" thickBot="1">
      <c r="A54" s="229"/>
      <c r="B54" s="229"/>
      <c r="C54" s="230"/>
      <c r="E54" s="232"/>
      <c r="F54" s="267"/>
      <c r="G54" s="229"/>
      <c r="H54" s="233"/>
      <c r="I54" s="233"/>
      <c r="J54" s="233"/>
      <c r="K54" s="233"/>
      <c r="M54" s="257" t="s">
        <v>1520</v>
      </c>
      <c r="N54" s="234">
        <f>graddage!D23</f>
        <v>0.80819040952047605</v>
      </c>
      <c r="O54" s="234">
        <f>graddage!D24</f>
        <v>0.87075283144570281</v>
      </c>
      <c r="P54" s="234">
        <f>graddage!D25</f>
        <v>0.93371085942704868</v>
      </c>
      <c r="Q54" s="234">
        <f>graddage!D26</f>
        <v>1.0199866755496336</v>
      </c>
      <c r="R54" s="247"/>
      <c r="S54" s="234"/>
      <c r="T54" s="234"/>
      <c r="U54" s="234"/>
      <c r="V54" s="234"/>
    </row>
    <row r="55" spans="1:22" s="173" customFormat="1">
      <c r="A55" s="174"/>
      <c r="B55" s="174"/>
      <c r="C55" s="175"/>
      <c r="D55" s="176"/>
      <c r="E55" s="177"/>
      <c r="F55" s="269"/>
      <c r="G55" s="172"/>
      <c r="H55" s="219"/>
      <c r="I55" s="219"/>
      <c r="J55" s="219"/>
      <c r="K55" s="219"/>
      <c r="M55" s="255"/>
      <c r="N55" s="219"/>
      <c r="O55" s="219"/>
      <c r="P55" s="219"/>
      <c r="Q55" s="219"/>
      <c r="R55" s="245"/>
    </row>
    <row r="56" spans="1:22" s="183" customFormat="1">
      <c r="A56" s="178" t="s">
        <v>685</v>
      </c>
      <c r="B56" s="178" t="s">
        <v>487</v>
      </c>
      <c r="C56" s="179">
        <v>5</v>
      </c>
      <c r="D56" s="180">
        <v>6400</v>
      </c>
      <c r="E56" s="181" t="s">
        <v>1015</v>
      </c>
      <c r="F56" s="263" t="s">
        <v>1093</v>
      </c>
      <c r="G56" s="182"/>
      <c r="H56" s="220"/>
      <c r="I56" s="220"/>
      <c r="J56" s="220"/>
      <c r="K56" s="220"/>
      <c r="M56" s="253"/>
      <c r="N56" s="220"/>
      <c r="O56" s="220"/>
      <c r="P56" s="220"/>
      <c r="Q56" s="220"/>
      <c r="R56" s="243"/>
    </row>
    <row r="57" spans="1:22" s="183" customFormat="1">
      <c r="A57" s="178" t="s">
        <v>118</v>
      </c>
      <c r="B57" s="178" t="s">
        <v>1053</v>
      </c>
      <c r="C57" s="179">
        <v>35</v>
      </c>
      <c r="D57" s="180">
        <v>6400</v>
      </c>
      <c r="E57" s="181" t="s">
        <v>118</v>
      </c>
      <c r="F57" s="263" t="s">
        <v>1093</v>
      </c>
      <c r="G57" s="182" t="s">
        <v>677</v>
      </c>
      <c r="H57" s="220">
        <v>2785.2</v>
      </c>
      <c r="I57" s="220">
        <v>3326.1</v>
      </c>
      <c r="J57" s="220">
        <v>3548.2</v>
      </c>
      <c r="K57" s="220">
        <v>3691</v>
      </c>
      <c r="L57" s="183" t="s">
        <v>896</v>
      </c>
      <c r="M57" s="258" t="s">
        <v>894</v>
      </c>
      <c r="N57" s="220">
        <f>H57/3.6</f>
        <v>773.66666666666663</v>
      </c>
      <c r="O57" s="220">
        <f t="shared" ref="O57:Q71" si="8">I57/3.6</f>
        <v>923.91666666666663</v>
      </c>
      <c r="P57" s="220">
        <f t="shared" si="8"/>
        <v>985.61111111111109</v>
      </c>
      <c r="Q57" s="220">
        <f t="shared" si="8"/>
        <v>1025.2777777777778</v>
      </c>
      <c r="R57" s="243"/>
      <c r="S57" s="220">
        <f t="shared" ref="S57:S88" si="9">0.85*N57/$N$119+0.15*N57</f>
        <v>860.17560623193845</v>
      </c>
      <c r="T57" s="220">
        <f t="shared" ref="T57:T88" si="10">0.85*O57/$O$119+0.15*O57</f>
        <v>992.15671011344432</v>
      </c>
      <c r="U57" s="220">
        <f t="shared" ref="U57:U88" si="11">0.85*P57/$P$119+0.15*P57</f>
        <v>927.4398911620857</v>
      </c>
      <c r="V57" s="220">
        <f t="shared" ref="V57:V88" si="12">0.85*Q57/$Q$119+0.15*Q57</f>
        <v>983.27844712182048</v>
      </c>
    </row>
    <row r="58" spans="1:22" s="183" customFormat="1">
      <c r="A58" s="178" t="s">
        <v>1307</v>
      </c>
      <c r="B58" s="178" t="s">
        <v>188</v>
      </c>
      <c r="C58" s="179">
        <v>22</v>
      </c>
      <c r="D58" s="180">
        <v>6400</v>
      </c>
      <c r="E58" s="181" t="s">
        <v>1307</v>
      </c>
      <c r="F58" s="263" t="s">
        <v>1093</v>
      </c>
      <c r="G58" s="182" t="s">
        <v>673</v>
      </c>
      <c r="H58" s="220">
        <v>136.63</v>
      </c>
      <c r="I58" s="220">
        <v>168.85</v>
      </c>
      <c r="J58" s="220">
        <v>160.63</v>
      </c>
      <c r="K58" s="220">
        <v>177.78</v>
      </c>
      <c r="L58" s="183" t="s">
        <v>896</v>
      </c>
      <c r="M58" s="258" t="s">
        <v>894</v>
      </c>
      <c r="N58" s="220">
        <f t="shared" ref="N58:N117" si="13">H58/3.6</f>
        <v>37.952777777777776</v>
      </c>
      <c r="O58" s="220">
        <f t="shared" si="8"/>
        <v>46.902777777777779</v>
      </c>
      <c r="P58" s="220">
        <f t="shared" si="8"/>
        <v>44.61944444444444</v>
      </c>
      <c r="Q58" s="220">
        <f t="shared" si="8"/>
        <v>49.383333333333333</v>
      </c>
      <c r="R58" s="243"/>
      <c r="S58" s="220">
        <f t="shared" si="9"/>
        <v>42.196536363445993</v>
      </c>
      <c r="T58" s="220">
        <f t="shared" si="10"/>
        <v>50.36699452892428</v>
      </c>
      <c r="U58" s="220">
        <f t="shared" si="11"/>
        <v>41.985984363160426</v>
      </c>
      <c r="V58" s="220">
        <f t="shared" si="12"/>
        <v>47.360401606425704</v>
      </c>
    </row>
    <row r="59" spans="1:22" s="183" customFormat="1">
      <c r="A59" s="151" t="s">
        <v>418</v>
      </c>
      <c r="B59" s="151" t="s">
        <v>498</v>
      </c>
      <c r="C59" s="179">
        <v>3</v>
      </c>
      <c r="D59" s="180">
        <v>6400</v>
      </c>
      <c r="E59" s="181" t="s">
        <v>959</v>
      </c>
      <c r="F59" s="263" t="s">
        <v>1093</v>
      </c>
      <c r="G59" s="182" t="s">
        <v>672</v>
      </c>
      <c r="H59" s="220">
        <v>47.23</v>
      </c>
      <c r="I59" s="220">
        <v>43.29</v>
      </c>
      <c r="J59" s="220">
        <v>42.21</v>
      </c>
      <c r="K59" s="220">
        <v>56.19</v>
      </c>
      <c r="L59" s="183" t="s">
        <v>896</v>
      </c>
      <c r="M59" s="258" t="s">
        <v>894</v>
      </c>
      <c r="N59" s="220">
        <f t="shared" si="13"/>
        <v>13.119444444444444</v>
      </c>
      <c r="O59" s="220">
        <f t="shared" si="8"/>
        <v>12.024999999999999</v>
      </c>
      <c r="P59" s="220">
        <f t="shared" si="8"/>
        <v>11.725</v>
      </c>
      <c r="Q59" s="220">
        <f t="shared" si="8"/>
        <v>15.608333333333333</v>
      </c>
      <c r="R59" s="243"/>
      <c r="S59" s="220">
        <f t="shared" si="9"/>
        <v>14.586418886376009</v>
      </c>
      <c r="T59" s="220">
        <f t="shared" si="10"/>
        <v>12.913160753077475</v>
      </c>
      <c r="U59" s="220">
        <f t="shared" si="11"/>
        <v>11.032985120892743</v>
      </c>
      <c r="V59" s="220">
        <f t="shared" si="12"/>
        <v>14.968955823293172</v>
      </c>
    </row>
    <row r="60" spans="1:22" s="183" customFormat="1">
      <c r="A60" s="151" t="s">
        <v>418</v>
      </c>
      <c r="B60" s="151" t="s">
        <v>498</v>
      </c>
      <c r="C60" s="179">
        <v>3</v>
      </c>
      <c r="D60" s="180">
        <v>6400</v>
      </c>
      <c r="E60" s="181" t="s">
        <v>959</v>
      </c>
      <c r="F60" s="263" t="s">
        <v>1093</v>
      </c>
      <c r="G60" s="182" t="s">
        <v>672</v>
      </c>
      <c r="H60" s="220"/>
      <c r="I60" s="220"/>
      <c r="J60" s="220">
        <v>46.12</v>
      </c>
      <c r="K60" s="220">
        <v>55.16</v>
      </c>
      <c r="L60" s="183" t="s">
        <v>896</v>
      </c>
      <c r="M60" s="258" t="s">
        <v>894</v>
      </c>
      <c r="N60" s="220">
        <f t="shared" si="13"/>
        <v>0</v>
      </c>
      <c r="O60" s="220">
        <f t="shared" si="8"/>
        <v>0</v>
      </c>
      <c r="P60" s="220">
        <f t="shared" si="8"/>
        <v>12.81111111111111</v>
      </c>
      <c r="Q60" s="220">
        <f t="shared" si="8"/>
        <v>15.322222222222221</v>
      </c>
      <c r="R60" s="243"/>
      <c r="S60" s="220">
        <f t="shared" si="9"/>
        <v>0</v>
      </c>
      <c r="T60" s="220">
        <f t="shared" si="10"/>
        <v>0</v>
      </c>
      <c r="U60" s="220">
        <f t="shared" si="11"/>
        <v>12.054993455948196</v>
      </c>
      <c r="V60" s="220">
        <f t="shared" si="12"/>
        <v>14.694564926372152</v>
      </c>
    </row>
    <row r="61" spans="1:22" s="183" customFormat="1">
      <c r="A61" s="151" t="s">
        <v>925</v>
      </c>
      <c r="B61" s="178" t="s">
        <v>188</v>
      </c>
      <c r="C61" s="179">
        <v>20</v>
      </c>
      <c r="D61" s="180">
        <v>6400</v>
      </c>
      <c r="E61" s="181"/>
      <c r="F61" s="263" t="s">
        <v>1093</v>
      </c>
      <c r="G61" s="182" t="s">
        <v>683</v>
      </c>
      <c r="H61" s="220">
        <v>4592.8</v>
      </c>
      <c r="I61" s="220">
        <v>3644.52</v>
      </c>
      <c r="J61" s="220">
        <v>3644.52</v>
      </c>
      <c r="K61" s="220">
        <v>4016.83</v>
      </c>
      <c r="L61" s="183" t="s">
        <v>896</v>
      </c>
      <c r="M61" s="258" t="s">
        <v>894</v>
      </c>
      <c r="N61" s="220">
        <f t="shared" si="13"/>
        <v>1275.7777777777778</v>
      </c>
      <c r="O61" s="220">
        <f t="shared" si="8"/>
        <v>1012.3666666666667</v>
      </c>
      <c r="P61" s="220">
        <f t="shared" si="8"/>
        <v>1012.3666666666667</v>
      </c>
      <c r="Q61" s="220">
        <f t="shared" si="8"/>
        <v>1115.786111111111</v>
      </c>
      <c r="R61" s="243"/>
      <c r="S61" s="220">
        <f t="shared" si="9"/>
        <v>1418.4311806340829</v>
      </c>
      <c r="T61" s="220">
        <f t="shared" si="10"/>
        <v>1087.139584841902</v>
      </c>
      <c r="U61" s="220">
        <f t="shared" si="11"/>
        <v>952.61632155404004</v>
      </c>
      <c r="V61" s="220">
        <f t="shared" si="12"/>
        <v>1070.0792101740292</v>
      </c>
    </row>
    <row r="62" spans="1:22" s="183" customFormat="1">
      <c r="A62" s="151" t="s">
        <v>688</v>
      </c>
      <c r="B62" s="151" t="s">
        <v>1298</v>
      </c>
      <c r="C62" s="152">
        <v>52</v>
      </c>
      <c r="D62" s="153">
        <v>6400</v>
      </c>
      <c r="E62" s="154" t="s">
        <v>1343</v>
      </c>
      <c r="F62" s="264" t="s">
        <v>1093</v>
      </c>
      <c r="G62" s="155" t="s">
        <v>673</v>
      </c>
      <c r="H62" s="206">
        <v>129.69999999999999</v>
      </c>
      <c r="I62" s="206">
        <v>146.97</v>
      </c>
      <c r="J62" s="206">
        <v>161.47999999999999</v>
      </c>
      <c r="K62" s="206">
        <v>190.8</v>
      </c>
      <c r="L62" s="183" t="s">
        <v>896</v>
      </c>
      <c r="M62" s="258" t="s">
        <v>894</v>
      </c>
      <c r="N62" s="220">
        <f t="shared" si="13"/>
        <v>36.027777777777771</v>
      </c>
      <c r="O62" s="220">
        <f t="shared" si="8"/>
        <v>40.824999999999996</v>
      </c>
      <c r="P62" s="220">
        <f t="shared" si="8"/>
        <v>44.855555555555554</v>
      </c>
      <c r="Q62" s="220">
        <f t="shared" si="8"/>
        <v>53</v>
      </c>
      <c r="R62" s="243"/>
      <c r="S62" s="220">
        <f t="shared" si="9"/>
        <v>40.056289001968416</v>
      </c>
      <c r="T62" s="220">
        <f t="shared" si="10"/>
        <v>43.840314989138299</v>
      </c>
      <c r="U62" s="220">
        <f t="shared" si="11"/>
        <v>42.208160088172484</v>
      </c>
      <c r="V62" s="220">
        <f t="shared" si="12"/>
        <v>50.828915662650601</v>
      </c>
    </row>
    <row r="63" spans="1:22" s="183" customFormat="1">
      <c r="A63" s="178" t="s">
        <v>1174</v>
      </c>
      <c r="B63" s="178" t="s">
        <v>491</v>
      </c>
      <c r="C63" s="179">
        <v>11</v>
      </c>
      <c r="D63" s="180">
        <v>6400</v>
      </c>
      <c r="E63" s="181" t="s">
        <v>1174</v>
      </c>
      <c r="F63" s="263" t="s">
        <v>1093</v>
      </c>
      <c r="G63" s="182" t="s">
        <v>681</v>
      </c>
      <c r="H63" s="220">
        <v>66.150000000000006</v>
      </c>
      <c r="I63" s="220">
        <v>81.44</v>
      </c>
      <c r="J63" s="206">
        <v>84.89</v>
      </c>
      <c r="K63" s="220">
        <v>79.52</v>
      </c>
      <c r="L63" s="183" t="s">
        <v>896</v>
      </c>
      <c r="M63" s="258" t="s">
        <v>894</v>
      </c>
      <c r="N63" s="220">
        <f t="shared" si="13"/>
        <v>18.375</v>
      </c>
      <c r="O63" s="220">
        <f t="shared" si="8"/>
        <v>22.62222222222222</v>
      </c>
      <c r="P63" s="220">
        <f t="shared" si="8"/>
        <v>23.580555555555556</v>
      </c>
      <c r="Q63" s="220">
        <f t="shared" si="8"/>
        <v>22.088888888888889</v>
      </c>
      <c r="R63" s="243"/>
      <c r="S63" s="220">
        <f t="shared" si="9"/>
        <v>20.429633905013194</v>
      </c>
      <c r="T63" s="220">
        <f t="shared" si="10"/>
        <v>24.293088744066292</v>
      </c>
      <c r="U63" s="220">
        <f t="shared" si="11"/>
        <v>22.18882034855686</v>
      </c>
      <c r="V63" s="220">
        <f t="shared" si="12"/>
        <v>21.18404283801874</v>
      </c>
    </row>
    <row r="64" spans="1:22" s="183" customFormat="1">
      <c r="A64" s="178" t="s">
        <v>124</v>
      </c>
      <c r="B64" s="178" t="s">
        <v>472</v>
      </c>
      <c r="C64" s="179">
        <v>17</v>
      </c>
      <c r="D64" s="180">
        <v>6400</v>
      </c>
      <c r="E64" s="181" t="s">
        <v>124</v>
      </c>
      <c r="F64" s="263" t="s">
        <v>1093</v>
      </c>
      <c r="G64" s="182" t="s">
        <v>673</v>
      </c>
      <c r="H64" s="220">
        <v>313.54000000000002</v>
      </c>
      <c r="I64" s="220">
        <v>328.13</v>
      </c>
      <c r="J64" s="206">
        <v>304.39999999999998</v>
      </c>
      <c r="K64" s="220">
        <v>328.63</v>
      </c>
      <c r="L64" s="183" t="s">
        <v>896</v>
      </c>
      <c r="M64" s="258" t="s">
        <v>894</v>
      </c>
      <c r="N64" s="220">
        <f t="shared" si="13"/>
        <v>87.094444444444449</v>
      </c>
      <c r="O64" s="220">
        <f t="shared" si="8"/>
        <v>91.147222222222226</v>
      </c>
      <c r="P64" s="220">
        <f t="shared" si="8"/>
        <v>84.555555555555543</v>
      </c>
      <c r="Q64" s="220">
        <f t="shared" si="8"/>
        <v>91.286111111111111</v>
      </c>
      <c r="R64" s="243"/>
      <c r="S64" s="220">
        <f t="shared" si="9"/>
        <v>96.833067491728443</v>
      </c>
      <c r="T64" s="220">
        <f t="shared" si="10"/>
        <v>97.879312494971444</v>
      </c>
      <c r="U64" s="220">
        <f t="shared" si="11"/>
        <v>79.565047874905261</v>
      </c>
      <c r="V64" s="220">
        <f t="shared" si="12"/>
        <v>87.546680053547519</v>
      </c>
    </row>
    <row r="65" spans="1:23" s="183" customFormat="1">
      <c r="A65" s="178" t="s">
        <v>427</v>
      </c>
      <c r="B65" s="178" t="s">
        <v>186</v>
      </c>
      <c r="C65" s="179">
        <v>14</v>
      </c>
      <c r="D65" s="180">
        <v>6400</v>
      </c>
      <c r="E65" s="181" t="s">
        <v>427</v>
      </c>
      <c r="F65" s="263" t="s">
        <v>1093</v>
      </c>
      <c r="G65" s="182" t="s">
        <v>673</v>
      </c>
      <c r="H65" s="220">
        <v>97.89</v>
      </c>
      <c r="I65" s="220">
        <v>119.17</v>
      </c>
      <c r="J65" s="206">
        <v>120.16</v>
      </c>
      <c r="K65" s="220">
        <v>125.04</v>
      </c>
      <c r="L65" s="183" t="s">
        <v>896</v>
      </c>
      <c r="M65" s="258" t="s">
        <v>894</v>
      </c>
      <c r="N65" s="220">
        <f t="shared" si="13"/>
        <v>27.191666666666666</v>
      </c>
      <c r="O65" s="220">
        <f t="shared" si="8"/>
        <v>33.102777777777774</v>
      </c>
      <c r="P65" s="220">
        <f t="shared" si="8"/>
        <v>33.377777777777773</v>
      </c>
      <c r="Q65" s="220">
        <f t="shared" si="8"/>
        <v>34.733333333333334</v>
      </c>
      <c r="R65" s="243"/>
      <c r="S65" s="220">
        <f t="shared" si="9"/>
        <v>30.232152123382335</v>
      </c>
      <c r="T65" s="220">
        <f t="shared" si="10"/>
        <v>35.54773312414514</v>
      </c>
      <c r="U65" s="220">
        <f t="shared" si="11"/>
        <v>31.407806020527651</v>
      </c>
      <c r="V65" s="220">
        <f t="shared" si="12"/>
        <v>33.310522088353409</v>
      </c>
    </row>
    <row r="66" spans="1:23" s="183" customFormat="1">
      <c r="A66" s="151" t="s">
        <v>420</v>
      </c>
      <c r="B66" s="178" t="s">
        <v>471</v>
      </c>
      <c r="C66" s="179">
        <v>130</v>
      </c>
      <c r="D66" s="180">
        <v>6400</v>
      </c>
      <c r="E66" s="181" t="s">
        <v>897</v>
      </c>
      <c r="F66" s="263" t="s">
        <v>1093</v>
      </c>
      <c r="G66" s="182" t="s">
        <v>673</v>
      </c>
      <c r="H66" s="220">
        <v>165.61</v>
      </c>
      <c r="I66" s="220">
        <v>182.09</v>
      </c>
      <c r="J66" s="206">
        <v>192.25</v>
      </c>
      <c r="K66" s="220">
        <v>214.22</v>
      </c>
      <c r="L66" s="183" t="s">
        <v>896</v>
      </c>
      <c r="M66" s="258" t="s">
        <v>894</v>
      </c>
      <c r="N66" s="220">
        <f t="shared" si="13"/>
        <v>46.00277777777778</v>
      </c>
      <c r="O66" s="220">
        <f t="shared" si="8"/>
        <v>50.580555555555556</v>
      </c>
      <c r="P66" s="220">
        <f t="shared" si="8"/>
        <v>53.402777777777779</v>
      </c>
      <c r="Q66" s="220">
        <f t="shared" si="8"/>
        <v>59.505555555555553</v>
      </c>
      <c r="R66" s="243"/>
      <c r="S66" s="220">
        <f t="shared" si="9"/>
        <v>51.146661693261301</v>
      </c>
      <c r="T66" s="220">
        <f t="shared" si="10"/>
        <v>54.316411215705202</v>
      </c>
      <c r="U66" s="220">
        <f t="shared" si="11"/>
        <v>50.250921333608865</v>
      </c>
      <c r="V66" s="220">
        <f t="shared" si="12"/>
        <v>57.067978580990626</v>
      </c>
    </row>
    <row r="67" spans="1:23" s="183" customFormat="1">
      <c r="A67" s="151" t="s">
        <v>1325</v>
      </c>
      <c r="B67" s="178" t="s">
        <v>1057</v>
      </c>
      <c r="C67" s="179">
        <v>74</v>
      </c>
      <c r="D67" s="180">
        <v>6400</v>
      </c>
      <c r="E67" s="181" t="s">
        <v>1152</v>
      </c>
      <c r="F67" s="263" t="s">
        <v>1093</v>
      </c>
      <c r="G67" s="182" t="s">
        <v>673</v>
      </c>
      <c r="H67" s="220">
        <v>65.81</v>
      </c>
      <c r="I67" s="220">
        <v>65.81</v>
      </c>
      <c r="J67" s="206">
        <v>32</v>
      </c>
      <c r="K67" s="220">
        <v>35</v>
      </c>
      <c r="L67" s="183" t="s">
        <v>896</v>
      </c>
      <c r="M67" s="258" t="s">
        <v>894</v>
      </c>
      <c r="N67" s="220">
        <f t="shared" si="13"/>
        <v>18.280555555555555</v>
      </c>
      <c r="O67" s="220">
        <f t="shared" si="8"/>
        <v>18.280555555555555</v>
      </c>
      <c r="P67" s="220">
        <f t="shared" si="8"/>
        <v>8.8888888888888893</v>
      </c>
      <c r="Q67" s="220">
        <f t="shared" si="8"/>
        <v>9.7222222222222214</v>
      </c>
      <c r="R67" s="243"/>
      <c r="S67" s="220">
        <f t="shared" si="9"/>
        <v>20.324628983959457</v>
      </c>
      <c r="T67" s="220">
        <f t="shared" si="10"/>
        <v>19.630748652345321</v>
      </c>
      <c r="U67" s="220">
        <f t="shared" si="11"/>
        <v>8.3642625886891224</v>
      </c>
      <c r="V67" s="220">
        <f t="shared" si="12"/>
        <v>9.3239625167335998</v>
      </c>
    </row>
    <row r="68" spans="1:23" s="183" customFormat="1">
      <c r="A68" s="178" t="s">
        <v>816</v>
      </c>
      <c r="B68" s="178" t="s">
        <v>791</v>
      </c>
      <c r="C68" s="179">
        <v>54</v>
      </c>
      <c r="D68" s="180">
        <v>6400</v>
      </c>
      <c r="E68" s="181" t="s">
        <v>816</v>
      </c>
      <c r="F68" s="263" t="s">
        <v>1093</v>
      </c>
      <c r="G68" s="182" t="s">
        <v>673</v>
      </c>
      <c r="H68" s="220">
        <v>150.84</v>
      </c>
      <c r="I68" s="220">
        <v>162.66999999999999</v>
      </c>
      <c r="J68" s="220">
        <v>169.18</v>
      </c>
      <c r="K68" s="220">
        <v>194.8</v>
      </c>
      <c r="L68" s="183" t="s">
        <v>896</v>
      </c>
      <c r="M68" s="258" t="s">
        <v>894</v>
      </c>
      <c r="N68" s="220">
        <f t="shared" si="13"/>
        <v>41.9</v>
      </c>
      <c r="O68" s="220">
        <f t="shared" si="8"/>
        <v>45.18611111111111</v>
      </c>
      <c r="P68" s="220">
        <f t="shared" si="8"/>
        <v>46.994444444444447</v>
      </c>
      <c r="Q68" s="220">
        <f t="shared" si="8"/>
        <v>54.111111111111114</v>
      </c>
      <c r="R68" s="243"/>
      <c r="S68" s="220">
        <f t="shared" si="9"/>
        <v>46.585124387485855</v>
      </c>
      <c r="T68" s="220">
        <f t="shared" si="10"/>
        <v>48.523535682677604</v>
      </c>
      <c r="U68" s="220">
        <f t="shared" si="11"/>
        <v>44.220810773575806</v>
      </c>
      <c r="V68" s="220">
        <f t="shared" si="12"/>
        <v>51.894511378848726</v>
      </c>
    </row>
    <row r="69" spans="1:23" s="183" customFormat="1">
      <c r="A69" s="178" t="s">
        <v>905</v>
      </c>
      <c r="B69" s="178" t="s">
        <v>742</v>
      </c>
      <c r="C69" s="179">
        <v>1</v>
      </c>
      <c r="D69" s="180">
        <v>6400</v>
      </c>
      <c r="E69" s="181" t="s">
        <v>905</v>
      </c>
      <c r="F69" s="263" t="s">
        <v>1093</v>
      </c>
      <c r="G69" s="182" t="s">
        <v>673</v>
      </c>
      <c r="H69" s="220">
        <v>192.23</v>
      </c>
      <c r="I69" s="220">
        <v>207.14</v>
      </c>
      <c r="J69" s="206">
        <v>170.13</v>
      </c>
      <c r="K69" s="220">
        <v>167</v>
      </c>
      <c r="L69" s="183" t="s">
        <v>896</v>
      </c>
      <c r="M69" s="258" t="s">
        <v>894</v>
      </c>
      <c r="N69" s="220">
        <f t="shared" si="13"/>
        <v>53.397222222222219</v>
      </c>
      <c r="O69" s="220">
        <f t="shared" si="8"/>
        <v>57.538888888888884</v>
      </c>
      <c r="P69" s="220">
        <f t="shared" si="8"/>
        <v>47.258333333333333</v>
      </c>
      <c r="Q69" s="220">
        <f t="shared" si="8"/>
        <v>46.388888888888886</v>
      </c>
      <c r="R69" s="243"/>
      <c r="S69" s="220">
        <f t="shared" si="9"/>
        <v>59.36792933576244</v>
      </c>
      <c r="T69" s="220">
        <f t="shared" si="10"/>
        <v>61.788683723549752</v>
      </c>
      <c r="U69" s="220">
        <f t="shared" si="11"/>
        <v>44.469124819177509</v>
      </c>
      <c r="V69" s="220">
        <f t="shared" si="12"/>
        <v>44.488621151271751</v>
      </c>
    </row>
    <row r="70" spans="1:23" s="183" customFormat="1">
      <c r="A70" s="178" t="s">
        <v>901</v>
      </c>
      <c r="B70" s="178" t="s">
        <v>129</v>
      </c>
      <c r="C70" s="179">
        <v>45</v>
      </c>
      <c r="D70" s="180">
        <v>6400</v>
      </c>
      <c r="E70" s="181" t="s">
        <v>901</v>
      </c>
      <c r="F70" s="263" t="s">
        <v>1093</v>
      </c>
      <c r="G70" s="182" t="s">
        <v>673</v>
      </c>
      <c r="H70" s="220">
        <v>121</v>
      </c>
      <c r="I70" s="220">
        <v>135</v>
      </c>
      <c r="J70" s="206">
        <v>148.56</v>
      </c>
      <c r="K70" s="220">
        <v>150.47</v>
      </c>
      <c r="L70" s="183" t="s">
        <v>896</v>
      </c>
      <c r="M70" s="258" t="s">
        <v>894</v>
      </c>
      <c r="N70" s="220">
        <f t="shared" si="13"/>
        <v>33.611111111111107</v>
      </c>
      <c r="O70" s="220">
        <f t="shared" si="8"/>
        <v>37.5</v>
      </c>
      <c r="P70" s="220">
        <f t="shared" si="8"/>
        <v>41.266666666666666</v>
      </c>
      <c r="Q70" s="220">
        <f t="shared" si="8"/>
        <v>41.797222222222224</v>
      </c>
      <c r="R70" s="243"/>
      <c r="S70" s="220">
        <f t="shared" si="9"/>
        <v>37.369398375005225</v>
      </c>
      <c r="T70" s="220">
        <f t="shared" si="10"/>
        <v>40.2697320782042</v>
      </c>
      <c r="U70" s="220">
        <f t="shared" si="11"/>
        <v>38.831089067989247</v>
      </c>
      <c r="V70" s="220">
        <f t="shared" si="12"/>
        <v>40.085046854082989</v>
      </c>
    </row>
    <row r="71" spans="1:23" s="183" customFormat="1">
      <c r="A71" s="151" t="s">
        <v>423</v>
      </c>
      <c r="B71" s="178" t="s">
        <v>131</v>
      </c>
      <c r="C71" s="179">
        <v>66</v>
      </c>
      <c r="D71" s="180">
        <v>6400</v>
      </c>
      <c r="E71" s="181" t="s">
        <v>897</v>
      </c>
      <c r="F71" s="263" t="s">
        <v>1093</v>
      </c>
      <c r="G71" s="182" t="s">
        <v>673</v>
      </c>
      <c r="H71" s="220">
        <v>122.91</v>
      </c>
      <c r="I71" s="220">
        <v>141.97999999999999</v>
      </c>
      <c r="J71" s="206">
        <v>152.62</v>
      </c>
      <c r="K71" s="220">
        <v>167.72</v>
      </c>
      <c r="L71" s="183" t="s">
        <v>896</v>
      </c>
      <c r="M71" s="258" t="s">
        <v>894</v>
      </c>
      <c r="N71" s="220">
        <f t="shared" si="13"/>
        <v>34.141666666666666</v>
      </c>
      <c r="O71" s="220">
        <f t="shared" si="8"/>
        <v>39.438888888888883</v>
      </c>
      <c r="P71" s="220">
        <f t="shared" si="8"/>
        <v>42.394444444444446</v>
      </c>
      <c r="Q71" s="220">
        <f t="shared" si="8"/>
        <v>46.588888888888889</v>
      </c>
      <c r="R71" s="243"/>
      <c r="S71" s="220">
        <f t="shared" si="9"/>
        <v>37.959278960924735</v>
      </c>
      <c r="T71" s="220">
        <f t="shared" si="10"/>
        <v>42.351826373803192</v>
      </c>
      <c r="U71" s="220">
        <f t="shared" si="11"/>
        <v>39.892304883929185</v>
      </c>
      <c r="V71" s="220">
        <f t="shared" si="12"/>
        <v>44.680428380187408</v>
      </c>
    </row>
    <row r="72" spans="1:23" s="183" customFormat="1" ht="12.75" customHeight="1">
      <c r="A72" s="178" t="s">
        <v>961</v>
      </c>
      <c r="B72" s="178" t="s">
        <v>762</v>
      </c>
      <c r="C72" s="179">
        <v>76</v>
      </c>
      <c r="D72" s="180">
        <v>6400</v>
      </c>
      <c r="E72" s="181" t="s">
        <v>961</v>
      </c>
      <c r="F72" s="263" t="s">
        <v>1093</v>
      </c>
      <c r="G72" s="182" t="s">
        <v>673</v>
      </c>
      <c r="H72" s="220">
        <v>291.08999999999997</v>
      </c>
      <c r="I72" s="220">
        <v>320.92</v>
      </c>
      <c r="J72" s="206">
        <v>357</v>
      </c>
      <c r="K72" s="220">
        <v>388.19</v>
      </c>
      <c r="L72" s="183" t="s">
        <v>896</v>
      </c>
      <c r="M72" s="258" t="s">
        <v>894</v>
      </c>
      <c r="N72" s="220">
        <f t="shared" si="13"/>
        <v>80.85833333333332</v>
      </c>
      <c r="O72" s="220">
        <f t="shared" ref="O72:O117" si="14">I72/3.6</f>
        <v>89.144444444444446</v>
      </c>
      <c r="P72" s="220">
        <f t="shared" ref="P72:P117" si="15">J72/3.6</f>
        <v>99.166666666666657</v>
      </c>
      <c r="Q72" s="220">
        <f t="shared" ref="Q72:Q117" si="16">K72/3.6</f>
        <v>107.83055555555555</v>
      </c>
      <c r="R72" s="243"/>
      <c r="S72" s="220">
        <f t="shared" si="9"/>
        <v>89.899654322151008</v>
      </c>
      <c r="T72" s="220">
        <f t="shared" si="10"/>
        <v>95.728610507683641</v>
      </c>
      <c r="U72" s="220">
        <f t="shared" si="11"/>
        <v>93.313804505063018</v>
      </c>
      <c r="V72" s="220">
        <f t="shared" si="12"/>
        <v>103.4134002677376</v>
      </c>
    </row>
    <row r="73" spans="1:23" s="183" customFormat="1">
      <c r="A73" s="151" t="s">
        <v>1483</v>
      </c>
      <c r="B73" s="178" t="s">
        <v>811</v>
      </c>
      <c r="C73" s="179">
        <v>2</v>
      </c>
      <c r="D73" s="180">
        <v>6400</v>
      </c>
      <c r="E73" s="181" t="s">
        <v>958</v>
      </c>
      <c r="F73" s="263" t="s">
        <v>1093</v>
      </c>
      <c r="G73" s="182" t="s">
        <v>680</v>
      </c>
      <c r="H73" s="220">
        <v>14.55</v>
      </c>
      <c r="I73" s="220">
        <v>16.09</v>
      </c>
      <c r="J73" s="206">
        <v>12.45</v>
      </c>
      <c r="K73" s="220">
        <v>20.3</v>
      </c>
      <c r="L73" s="183" t="s">
        <v>896</v>
      </c>
      <c r="M73" s="258" t="s">
        <v>894</v>
      </c>
      <c r="N73" s="220">
        <f t="shared" si="13"/>
        <v>4.041666666666667</v>
      </c>
      <c r="O73" s="220">
        <f t="shared" si="14"/>
        <v>4.4694444444444441</v>
      </c>
      <c r="P73" s="220">
        <f t="shared" si="15"/>
        <v>3.458333333333333</v>
      </c>
      <c r="Q73" s="220">
        <f t="shared" si="16"/>
        <v>5.6388888888888893</v>
      </c>
      <c r="R73" s="243"/>
      <c r="S73" s="220">
        <f t="shared" si="9"/>
        <v>4.4935929450936047</v>
      </c>
      <c r="T73" s="220">
        <f t="shared" si="10"/>
        <v>4.7995554750985585</v>
      </c>
      <c r="U73" s="220">
        <f t="shared" si="11"/>
        <v>3.2542209134118614</v>
      </c>
      <c r="V73" s="220">
        <f t="shared" si="12"/>
        <v>5.4078982597054885</v>
      </c>
    </row>
    <row r="74" spans="1:23" s="183" customFormat="1">
      <c r="A74" s="151" t="s">
        <v>1484</v>
      </c>
      <c r="B74" s="178" t="s">
        <v>811</v>
      </c>
      <c r="C74" s="179">
        <v>2</v>
      </c>
      <c r="D74" s="180">
        <v>6400</v>
      </c>
      <c r="E74" s="181" t="s">
        <v>958</v>
      </c>
      <c r="F74" s="263" t="s">
        <v>1093</v>
      </c>
      <c r="G74" s="182" t="s">
        <v>680</v>
      </c>
      <c r="H74" s="220">
        <v>52.33</v>
      </c>
      <c r="I74" s="220">
        <v>59.68</v>
      </c>
      <c r="J74" s="206">
        <v>64.36</v>
      </c>
      <c r="K74" s="220">
        <v>75.64</v>
      </c>
      <c r="L74" s="183" t="s">
        <v>896</v>
      </c>
      <c r="M74" s="258" t="s">
        <v>894</v>
      </c>
      <c r="N74" s="220">
        <f t="shared" si="13"/>
        <v>14.53611111111111</v>
      </c>
      <c r="O74" s="220">
        <f t="shared" si="14"/>
        <v>16.577777777777776</v>
      </c>
      <c r="P74" s="220">
        <f t="shared" si="15"/>
        <v>17.877777777777776</v>
      </c>
      <c r="Q74" s="220">
        <f t="shared" si="16"/>
        <v>21.011111111111109</v>
      </c>
      <c r="R74" s="243"/>
      <c r="S74" s="220">
        <f t="shared" si="9"/>
        <v>16.161492702182017</v>
      </c>
      <c r="T74" s="220">
        <f t="shared" si="10"/>
        <v>17.802204521683159</v>
      </c>
      <c r="U74" s="220">
        <f t="shared" si="11"/>
        <v>16.822623131500997</v>
      </c>
      <c r="V74" s="220">
        <f t="shared" si="12"/>
        <v>20.150414993306558</v>
      </c>
    </row>
    <row r="75" spans="1:23" s="183" customFormat="1">
      <c r="A75" s="178" t="s">
        <v>898</v>
      </c>
      <c r="B75" s="178" t="s">
        <v>127</v>
      </c>
      <c r="C75" s="179">
        <v>1</v>
      </c>
      <c r="D75" s="180">
        <v>6400</v>
      </c>
      <c r="E75" s="181" t="s">
        <v>898</v>
      </c>
      <c r="F75" s="263" t="s">
        <v>1093</v>
      </c>
      <c r="G75" s="182" t="s">
        <v>673</v>
      </c>
      <c r="H75" s="220">
        <v>190.56</v>
      </c>
      <c r="I75" s="220">
        <v>243.87</v>
      </c>
      <c r="J75" s="220">
        <v>243.45</v>
      </c>
      <c r="K75" s="220">
        <v>236.33</v>
      </c>
      <c r="L75" s="183" t="s">
        <v>896</v>
      </c>
      <c r="M75" s="258" t="s">
        <v>894</v>
      </c>
      <c r="N75" s="220">
        <f t="shared" si="13"/>
        <v>52.93333333333333</v>
      </c>
      <c r="O75" s="220">
        <f t="shared" si="14"/>
        <v>67.74166666666666</v>
      </c>
      <c r="P75" s="220">
        <f t="shared" si="15"/>
        <v>67.625</v>
      </c>
      <c r="Q75" s="220">
        <f t="shared" si="16"/>
        <v>65.647222222222226</v>
      </c>
      <c r="R75" s="243"/>
      <c r="S75" s="220">
        <f t="shared" si="9"/>
        <v>58.852169870586749</v>
      </c>
      <c r="T75" s="220">
        <f t="shared" si="10"/>
        <v>72.745033791938198</v>
      </c>
      <c r="U75" s="220">
        <f t="shared" si="11"/>
        <v>63.633741475511457</v>
      </c>
      <c r="V75" s="220">
        <f t="shared" si="12"/>
        <v>62.958058902275766</v>
      </c>
    </row>
    <row r="76" spans="1:23" s="156" customFormat="1">
      <c r="A76" s="151" t="s">
        <v>669</v>
      </c>
      <c r="B76" s="151" t="s">
        <v>149</v>
      </c>
      <c r="C76" s="152">
        <v>50</v>
      </c>
      <c r="D76" s="153">
        <v>6400</v>
      </c>
      <c r="E76" s="154" t="s">
        <v>669</v>
      </c>
      <c r="F76" s="264" t="s">
        <v>1093</v>
      </c>
      <c r="G76" s="155" t="s">
        <v>844</v>
      </c>
      <c r="H76" s="206">
        <v>895</v>
      </c>
      <c r="I76" s="206">
        <v>853</v>
      </c>
      <c r="J76" s="206">
        <v>1132</v>
      </c>
      <c r="K76" s="206">
        <v>1257</v>
      </c>
      <c r="L76" s="156" t="s">
        <v>896</v>
      </c>
      <c r="M76" s="277" t="s">
        <v>894</v>
      </c>
      <c r="N76" s="206">
        <f t="shared" si="13"/>
        <v>248.61111111111111</v>
      </c>
      <c r="O76" s="206">
        <f t="shared" si="14"/>
        <v>236.94444444444443</v>
      </c>
      <c r="P76" s="206">
        <f t="shared" si="15"/>
        <v>314.44444444444446</v>
      </c>
      <c r="Q76" s="206">
        <f t="shared" si="16"/>
        <v>349.16666666666669</v>
      </c>
      <c r="R76" s="245"/>
      <c r="S76" s="206">
        <f t="shared" si="9"/>
        <v>276.41001277379905</v>
      </c>
      <c r="T76" s="206">
        <f t="shared" si="10"/>
        <v>254.44504787191244</v>
      </c>
      <c r="U76" s="206">
        <f t="shared" si="11"/>
        <v>295.88578907487772</v>
      </c>
      <c r="V76" s="206">
        <f t="shared" si="12"/>
        <v>334.86345381526104</v>
      </c>
      <c r="W76" s="156" t="s">
        <v>43</v>
      </c>
    </row>
    <row r="77" spans="1:23" s="183" customFormat="1">
      <c r="A77" s="178" t="s">
        <v>1016</v>
      </c>
      <c r="B77" s="178" t="s">
        <v>487</v>
      </c>
      <c r="C77" s="179">
        <v>7</v>
      </c>
      <c r="D77" s="180">
        <v>6400</v>
      </c>
      <c r="E77" s="181" t="s">
        <v>1016</v>
      </c>
      <c r="F77" s="263" t="s">
        <v>1093</v>
      </c>
      <c r="G77" s="182" t="s">
        <v>437</v>
      </c>
      <c r="H77" s="220"/>
      <c r="I77" s="220"/>
      <c r="J77" s="220">
        <v>125.6</v>
      </c>
      <c r="K77" s="220">
        <v>153.02000000000001</v>
      </c>
      <c r="L77" s="183" t="s">
        <v>896</v>
      </c>
      <c r="M77" s="258" t="s">
        <v>894</v>
      </c>
      <c r="N77" s="220">
        <f t="shared" si="13"/>
        <v>0</v>
      </c>
      <c r="O77" s="220">
        <f t="shared" si="14"/>
        <v>0</v>
      </c>
      <c r="P77" s="220">
        <f t="shared" si="15"/>
        <v>34.888888888888886</v>
      </c>
      <c r="Q77" s="220">
        <f t="shared" si="16"/>
        <v>42.50555555555556</v>
      </c>
      <c r="R77" s="243"/>
      <c r="S77" s="220">
        <f t="shared" si="9"/>
        <v>0</v>
      </c>
      <c r="T77" s="220">
        <f t="shared" si="10"/>
        <v>0</v>
      </c>
      <c r="U77" s="220">
        <f t="shared" si="11"/>
        <v>32.829730660604802</v>
      </c>
      <c r="V77" s="220">
        <f t="shared" si="12"/>
        <v>40.764364123159304</v>
      </c>
    </row>
    <row r="78" spans="1:23" s="183" customFormat="1">
      <c r="A78" s="178" t="s">
        <v>440</v>
      </c>
      <c r="B78" s="178" t="s">
        <v>486</v>
      </c>
      <c r="C78" s="179">
        <v>26</v>
      </c>
      <c r="D78" s="180">
        <v>6400</v>
      </c>
      <c r="E78" s="181" t="s">
        <v>1021</v>
      </c>
      <c r="F78" s="263" t="s">
        <v>1093</v>
      </c>
      <c r="G78" s="182" t="s">
        <v>682</v>
      </c>
      <c r="H78" s="220">
        <v>254.76</v>
      </c>
      <c r="I78" s="220">
        <v>299.14</v>
      </c>
      <c r="J78" s="220">
        <v>317.86</v>
      </c>
      <c r="K78" s="220">
        <v>341.47</v>
      </c>
      <c r="L78" s="183" t="s">
        <v>896</v>
      </c>
      <c r="M78" s="258" t="s">
        <v>894</v>
      </c>
      <c r="N78" s="220">
        <f t="shared" si="13"/>
        <v>70.766666666666666</v>
      </c>
      <c r="O78" s="220">
        <f t="shared" si="14"/>
        <v>83.094444444444434</v>
      </c>
      <c r="P78" s="220">
        <f t="shared" si="15"/>
        <v>88.294444444444451</v>
      </c>
      <c r="Q78" s="220">
        <f t="shared" si="16"/>
        <v>94.852777777777789</v>
      </c>
      <c r="R78" s="243"/>
      <c r="S78" s="220">
        <f t="shared" si="9"/>
        <v>78.679569669556471</v>
      </c>
      <c r="T78" s="220">
        <f t="shared" si="10"/>
        <v>89.231760399066687</v>
      </c>
      <c r="U78" s="220">
        <f t="shared" si="11"/>
        <v>83.083265826272651</v>
      </c>
      <c r="V78" s="220">
        <f t="shared" si="12"/>
        <v>90.967242302543511</v>
      </c>
    </row>
    <row r="79" spans="1:23" s="183" customFormat="1">
      <c r="A79" s="178" t="s">
        <v>1332</v>
      </c>
      <c r="B79" s="178" t="s">
        <v>486</v>
      </c>
      <c r="C79" s="179">
        <v>4</v>
      </c>
      <c r="D79" s="180">
        <v>6400</v>
      </c>
      <c r="E79" s="181" t="s">
        <v>1014</v>
      </c>
      <c r="F79" s="263" t="s">
        <v>1093</v>
      </c>
      <c r="G79" s="182"/>
      <c r="H79" s="220"/>
      <c r="I79" s="220"/>
      <c r="J79" s="220"/>
      <c r="K79" s="220"/>
      <c r="L79" s="183" t="s">
        <v>896</v>
      </c>
      <c r="M79" s="258" t="s">
        <v>894</v>
      </c>
      <c r="N79" s="220">
        <f t="shared" si="13"/>
        <v>0</v>
      </c>
      <c r="O79" s="220">
        <f t="shared" si="14"/>
        <v>0</v>
      </c>
      <c r="P79" s="220">
        <f t="shared" si="15"/>
        <v>0</v>
      </c>
      <c r="Q79" s="220">
        <f t="shared" si="16"/>
        <v>0</v>
      </c>
      <c r="R79" s="243"/>
      <c r="S79" s="220">
        <f t="shared" si="9"/>
        <v>0</v>
      </c>
      <c r="T79" s="220">
        <f t="shared" si="10"/>
        <v>0</v>
      </c>
      <c r="U79" s="220">
        <f t="shared" si="11"/>
        <v>0</v>
      </c>
      <c r="V79" s="220">
        <f t="shared" si="12"/>
        <v>0</v>
      </c>
    </row>
    <row r="80" spans="1:23" s="183" customFormat="1">
      <c r="A80" s="178" t="s">
        <v>1361</v>
      </c>
      <c r="B80" s="178" t="s">
        <v>1035</v>
      </c>
      <c r="C80" s="179">
        <v>2</v>
      </c>
      <c r="D80" s="180">
        <v>6400</v>
      </c>
      <c r="E80" s="181" t="s">
        <v>523</v>
      </c>
      <c r="F80" s="263" t="s">
        <v>1093</v>
      </c>
      <c r="G80" s="182"/>
      <c r="H80" s="220"/>
      <c r="I80" s="220"/>
      <c r="J80" s="220"/>
      <c r="K80" s="220"/>
      <c r="L80" s="183" t="s">
        <v>896</v>
      </c>
      <c r="M80" s="258" t="s">
        <v>894</v>
      </c>
      <c r="N80" s="220">
        <f t="shared" si="13"/>
        <v>0</v>
      </c>
      <c r="O80" s="220">
        <f t="shared" si="14"/>
        <v>0</v>
      </c>
      <c r="P80" s="220">
        <f t="shared" si="15"/>
        <v>0</v>
      </c>
      <c r="Q80" s="220">
        <f t="shared" si="16"/>
        <v>0</v>
      </c>
      <c r="R80" s="243"/>
      <c r="S80" s="220">
        <f t="shared" si="9"/>
        <v>0</v>
      </c>
      <c r="T80" s="220">
        <f t="shared" si="10"/>
        <v>0</v>
      </c>
      <c r="U80" s="220">
        <f t="shared" si="11"/>
        <v>0</v>
      </c>
      <c r="V80" s="220">
        <f t="shared" si="12"/>
        <v>0</v>
      </c>
    </row>
    <row r="81" spans="1:22" s="183" customFormat="1" ht="13.5" customHeight="1">
      <c r="A81" s="178" t="s">
        <v>1102</v>
      </c>
      <c r="B81" s="178" t="s">
        <v>474</v>
      </c>
      <c r="C81" s="179">
        <v>34</v>
      </c>
      <c r="D81" s="180">
        <v>6400</v>
      </c>
      <c r="E81" s="181" t="s">
        <v>1102</v>
      </c>
      <c r="F81" s="263" t="s">
        <v>1093</v>
      </c>
      <c r="G81" s="182" t="s">
        <v>673</v>
      </c>
      <c r="H81" s="220">
        <v>210.87</v>
      </c>
      <c r="I81" s="220">
        <v>244.77</v>
      </c>
      <c r="J81" s="220">
        <v>258.2</v>
      </c>
      <c r="K81" s="220">
        <v>282.5</v>
      </c>
      <c r="L81" s="183" t="s">
        <v>896</v>
      </c>
      <c r="M81" s="258" t="s">
        <v>894</v>
      </c>
      <c r="N81" s="220">
        <f t="shared" si="13"/>
        <v>58.575000000000003</v>
      </c>
      <c r="O81" s="220">
        <f t="shared" si="14"/>
        <v>67.991666666666674</v>
      </c>
      <c r="P81" s="220">
        <f t="shared" si="15"/>
        <v>71.722222222222214</v>
      </c>
      <c r="Q81" s="220">
        <f t="shared" si="16"/>
        <v>78.472222222222214</v>
      </c>
      <c r="R81" s="243"/>
      <c r="S81" s="220">
        <f t="shared" si="9"/>
        <v>65.124669713531844</v>
      </c>
      <c r="T81" s="220">
        <f t="shared" si="10"/>
        <v>73.013498672459576</v>
      </c>
      <c r="U81" s="220">
        <f t="shared" si="11"/>
        <v>67.489143762485341</v>
      </c>
      <c r="V81" s="220">
        <f t="shared" si="12"/>
        <v>75.257697456492636</v>
      </c>
    </row>
    <row r="82" spans="1:22" s="183" customFormat="1">
      <c r="A82" s="178" t="s">
        <v>1334</v>
      </c>
      <c r="B82" s="178" t="s">
        <v>466</v>
      </c>
      <c r="C82" s="179">
        <v>11</v>
      </c>
      <c r="D82" s="180">
        <v>6400</v>
      </c>
      <c r="E82" s="181" t="s">
        <v>1308</v>
      </c>
      <c r="F82" s="263" t="s">
        <v>1093</v>
      </c>
      <c r="G82" s="182"/>
      <c r="H82" s="220"/>
      <c r="I82" s="220"/>
      <c r="J82" s="220"/>
      <c r="K82" s="220"/>
      <c r="L82" s="183" t="s">
        <v>896</v>
      </c>
      <c r="M82" s="258" t="s">
        <v>894</v>
      </c>
      <c r="N82" s="220">
        <f t="shared" si="13"/>
        <v>0</v>
      </c>
      <c r="O82" s="220">
        <f t="shared" si="14"/>
        <v>0</v>
      </c>
      <c r="P82" s="220">
        <f t="shared" si="15"/>
        <v>0</v>
      </c>
      <c r="Q82" s="220">
        <f t="shared" si="16"/>
        <v>0</v>
      </c>
      <c r="R82" s="243"/>
      <c r="S82" s="220">
        <f t="shared" si="9"/>
        <v>0</v>
      </c>
      <c r="T82" s="220">
        <f t="shared" si="10"/>
        <v>0</v>
      </c>
      <c r="U82" s="220">
        <f t="shared" si="11"/>
        <v>0</v>
      </c>
      <c r="V82" s="220">
        <f t="shared" si="12"/>
        <v>0</v>
      </c>
    </row>
    <row r="83" spans="1:22" s="156" customFormat="1">
      <c r="A83" s="151" t="s">
        <v>419</v>
      </c>
      <c r="B83" s="151" t="s">
        <v>652</v>
      </c>
      <c r="C83" s="152">
        <v>16</v>
      </c>
      <c r="D83" s="153">
        <v>6400</v>
      </c>
      <c r="E83" s="154" t="s">
        <v>960</v>
      </c>
      <c r="F83" s="264" t="s">
        <v>1093</v>
      </c>
      <c r="G83" s="155" t="s">
        <v>437</v>
      </c>
      <c r="H83" s="206">
        <v>802.54</v>
      </c>
      <c r="I83" s="206">
        <v>741.31</v>
      </c>
      <c r="J83" s="206">
        <v>1276.4000000000001</v>
      </c>
      <c r="K83" s="206">
        <v>1034.51</v>
      </c>
      <c r="L83" s="156" t="s">
        <v>896</v>
      </c>
      <c r="M83" s="277" t="s">
        <v>894</v>
      </c>
      <c r="N83" s="206">
        <f t="shared" si="13"/>
        <v>222.92777777777775</v>
      </c>
      <c r="O83" s="206">
        <f t="shared" si="14"/>
        <v>205.91944444444442</v>
      </c>
      <c r="P83" s="206">
        <f t="shared" si="15"/>
        <v>354.5555555555556</v>
      </c>
      <c r="Q83" s="206">
        <f t="shared" si="16"/>
        <v>287.36388888888888</v>
      </c>
      <c r="R83" s="245"/>
      <c r="S83" s="206">
        <f t="shared" si="9"/>
        <v>247.85485100724543</v>
      </c>
      <c r="T83" s="206">
        <f t="shared" si="10"/>
        <v>221.12855619921149</v>
      </c>
      <c r="U83" s="206">
        <f t="shared" si="11"/>
        <v>333.62952400633742</v>
      </c>
      <c r="V83" s="206">
        <f t="shared" si="12"/>
        <v>275.59235609103075</v>
      </c>
    </row>
    <row r="84" spans="1:22" s="183" customFormat="1">
      <c r="A84" s="178" t="s">
        <v>125</v>
      </c>
      <c r="B84" s="178" t="s">
        <v>811</v>
      </c>
      <c r="C84" s="179">
        <v>5</v>
      </c>
      <c r="D84" s="180">
        <v>6400</v>
      </c>
      <c r="E84" s="181" t="s">
        <v>125</v>
      </c>
      <c r="F84" s="263" t="s">
        <v>1093</v>
      </c>
      <c r="G84" s="182" t="s">
        <v>680</v>
      </c>
      <c r="H84" s="220">
        <v>708.7</v>
      </c>
      <c r="I84" s="220">
        <v>796.1</v>
      </c>
      <c r="J84" s="220">
        <v>779.6</v>
      </c>
      <c r="K84" s="220">
        <v>844.5</v>
      </c>
      <c r="L84" s="183" t="s">
        <v>896</v>
      </c>
      <c r="M84" s="258" t="s">
        <v>894</v>
      </c>
      <c r="N84" s="220">
        <f t="shared" si="13"/>
        <v>196.86111111111111</v>
      </c>
      <c r="O84" s="220">
        <f t="shared" si="14"/>
        <v>221.13888888888889</v>
      </c>
      <c r="P84" s="220">
        <f t="shared" si="15"/>
        <v>216.55555555555554</v>
      </c>
      <c r="Q84" s="220">
        <f t="shared" si="16"/>
        <v>234.58333333333331</v>
      </c>
      <c r="R84" s="243"/>
      <c r="S84" s="220">
        <f t="shared" si="9"/>
        <v>218.87349279641495</v>
      </c>
      <c r="T84" s="220">
        <f t="shared" si="10"/>
        <v>237.47210153672859</v>
      </c>
      <c r="U84" s="220">
        <f t="shared" si="11"/>
        <v>203.7743473169387</v>
      </c>
      <c r="V84" s="220">
        <f t="shared" si="12"/>
        <v>224.97389558232928</v>
      </c>
    </row>
    <row r="85" spans="1:22" s="276" customFormat="1">
      <c r="A85" s="151" t="s">
        <v>125</v>
      </c>
      <c r="B85" s="151" t="s">
        <v>811</v>
      </c>
      <c r="C85" s="152">
        <v>7</v>
      </c>
      <c r="D85" s="153">
        <v>6400</v>
      </c>
      <c r="E85" s="154" t="s">
        <v>125</v>
      </c>
      <c r="F85" s="264" t="s">
        <v>1093</v>
      </c>
      <c r="G85" s="155" t="s">
        <v>680</v>
      </c>
      <c r="H85" s="206">
        <v>1634.4</v>
      </c>
      <c r="I85" s="206">
        <v>1826.6</v>
      </c>
      <c r="J85" s="206">
        <v>1969.2</v>
      </c>
      <c r="K85" s="206">
        <v>2128.1</v>
      </c>
      <c r="L85" s="156" t="s">
        <v>896</v>
      </c>
      <c r="M85" s="277" t="s">
        <v>894</v>
      </c>
      <c r="N85" s="206">
        <f t="shared" si="13"/>
        <v>454</v>
      </c>
      <c r="O85" s="206">
        <f t="shared" si="14"/>
        <v>507.38888888888886</v>
      </c>
      <c r="P85" s="206">
        <f t="shared" si="15"/>
        <v>547</v>
      </c>
      <c r="Q85" s="206">
        <f t="shared" si="16"/>
        <v>591.1388888888888</v>
      </c>
      <c r="R85" s="245"/>
      <c r="S85" s="206">
        <f t="shared" si="9"/>
        <v>504.76483226535993</v>
      </c>
      <c r="T85" s="206">
        <f t="shared" si="10"/>
        <v>544.86438973368729</v>
      </c>
      <c r="U85" s="206">
        <f t="shared" si="11"/>
        <v>514.71580905145686</v>
      </c>
      <c r="V85" s="206">
        <f t="shared" si="12"/>
        <v>566.92356091030774</v>
      </c>
    </row>
    <row r="86" spans="1:22" s="183" customFormat="1">
      <c r="A86" s="178" t="s">
        <v>1167</v>
      </c>
      <c r="B86" s="178" t="s">
        <v>460</v>
      </c>
      <c r="C86" s="179">
        <v>0</v>
      </c>
      <c r="D86" s="180">
        <v>6400</v>
      </c>
      <c r="E86" s="181" t="s">
        <v>1485</v>
      </c>
      <c r="F86" s="263" t="s">
        <v>1093</v>
      </c>
      <c r="G86" s="182" t="s">
        <v>680</v>
      </c>
      <c r="H86" s="220">
        <v>26.67</v>
      </c>
      <c r="I86" s="220">
        <v>27.21</v>
      </c>
      <c r="J86" s="220">
        <v>32.28</v>
      </c>
      <c r="K86" s="220">
        <v>3.7</v>
      </c>
      <c r="L86" s="183" t="s">
        <v>896</v>
      </c>
      <c r="M86" s="258" t="s">
        <v>894</v>
      </c>
      <c r="N86" s="220">
        <f t="shared" si="13"/>
        <v>7.4083333333333332</v>
      </c>
      <c r="O86" s="220">
        <f t="shared" si="14"/>
        <v>7.5583333333333336</v>
      </c>
      <c r="P86" s="220">
        <f t="shared" si="15"/>
        <v>8.9666666666666668</v>
      </c>
      <c r="Q86" s="220">
        <f t="shared" si="16"/>
        <v>1.0277777777777779</v>
      </c>
      <c r="R86" s="243"/>
      <c r="S86" s="220">
        <f t="shared" si="9"/>
        <v>8.2367095426561114</v>
      </c>
      <c r="T86" s="220">
        <f t="shared" si="10"/>
        <v>8.1165882210958245</v>
      </c>
      <c r="U86" s="220">
        <f t="shared" si="11"/>
        <v>8.4374498863401524</v>
      </c>
      <c r="V86" s="220">
        <f t="shared" si="12"/>
        <v>0.98567603748326649</v>
      </c>
    </row>
    <row r="87" spans="1:22" s="183" customFormat="1">
      <c r="A87" s="178" t="s">
        <v>430</v>
      </c>
      <c r="B87" s="178" t="s">
        <v>186</v>
      </c>
      <c r="C87" s="179">
        <v>10</v>
      </c>
      <c r="D87" s="180">
        <v>6400</v>
      </c>
      <c r="E87" s="181" t="s">
        <v>430</v>
      </c>
      <c r="F87" s="263" t="s">
        <v>1093</v>
      </c>
      <c r="G87" s="182" t="s">
        <v>680</v>
      </c>
      <c r="H87" s="220">
        <v>2107.1</v>
      </c>
      <c r="I87" s="220">
        <v>2061</v>
      </c>
      <c r="J87" s="220">
        <v>1921.8</v>
      </c>
      <c r="K87" s="220">
        <v>1837.1</v>
      </c>
      <c r="L87" s="183" t="s">
        <v>896</v>
      </c>
      <c r="M87" s="258" t="s">
        <v>894</v>
      </c>
      <c r="N87" s="220">
        <f t="shared" si="13"/>
        <v>585.30555555555554</v>
      </c>
      <c r="O87" s="220">
        <f t="shared" si="14"/>
        <v>572.5</v>
      </c>
      <c r="P87" s="220">
        <f t="shared" si="15"/>
        <v>533.83333333333326</v>
      </c>
      <c r="Q87" s="220">
        <f t="shared" si="16"/>
        <v>510.30555555555554</v>
      </c>
      <c r="R87" s="243"/>
      <c r="S87" s="220">
        <f t="shared" si="9"/>
        <v>650.75255633035977</v>
      </c>
      <c r="T87" s="220">
        <f t="shared" si="10"/>
        <v>614.7845763939174</v>
      </c>
      <c r="U87" s="220">
        <f t="shared" si="11"/>
        <v>502.32624509196103</v>
      </c>
      <c r="V87" s="220">
        <f t="shared" si="12"/>
        <v>489.40147255689419</v>
      </c>
    </row>
    <row r="88" spans="1:22" s="183" customFormat="1">
      <c r="A88" s="178" t="s">
        <v>1320</v>
      </c>
      <c r="B88" s="178" t="s">
        <v>1040</v>
      </c>
      <c r="C88" s="179">
        <v>194</v>
      </c>
      <c r="D88" s="180">
        <v>6400</v>
      </c>
      <c r="E88" s="181" t="s">
        <v>1152</v>
      </c>
      <c r="F88" s="263" t="s">
        <v>1093</v>
      </c>
      <c r="G88" s="182" t="s">
        <v>677</v>
      </c>
      <c r="H88" s="220"/>
      <c r="I88" s="220"/>
      <c r="J88" s="220"/>
      <c r="K88" s="220"/>
      <c r="L88" s="183" t="s">
        <v>896</v>
      </c>
      <c r="M88" s="258" t="s">
        <v>894</v>
      </c>
      <c r="N88" s="220">
        <f t="shared" si="13"/>
        <v>0</v>
      </c>
      <c r="O88" s="220">
        <f t="shared" si="14"/>
        <v>0</v>
      </c>
      <c r="P88" s="220">
        <f t="shared" si="15"/>
        <v>0</v>
      </c>
      <c r="Q88" s="220">
        <f t="shared" si="16"/>
        <v>0</v>
      </c>
      <c r="R88" s="243"/>
      <c r="S88" s="220">
        <f t="shared" si="9"/>
        <v>0</v>
      </c>
      <c r="T88" s="220">
        <f t="shared" si="10"/>
        <v>0</v>
      </c>
      <c r="U88" s="220">
        <f t="shared" si="11"/>
        <v>0</v>
      </c>
      <c r="V88" s="220">
        <f t="shared" si="12"/>
        <v>0</v>
      </c>
    </row>
    <row r="89" spans="1:22" s="183" customFormat="1">
      <c r="A89" s="178" t="s">
        <v>422</v>
      </c>
      <c r="B89" s="178" t="s">
        <v>128</v>
      </c>
      <c r="C89" s="179">
        <v>4</v>
      </c>
      <c r="D89" s="180">
        <v>6400</v>
      </c>
      <c r="E89" s="181" t="s">
        <v>897</v>
      </c>
      <c r="F89" s="263" t="s">
        <v>1093</v>
      </c>
      <c r="G89" s="182" t="s">
        <v>673</v>
      </c>
      <c r="H89" s="220">
        <v>140.78</v>
      </c>
      <c r="I89" s="220">
        <v>180.6</v>
      </c>
      <c r="J89" s="220">
        <v>140.78</v>
      </c>
      <c r="K89" s="220">
        <v>180.6</v>
      </c>
      <c r="L89" s="183" t="s">
        <v>896</v>
      </c>
      <c r="M89" s="258" t="s">
        <v>894</v>
      </c>
      <c r="N89" s="220">
        <f t="shared" si="13"/>
        <v>39.105555555555554</v>
      </c>
      <c r="O89" s="220">
        <f t="shared" si="14"/>
        <v>50.166666666666664</v>
      </c>
      <c r="P89" s="220">
        <f t="shared" si="15"/>
        <v>39.105555555555554</v>
      </c>
      <c r="Q89" s="220">
        <f t="shared" si="16"/>
        <v>50.166666666666664</v>
      </c>
      <c r="R89" s="243"/>
      <c r="S89" s="220">
        <f t="shared" ref="S89:S117" si="17">0.85*N89/$N$119+0.15*N89</f>
        <v>43.478214076307744</v>
      </c>
      <c r="T89" s="220">
        <f t="shared" ref="T89:T117" si="18">0.85*O89/$O$119+0.15*O89</f>
        <v>53.871952691286502</v>
      </c>
      <c r="U89" s="220">
        <f t="shared" ref="U89:U117" si="19">0.85*P89/$P$119+0.15*P89</f>
        <v>36.797527726114204</v>
      </c>
      <c r="V89" s="220">
        <f t="shared" ref="V89:V117" si="20">0.85*Q89/$Q$119+0.15*Q89</f>
        <v>48.11164658634538</v>
      </c>
    </row>
    <row r="90" spans="1:22" s="156" customFormat="1">
      <c r="A90" s="151" t="s">
        <v>441</v>
      </c>
      <c r="B90" s="151" t="s">
        <v>478</v>
      </c>
      <c r="C90" s="152">
        <v>9</v>
      </c>
      <c r="D90" s="153">
        <v>6400</v>
      </c>
      <c r="E90" s="154" t="s">
        <v>1174</v>
      </c>
      <c r="F90" s="264" t="s">
        <v>1093</v>
      </c>
      <c r="G90" s="155" t="s">
        <v>677</v>
      </c>
      <c r="H90" s="206">
        <v>974.2</v>
      </c>
      <c r="I90" s="206">
        <v>1045.2</v>
      </c>
      <c r="J90" s="206">
        <v>1099.5</v>
      </c>
      <c r="K90" s="206">
        <v>1248.7</v>
      </c>
      <c r="L90" s="156" t="s">
        <v>896</v>
      </c>
      <c r="M90" s="277" t="s">
        <v>894</v>
      </c>
      <c r="N90" s="206">
        <f t="shared" si="13"/>
        <v>270.61111111111114</v>
      </c>
      <c r="O90" s="206">
        <f t="shared" si="14"/>
        <v>290.33333333333331</v>
      </c>
      <c r="P90" s="206">
        <f t="shared" si="15"/>
        <v>305.41666666666669</v>
      </c>
      <c r="Q90" s="206">
        <f t="shared" si="16"/>
        <v>346.86111111111114</v>
      </c>
      <c r="R90" s="245"/>
      <c r="S90" s="206">
        <f t="shared" si="17"/>
        <v>300.86998261925703</v>
      </c>
      <c r="T90" s="206">
        <f t="shared" si="18"/>
        <v>311.77721457880762</v>
      </c>
      <c r="U90" s="206">
        <f t="shared" si="19"/>
        <v>287.39083488324036</v>
      </c>
      <c r="V90" s="206">
        <f t="shared" si="20"/>
        <v>332.65234270414987</v>
      </c>
    </row>
    <row r="91" spans="1:22" s="183" customFormat="1">
      <c r="A91" s="178" t="s">
        <v>963</v>
      </c>
      <c r="B91" s="178" t="s">
        <v>488</v>
      </c>
      <c r="C91" s="179">
        <v>7</v>
      </c>
      <c r="D91" s="180">
        <v>6400</v>
      </c>
      <c r="E91" s="181" t="s">
        <v>1302</v>
      </c>
      <c r="F91" s="263" t="s">
        <v>1093</v>
      </c>
      <c r="G91" s="182" t="s">
        <v>682</v>
      </c>
      <c r="H91" s="220">
        <v>921.4</v>
      </c>
      <c r="I91" s="220">
        <v>977.2</v>
      </c>
      <c r="J91" s="220">
        <v>970.8</v>
      </c>
      <c r="K91" s="220">
        <v>1081.2</v>
      </c>
      <c r="L91" s="183" t="s">
        <v>896</v>
      </c>
      <c r="M91" s="258" t="s">
        <v>894</v>
      </c>
      <c r="N91" s="220">
        <f t="shared" si="13"/>
        <v>255.94444444444443</v>
      </c>
      <c r="O91" s="220">
        <f t="shared" si="14"/>
        <v>271.44444444444446</v>
      </c>
      <c r="P91" s="220">
        <f t="shared" si="15"/>
        <v>269.66666666666663</v>
      </c>
      <c r="Q91" s="220">
        <f t="shared" si="16"/>
        <v>300.33333333333331</v>
      </c>
      <c r="R91" s="243"/>
      <c r="S91" s="220">
        <f t="shared" si="17"/>
        <v>284.56333605561832</v>
      </c>
      <c r="T91" s="220">
        <f t="shared" si="18"/>
        <v>291.49320138386031</v>
      </c>
      <c r="U91" s="220">
        <f t="shared" si="19"/>
        <v>253.7508162843562</v>
      </c>
      <c r="V91" s="220">
        <f t="shared" si="20"/>
        <v>288.03052208835339</v>
      </c>
    </row>
    <row r="92" spans="1:22" s="183" customFormat="1" ht="25.5">
      <c r="A92" s="178" t="s">
        <v>1255</v>
      </c>
      <c r="B92" s="178" t="s">
        <v>735</v>
      </c>
      <c r="C92" s="179">
        <v>100</v>
      </c>
      <c r="D92" s="180">
        <v>6400</v>
      </c>
      <c r="E92" s="181" t="s">
        <v>1256</v>
      </c>
      <c r="F92" s="263" t="s">
        <v>1093</v>
      </c>
      <c r="G92" s="182" t="s">
        <v>679</v>
      </c>
      <c r="H92" s="220">
        <v>467.71</v>
      </c>
      <c r="I92" s="220">
        <v>450.87</v>
      </c>
      <c r="J92" s="220">
        <v>492.35</v>
      </c>
      <c r="K92" s="220">
        <v>538.94000000000005</v>
      </c>
      <c r="L92" s="183" t="s">
        <v>896</v>
      </c>
      <c r="M92" s="258" t="s">
        <v>894</v>
      </c>
      <c r="N92" s="220">
        <f t="shared" si="13"/>
        <v>129.91944444444442</v>
      </c>
      <c r="O92" s="220">
        <f t="shared" si="14"/>
        <v>125.24166666666666</v>
      </c>
      <c r="P92" s="220">
        <f t="shared" si="15"/>
        <v>136.76388888888889</v>
      </c>
      <c r="Q92" s="220">
        <f t="shared" si="16"/>
        <v>149.70555555555558</v>
      </c>
      <c r="R92" s="243"/>
      <c r="S92" s="220">
        <f t="shared" si="17"/>
        <v>144.44662242953467</v>
      </c>
      <c r="T92" s="220">
        <f t="shared" si="18"/>
        <v>134.49195631185131</v>
      </c>
      <c r="U92" s="220">
        <f t="shared" si="19"/>
        <v>128.69202142315905</v>
      </c>
      <c r="V92" s="220">
        <f t="shared" si="20"/>
        <v>143.5730388219545</v>
      </c>
    </row>
    <row r="93" spans="1:22" s="183" customFormat="1">
      <c r="A93" s="178" t="s">
        <v>1335</v>
      </c>
      <c r="B93" s="178" t="s">
        <v>489</v>
      </c>
      <c r="C93" s="179">
        <v>14</v>
      </c>
      <c r="D93" s="180">
        <v>6400</v>
      </c>
      <c r="E93" s="181" t="s">
        <v>1174</v>
      </c>
      <c r="F93" s="263" t="s">
        <v>1093</v>
      </c>
      <c r="G93" s="182"/>
      <c r="H93" s="220"/>
      <c r="I93" s="220"/>
      <c r="J93" s="220"/>
      <c r="K93" s="220"/>
      <c r="L93" s="183" t="s">
        <v>896</v>
      </c>
      <c r="M93" s="258" t="s">
        <v>894</v>
      </c>
      <c r="N93" s="220">
        <f t="shared" si="13"/>
        <v>0</v>
      </c>
      <c r="O93" s="220">
        <f t="shared" si="14"/>
        <v>0</v>
      </c>
      <c r="P93" s="220">
        <f t="shared" si="15"/>
        <v>0</v>
      </c>
      <c r="Q93" s="220">
        <f t="shared" si="16"/>
        <v>0</v>
      </c>
      <c r="R93" s="243"/>
      <c r="S93" s="220">
        <f t="shared" si="17"/>
        <v>0</v>
      </c>
      <c r="T93" s="220">
        <f t="shared" si="18"/>
        <v>0</v>
      </c>
      <c r="U93" s="220">
        <f t="shared" si="19"/>
        <v>0</v>
      </c>
      <c r="V93" s="220">
        <f t="shared" si="20"/>
        <v>0</v>
      </c>
    </row>
    <row r="94" spans="1:22" s="183" customFormat="1">
      <c r="A94" s="178" t="s">
        <v>1336</v>
      </c>
      <c r="B94" s="178" t="s">
        <v>471</v>
      </c>
      <c r="C94" s="179">
        <v>150</v>
      </c>
      <c r="D94" s="180">
        <v>6400</v>
      </c>
      <c r="E94" s="181" t="s">
        <v>1007</v>
      </c>
      <c r="F94" s="263" t="s">
        <v>1093</v>
      </c>
      <c r="G94" s="182" t="s">
        <v>683</v>
      </c>
      <c r="H94" s="220"/>
      <c r="I94" s="220"/>
      <c r="J94" s="220"/>
      <c r="K94" s="220"/>
      <c r="L94" s="183" t="s">
        <v>896</v>
      </c>
      <c r="M94" s="258" t="s">
        <v>894</v>
      </c>
      <c r="N94" s="220">
        <f t="shared" si="13"/>
        <v>0</v>
      </c>
      <c r="O94" s="220">
        <f t="shared" si="14"/>
        <v>0</v>
      </c>
      <c r="P94" s="220">
        <f t="shared" si="15"/>
        <v>0</v>
      </c>
      <c r="Q94" s="220">
        <f t="shared" si="16"/>
        <v>0</v>
      </c>
      <c r="R94" s="243"/>
      <c r="S94" s="220">
        <f t="shared" si="17"/>
        <v>0</v>
      </c>
      <c r="T94" s="220">
        <f t="shared" si="18"/>
        <v>0</v>
      </c>
      <c r="U94" s="220">
        <f t="shared" si="19"/>
        <v>0</v>
      </c>
      <c r="V94" s="220">
        <f t="shared" si="20"/>
        <v>0</v>
      </c>
    </row>
    <row r="95" spans="1:22" s="183" customFormat="1">
      <c r="A95" s="178" t="s">
        <v>1323</v>
      </c>
      <c r="B95" s="178" t="s">
        <v>493</v>
      </c>
      <c r="C95" s="179">
        <v>1</v>
      </c>
      <c r="D95" s="180">
        <v>6400</v>
      </c>
      <c r="E95" s="181" t="s">
        <v>1152</v>
      </c>
      <c r="F95" s="263" t="s">
        <v>1093</v>
      </c>
      <c r="G95" s="182" t="s">
        <v>677</v>
      </c>
      <c r="H95" s="220">
        <v>354.14</v>
      </c>
      <c r="I95" s="220">
        <v>408.29</v>
      </c>
      <c r="J95" s="220">
        <v>390.21</v>
      </c>
      <c r="K95" s="220">
        <v>471.11</v>
      </c>
      <c r="L95" s="183" t="s">
        <v>896</v>
      </c>
      <c r="M95" s="258" t="s">
        <v>894</v>
      </c>
      <c r="N95" s="220">
        <f t="shared" si="13"/>
        <v>98.37222222222222</v>
      </c>
      <c r="O95" s="220">
        <f t="shared" si="14"/>
        <v>113.41388888888889</v>
      </c>
      <c r="P95" s="220">
        <f t="shared" si="15"/>
        <v>108.39166666666665</v>
      </c>
      <c r="Q95" s="220">
        <f t="shared" si="16"/>
        <v>130.86388888888888</v>
      </c>
      <c r="R95" s="243"/>
      <c r="S95" s="220">
        <f t="shared" si="17"/>
        <v>109.37189041755663</v>
      </c>
      <c r="T95" s="220">
        <f t="shared" si="18"/>
        <v>121.79058452007402</v>
      </c>
      <c r="U95" s="220">
        <f t="shared" si="19"/>
        <v>101.99434077288693</v>
      </c>
      <c r="V95" s="220">
        <f t="shared" si="20"/>
        <v>125.50319946452476</v>
      </c>
    </row>
    <row r="96" spans="1:22" s="183" customFormat="1">
      <c r="A96" s="178" t="s">
        <v>1152</v>
      </c>
      <c r="B96" s="178" t="s">
        <v>492</v>
      </c>
      <c r="C96" s="179">
        <v>20</v>
      </c>
      <c r="D96" s="180">
        <v>6400</v>
      </c>
      <c r="E96" s="181" t="s">
        <v>813</v>
      </c>
      <c r="F96" s="263" t="s">
        <v>1093</v>
      </c>
      <c r="G96" s="182" t="s">
        <v>681</v>
      </c>
      <c r="H96" s="220">
        <v>114.05</v>
      </c>
      <c r="I96" s="220">
        <v>139.47</v>
      </c>
      <c r="J96" s="220">
        <v>129.47999999999999</v>
      </c>
      <c r="K96" s="220">
        <v>139.74</v>
      </c>
      <c r="L96" s="183" t="s">
        <v>896</v>
      </c>
      <c r="M96" s="258" t="s">
        <v>894</v>
      </c>
      <c r="N96" s="220">
        <f t="shared" si="13"/>
        <v>31.680555555555554</v>
      </c>
      <c r="O96" s="220">
        <f t="shared" si="14"/>
        <v>38.741666666666667</v>
      </c>
      <c r="P96" s="220">
        <f t="shared" si="15"/>
        <v>35.966666666666661</v>
      </c>
      <c r="Q96" s="220">
        <f t="shared" si="16"/>
        <v>38.81666666666667</v>
      </c>
      <c r="R96" s="243"/>
      <c r="S96" s="220">
        <f t="shared" si="17"/>
        <v>35.222974253465672</v>
      </c>
      <c r="T96" s="220">
        <f t="shared" si="18"/>
        <v>41.603107651460292</v>
      </c>
      <c r="U96" s="220">
        <f t="shared" si="19"/>
        <v>33.843897499483354</v>
      </c>
      <c r="V96" s="220">
        <f t="shared" si="20"/>
        <v>37.226586345381527</v>
      </c>
    </row>
    <row r="97" spans="1:23" s="183" customFormat="1" ht="25.5">
      <c r="A97" s="178" t="s">
        <v>1152</v>
      </c>
      <c r="B97" s="178" t="s">
        <v>1298</v>
      </c>
      <c r="C97" s="179">
        <v>58</v>
      </c>
      <c r="D97" s="180">
        <v>6400</v>
      </c>
      <c r="E97" s="181" t="s">
        <v>1398</v>
      </c>
      <c r="F97" s="263" t="s">
        <v>1093</v>
      </c>
      <c r="G97" s="182" t="s">
        <v>682</v>
      </c>
      <c r="H97" s="220">
        <v>144.43</v>
      </c>
      <c r="I97" s="220">
        <v>159.62</v>
      </c>
      <c r="J97" s="220">
        <v>153.47</v>
      </c>
      <c r="K97" s="220">
        <v>199.02</v>
      </c>
      <c r="L97" s="183" t="s">
        <v>896</v>
      </c>
      <c r="M97" s="258" t="s">
        <v>894</v>
      </c>
      <c r="N97" s="220">
        <f t="shared" si="13"/>
        <v>40.119444444444447</v>
      </c>
      <c r="O97" s="220">
        <f t="shared" si="14"/>
        <v>44.338888888888889</v>
      </c>
      <c r="P97" s="220">
        <f t="shared" si="15"/>
        <v>42.630555555555553</v>
      </c>
      <c r="Q97" s="220">
        <f t="shared" si="16"/>
        <v>55.283333333333331</v>
      </c>
      <c r="R97" s="243"/>
      <c r="S97" s="220">
        <f t="shared" si="17"/>
        <v>44.605472787619888</v>
      </c>
      <c r="T97" s="220">
        <f t="shared" si="18"/>
        <v>47.613738032021885</v>
      </c>
      <c r="U97" s="220">
        <f t="shared" si="19"/>
        <v>40.114480608941228</v>
      </c>
      <c r="V97" s="220">
        <f t="shared" si="20"/>
        <v>53.018714859437743</v>
      </c>
    </row>
    <row r="98" spans="1:23" s="183" customFormat="1">
      <c r="A98" s="178" t="s">
        <v>410</v>
      </c>
      <c r="B98" s="178" t="s">
        <v>488</v>
      </c>
      <c r="C98" s="179">
        <v>10</v>
      </c>
      <c r="D98" s="180">
        <v>6400</v>
      </c>
      <c r="E98" s="181" t="s">
        <v>1302</v>
      </c>
      <c r="F98" s="263" t="s">
        <v>1093</v>
      </c>
      <c r="G98" s="182" t="s">
        <v>682</v>
      </c>
      <c r="H98" s="220">
        <v>921.4</v>
      </c>
      <c r="I98" s="220">
        <v>921.4</v>
      </c>
      <c r="J98" s="220">
        <v>921.4</v>
      </c>
      <c r="K98" s="220">
        <v>977.2</v>
      </c>
      <c r="L98" s="183" t="s">
        <v>896</v>
      </c>
      <c r="M98" s="258" t="s">
        <v>894</v>
      </c>
      <c r="N98" s="220">
        <f t="shared" si="13"/>
        <v>255.94444444444443</v>
      </c>
      <c r="O98" s="220">
        <f t="shared" si="14"/>
        <v>255.94444444444443</v>
      </c>
      <c r="P98" s="220">
        <f t="shared" si="15"/>
        <v>255.94444444444443</v>
      </c>
      <c r="Q98" s="220">
        <f t="shared" si="16"/>
        <v>271.44444444444446</v>
      </c>
      <c r="R98" s="243"/>
      <c r="S98" s="220">
        <f t="shared" si="17"/>
        <v>284.56333605561832</v>
      </c>
      <c r="T98" s="220">
        <f t="shared" si="18"/>
        <v>274.84837879153588</v>
      </c>
      <c r="U98" s="220">
        <f t="shared" si="19"/>
        <v>240.83848591306742</v>
      </c>
      <c r="V98" s="220">
        <f t="shared" si="20"/>
        <v>260.32503346720216</v>
      </c>
    </row>
    <row r="99" spans="1:23" s="183" customFormat="1">
      <c r="A99" s="178" t="s">
        <v>1366</v>
      </c>
      <c r="B99" s="178" t="s">
        <v>1057</v>
      </c>
      <c r="C99" s="179">
        <v>72</v>
      </c>
      <c r="D99" s="180">
        <v>6400</v>
      </c>
      <c r="E99" s="181" t="s">
        <v>1367</v>
      </c>
      <c r="F99" s="263" t="s">
        <v>1093</v>
      </c>
      <c r="G99" s="182" t="s">
        <v>681</v>
      </c>
      <c r="H99" s="220">
        <v>81.56</v>
      </c>
      <c r="I99" s="220">
        <v>89.74</v>
      </c>
      <c r="J99" s="220">
        <v>87.22</v>
      </c>
      <c r="K99" s="220">
        <v>73.98</v>
      </c>
      <c r="L99" s="183" t="s">
        <v>896</v>
      </c>
      <c r="M99" s="258" t="s">
        <v>894</v>
      </c>
      <c r="N99" s="220">
        <f t="shared" si="13"/>
        <v>22.655555555555555</v>
      </c>
      <c r="O99" s="220">
        <f t="shared" si="14"/>
        <v>24.927777777777777</v>
      </c>
      <c r="P99" s="220">
        <f t="shared" si="15"/>
        <v>24.227777777777778</v>
      </c>
      <c r="Q99" s="220">
        <f t="shared" si="16"/>
        <v>20.55</v>
      </c>
      <c r="R99" s="243"/>
      <c r="S99" s="220">
        <f t="shared" si="17"/>
        <v>25.188827532772123</v>
      </c>
      <c r="T99" s="220">
        <f t="shared" si="18"/>
        <v>26.768931531096626</v>
      </c>
      <c r="U99" s="220">
        <f t="shared" si="19"/>
        <v>22.797843218295785</v>
      </c>
      <c r="V99" s="220">
        <f t="shared" si="20"/>
        <v>19.708192771084338</v>
      </c>
    </row>
    <row r="100" spans="1:23" s="183" customFormat="1">
      <c r="A100" s="178" t="s">
        <v>1172</v>
      </c>
      <c r="B100" s="178" t="s">
        <v>487</v>
      </c>
      <c r="C100" s="179">
        <v>10</v>
      </c>
      <c r="D100" s="180">
        <v>6400</v>
      </c>
      <c r="E100" s="181" t="s">
        <v>1173</v>
      </c>
      <c r="F100" s="263" t="s">
        <v>1093</v>
      </c>
      <c r="G100" s="182" t="s">
        <v>682</v>
      </c>
      <c r="H100" s="220">
        <v>1292.9000000000001</v>
      </c>
      <c r="I100" s="220">
        <v>1351.1</v>
      </c>
      <c r="J100" s="220">
        <v>1342.9</v>
      </c>
      <c r="K100" s="220">
        <v>1518.1</v>
      </c>
      <c r="L100" s="183" t="s">
        <v>896</v>
      </c>
      <c r="M100" s="258" t="s">
        <v>894</v>
      </c>
      <c r="N100" s="220">
        <f t="shared" si="13"/>
        <v>359.13888888888891</v>
      </c>
      <c r="O100" s="220">
        <f t="shared" si="14"/>
        <v>375.30555555555554</v>
      </c>
      <c r="P100" s="220">
        <f t="shared" si="15"/>
        <v>373.02777777777777</v>
      </c>
      <c r="Q100" s="220">
        <f t="shared" si="16"/>
        <v>421.6944444444444</v>
      </c>
      <c r="R100" s="243"/>
      <c r="S100" s="220">
        <f t="shared" si="17"/>
        <v>399.29665420697745</v>
      </c>
      <c r="T100" s="220">
        <f t="shared" si="18"/>
        <v>403.02544452490139</v>
      </c>
      <c r="U100" s="220">
        <f t="shared" si="19"/>
        <v>351.01150719845697</v>
      </c>
      <c r="V100" s="220">
        <f t="shared" si="20"/>
        <v>404.42021419009365</v>
      </c>
    </row>
    <row r="101" spans="1:23" s="183" customFormat="1" ht="25.5">
      <c r="A101" s="151" t="s">
        <v>424</v>
      </c>
      <c r="B101" s="178" t="s">
        <v>489</v>
      </c>
      <c r="C101" s="179">
        <v>2</v>
      </c>
      <c r="D101" s="180">
        <v>6400</v>
      </c>
      <c r="E101" s="181" t="s">
        <v>412</v>
      </c>
      <c r="F101" s="263" t="s">
        <v>1093</v>
      </c>
      <c r="G101" s="182" t="s">
        <v>438</v>
      </c>
      <c r="H101" s="220">
        <v>394.66</v>
      </c>
      <c r="I101" s="220">
        <v>466.36</v>
      </c>
      <c r="J101" s="220">
        <v>467.65</v>
      </c>
      <c r="K101" s="220">
        <v>492.89</v>
      </c>
      <c r="L101" s="183" t="s">
        <v>896</v>
      </c>
      <c r="M101" s="258" t="s">
        <v>894</v>
      </c>
      <c r="N101" s="220">
        <f t="shared" si="13"/>
        <v>109.62777777777778</v>
      </c>
      <c r="O101" s="220">
        <f t="shared" si="14"/>
        <v>129.54444444444445</v>
      </c>
      <c r="P101" s="220">
        <f t="shared" si="15"/>
        <v>129.90277777777777</v>
      </c>
      <c r="Q101" s="220">
        <f t="shared" si="16"/>
        <v>136.91388888888889</v>
      </c>
      <c r="R101" s="243"/>
      <c r="S101" s="220">
        <f t="shared" si="17"/>
        <v>121.8860063031369</v>
      </c>
      <c r="T101" s="220">
        <f t="shared" si="18"/>
        <v>139.11253519993562</v>
      </c>
      <c r="U101" s="220">
        <f t="shared" si="19"/>
        <v>122.23585623751462</v>
      </c>
      <c r="V101" s="220">
        <f t="shared" si="20"/>
        <v>131.30536813922356</v>
      </c>
    </row>
    <row r="102" spans="1:23" s="183" customFormat="1">
      <c r="A102" s="178" t="s">
        <v>121</v>
      </c>
      <c r="B102" s="178" t="s">
        <v>476</v>
      </c>
      <c r="C102" s="179">
        <v>1</v>
      </c>
      <c r="D102" s="180">
        <v>6400</v>
      </c>
      <c r="E102" s="181" t="s">
        <v>1302</v>
      </c>
      <c r="F102" s="263" t="s">
        <v>1093</v>
      </c>
      <c r="G102" s="182" t="s">
        <v>437</v>
      </c>
      <c r="H102" s="220">
        <v>587.45000000000005</v>
      </c>
      <c r="I102" s="220">
        <v>649.30999999999995</v>
      </c>
      <c r="J102" s="220">
        <v>721.12</v>
      </c>
      <c r="K102" s="220">
        <v>787.82</v>
      </c>
      <c r="L102" s="183" t="s">
        <v>896</v>
      </c>
      <c r="M102" s="258" t="s">
        <v>894</v>
      </c>
      <c r="N102" s="220">
        <f t="shared" si="13"/>
        <v>163.18055555555557</v>
      </c>
      <c r="O102" s="220">
        <f t="shared" si="14"/>
        <v>180.36388888888888</v>
      </c>
      <c r="P102" s="220">
        <f t="shared" si="15"/>
        <v>200.3111111111111</v>
      </c>
      <c r="Q102" s="220">
        <f t="shared" si="16"/>
        <v>218.8388888888889</v>
      </c>
      <c r="R102" s="243"/>
      <c r="S102" s="220">
        <f t="shared" si="17"/>
        <v>181.42688492063493</v>
      </c>
      <c r="T102" s="220">
        <f t="shared" si="18"/>
        <v>193.68547952369457</v>
      </c>
      <c r="U102" s="220">
        <f t="shared" si="19"/>
        <v>188.48865743610935</v>
      </c>
      <c r="V102" s="220">
        <f t="shared" si="20"/>
        <v>209.87440428380188</v>
      </c>
    </row>
    <row r="103" spans="1:23" s="276" customFormat="1">
      <c r="A103" s="151" t="s">
        <v>1101</v>
      </c>
      <c r="B103" s="151" t="s">
        <v>471</v>
      </c>
      <c r="C103" s="152">
        <v>100</v>
      </c>
      <c r="D103" s="153">
        <v>6400</v>
      </c>
      <c r="E103" s="154" t="s">
        <v>1101</v>
      </c>
      <c r="F103" s="264" t="s">
        <v>1093</v>
      </c>
      <c r="G103" s="155" t="s">
        <v>677</v>
      </c>
      <c r="H103" s="206">
        <v>3173.1</v>
      </c>
      <c r="I103" s="206">
        <v>3908.2</v>
      </c>
      <c r="J103" s="206">
        <v>3628.5</v>
      </c>
      <c r="K103" s="206">
        <v>4048.3</v>
      </c>
      <c r="L103" s="156" t="s">
        <v>896</v>
      </c>
      <c r="M103" s="277" t="s">
        <v>894</v>
      </c>
      <c r="N103" s="206">
        <f t="shared" si="13"/>
        <v>881.41666666666663</v>
      </c>
      <c r="O103" s="206">
        <f t="shared" si="14"/>
        <v>1085.6111111111111</v>
      </c>
      <c r="P103" s="206">
        <f t="shared" si="15"/>
        <v>1007.9166666666666</v>
      </c>
      <c r="Q103" s="206">
        <f t="shared" si="16"/>
        <v>1124.5277777777778</v>
      </c>
      <c r="R103" s="245"/>
      <c r="S103" s="206">
        <f t="shared" si="17"/>
        <v>979.97386763412487</v>
      </c>
      <c r="T103" s="206">
        <f t="shared" si="18"/>
        <v>1165.7938289484268</v>
      </c>
      <c r="U103" s="206">
        <f t="shared" si="19"/>
        <v>948.42896259557745</v>
      </c>
      <c r="V103" s="206">
        <f t="shared" si="20"/>
        <v>1078.4627844712181</v>
      </c>
    </row>
    <row r="104" spans="1:23" s="183" customFormat="1">
      <c r="A104" s="178" t="s">
        <v>1486</v>
      </c>
      <c r="B104" s="178" t="s">
        <v>485</v>
      </c>
      <c r="C104" s="179">
        <v>10</v>
      </c>
      <c r="D104" s="180">
        <v>6400</v>
      </c>
      <c r="E104" s="181" t="s">
        <v>900</v>
      </c>
      <c r="F104" s="263" t="s">
        <v>1093</v>
      </c>
      <c r="G104" s="182" t="s">
        <v>680</v>
      </c>
      <c r="H104" s="220">
        <v>1722.6</v>
      </c>
      <c r="I104" s="220">
        <v>1907.1</v>
      </c>
      <c r="J104" s="220">
        <v>1813.5</v>
      </c>
      <c r="K104" s="220">
        <v>1923.3</v>
      </c>
      <c r="L104" s="183" t="s">
        <v>896</v>
      </c>
      <c r="M104" s="258" t="s">
        <v>894</v>
      </c>
      <c r="N104" s="220">
        <f t="shared" si="13"/>
        <v>478.49999999999994</v>
      </c>
      <c r="O104" s="220">
        <f t="shared" si="14"/>
        <v>529.75</v>
      </c>
      <c r="P104" s="220">
        <f t="shared" si="15"/>
        <v>503.75</v>
      </c>
      <c r="Q104" s="220">
        <f t="shared" si="16"/>
        <v>534.25</v>
      </c>
      <c r="R104" s="243"/>
      <c r="S104" s="220">
        <f t="shared" si="17"/>
        <v>532.00434413871085</v>
      </c>
      <c r="T104" s="220">
        <f t="shared" si="18"/>
        <v>568.87708182476456</v>
      </c>
      <c r="U104" s="220">
        <f t="shared" si="19"/>
        <v>474.01844389336634</v>
      </c>
      <c r="V104" s="220">
        <f t="shared" si="20"/>
        <v>512.36506024096389</v>
      </c>
    </row>
    <row r="105" spans="1:23" s="183" customFormat="1">
      <c r="A105" s="178" t="s">
        <v>902</v>
      </c>
      <c r="B105" s="178" t="s">
        <v>130</v>
      </c>
      <c r="C105" s="179">
        <v>4</v>
      </c>
      <c r="D105" s="180">
        <v>6400</v>
      </c>
      <c r="E105" s="181" t="s">
        <v>902</v>
      </c>
      <c r="F105" s="263" t="s">
        <v>1093</v>
      </c>
      <c r="G105" s="182" t="s">
        <v>673</v>
      </c>
      <c r="H105" s="220">
        <v>192.67</v>
      </c>
      <c r="I105" s="220">
        <v>252.73</v>
      </c>
      <c r="J105" s="220">
        <v>192.41</v>
      </c>
      <c r="K105" s="220">
        <v>196.46</v>
      </c>
      <c r="L105" s="183" t="s">
        <v>896</v>
      </c>
      <c r="M105" s="258" t="s">
        <v>894</v>
      </c>
      <c r="N105" s="220">
        <f t="shared" si="13"/>
        <v>53.519444444444439</v>
      </c>
      <c r="O105" s="220">
        <f t="shared" si="14"/>
        <v>70.202777777777769</v>
      </c>
      <c r="P105" s="220">
        <f t="shared" si="15"/>
        <v>53.447222222222223</v>
      </c>
      <c r="Q105" s="220">
        <f t="shared" si="16"/>
        <v>54.572222222222223</v>
      </c>
      <c r="R105" s="243"/>
      <c r="S105" s="220">
        <f t="shared" si="17"/>
        <v>59.503818057126097</v>
      </c>
      <c r="T105" s="220">
        <f t="shared" si="18"/>
        <v>75.387921393515157</v>
      </c>
      <c r="U105" s="220">
        <f t="shared" si="19"/>
        <v>50.292742646552313</v>
      </c>
      <c r="V105" s="220">
        <f t="shared" si="20"/>
        <v>52.336733601070947</v>
      </c>
    </row>
    <row r="106" spans="1:23" s="183" customFormat="1">
      <c r="A106" s="178" t="s">
        <v>1031</v>
      </c>
      <c r="B106" s="178" t="s">
        <v>1056</v>
      </c>
      <c r="C106" s="179">
        <v>18</v>
      </c>
      <c r="D106" s="180">
        <v>6400</v>
      </c>
      <c r="E106" s="181" t="s">
        <v>1031</v>
      </c>
      <c r="F106" s="263" t="s">
        <v>1093</v>
      </c>
      <c r="G106" s="182" t="s">
        <v>673</v>
      </c>
      <c r="H106" s="220">
        <v>121.36</v>
      </c>
      <c r="I106" s="220">
        <v>137.68</v>
      </c>
      <c r="J106" s="220">
        <v>160.51</v>
      </c>
      <c r="K106" s="220">
        <v>206.58</v>
      </c>
      <c r="L106" s="183" t="s">
        <v>896</v>
      </c>
      <c r="M106" s="258" t="s">
        <v>894</v>
      </c>
      <c r="N106" s="220">
        <f t="shared" si="13"/>
        <v>33.711111111111109</v>
      </c>
      <c r="O106" s="220">
        <f t="shared" si="14"/>
        <v>38.244444444444447</v>
      </c>
      <c r="P106" s="220">
        <f t="shared" si="15"/>
        <v>44.586111111111109</v>
      </c>
      <c r="Q106" s="220">
        <f t="shared" si="16"/>
        <v>57.383333333333333</v>
      </c>
      <c r="R106" s="243"/>
      <c r="S106" s="220">
        <f t="shared" si="17"/>
        <v>37.480580056120942</v>
      </c>
      <c r="T106" s="220">
        <f t="shared" si="18"/>
        <v>41.069160833534475</v>
      </c>
      <c r="U106" s="220">
        <f t="shared" si="19"/>
        <v>41.954618378452842</v>
      </c>
      <c r="V106" s="220">
        <f t="shared" si="20"/>
        <v>55.032690763052209</v>
      </c>
    </row>
    <row r="107" spans="1:23" s="276" customFormat="1">
      <c r="A107" s="151" t="s">
        <v>1153</v>
      </c>
      <c r="B107" s="151" t="s">
        <v>1060</v>
      </c>
      <c r="C107" s="152">
        <v>3</v>
      </c>
      <c r="D107" s="153">
        <v>6400</v>
      </c>
      <c r="E107" s="154" t="s">
        <v>1153</v>
      </c>
      <c r="F107" s="264" t="s">
        <v>1093</v>
      </c>
      <c r="G107" s="155" t="s">
        <v>677</v>
      </c>
      <c r="H107" s="206">
        <v>3683.6</v>
      </c>
      <c r="I107" s="206">
        <v>4016.1</v>
      </c>
      <c r="J107" s="206">
        <v>4469.5</v>
      </c>
      <c r="K107" s="206">
        <v>4772.1000000000004</v>
      </c>
      <c r="L107" s="156" t="s">
        <v>896</v>
      </c>
      <c r="M107" s="277" t="s">
        <v>894</v>
      </c>
      <c r="N107" s="206">
        <f t="shared" si="13"/>
        <v>1023.2222222222222</v>
      </c>
      <c r="O107" s="206">
        <f t="shared" si="14"/>
        <v>1115.5833333333333</v>
      </c>
      <c r="P107" s="206">
        <f t="shared" si="15"/>
        <v>1241.5277777777778</v>
      </c>
      <c r="Q107" s="206">
        <f t="shared" si="16"/>
        <v>1325.5833333333335</v>
      </c>
      <c r="R107" s="245"/>
      <c r="S107" s="206">
        <f t="shared" si="17"/>
        <v>1137.635668216275</v>
      </c>
      <c r="T107" s="206">
        <f t="shared" si="18"/>
        <v>1197.9797851798212</v>
      </c>
      <c r="U107" s="206">
        <f t="shared" si="19"/>
        <v>1168.2522387545635</v>
      </c>
      <c r="V107" s="206">
        <f t="shared" si="20"/>
        <v>1271.2823293172692</v>
      </c>
    </row>
    <row r="108" spans="1:23" s="183" customFormat="1">
      <c r="A108" s="178" t="s">
        <v>1487</v>
      </c>
      <c r="B108" s="178" t="s">
        <v>485</v>
      </c>
      <c r="C108" s="179">
        <v>10</v>
      </c>
      <c r="D108" s="180">
        <v>6400</v>
      </c>
      <c r="E108" s="181" t="s">
        <v>122</v>
      </c>
      <c r="F108" s="263" t="s">
        <v>1093</v>
      </c>
      <c r="G108" s="182" t="s">
        <v>680</v>
      </c>
      <c r="H108" s="220">
        <v>697.4</v>
      </c>
      <c r="I108" s="220">
        <v>828.3</v>
      </c>
      <c r="J108" s="220">
        <v>796.9</v>
      </c>
      <c r="K108" s="220">
        <v>748.9</v>
      </c>
      <c r="L108" s="183" t="s">
        <v>896</v>
      </c>
      <c r="M108" s="258" t="s">
        <v>894</v>
      </c>
      <c r="N108" s="220">
        <f t="shared" si="13"/>
        <v>193.7222222222222</v>
      </c>
      <c r="O108" s="220">
        <f t="shared" si="14"/>
        <v>230.08333333333331</v>
      </c>
      <c r="P108" s="220">
        <f t="shared" si="15"/>
        <v>221.36111111111109</v>
      </c>
      <c r="Q108" s="220">
        <f t="shared" si="16"/>
        <v>208.02777777777777</v>
      </c>
      <c r="R108" s="243"/>
      <c r="S108" s="220">
        <f t="shared" si="17"/>
        <v>215.38362336139377</v>
      </c>
      <c r="T108" s="220">
        <f t="shared" si="18"/>
        <v>247.07717837315951</v>
      </c>
      <c r="U108" s="220">
        <f t="shared" si="19"/>
        <v>208.29627677894874</v>
      </c>
      <c r="V108" s="220">
        <f t="shared" si="20"/>
        <v>199.50615796519406</v>
      </c>
    </row>
    <row r="109" spans="1:23" s="183" customFormat="1">
      <c r="A109" s="178" t="s">
        <v>1488</v>
      </c>
      <c r="B109" s="178" t="s">
        <v>485</v>
      </c>
      <c r="C109" s="179">
        <v>10</v>
      </c>
      <c r="D109" s="180">
        <v>6400</v>
      </c>
      <c r="E109" s="181" t="s">
        <v>122</v>
      </c>
      <c r="F109" s="263" t="s">
        <v>1093</v>
      </c>
      <c r="G109" s="182" t="s">
        <v>680</v>
      </c>
      <c r="H109" s="220">
        <v>537.4</v>
      </c>
      <c r="I109" s="220">
        <v>604.4</v>
      </c>
      <c r="J109" s="220">
        <v>569</v>
      </c>
      <c r="K109" s="220">
        <v>607</v>
      </c>
      <c r="L109" s="183" t="s">
        <v>896</v>
      </c>
      <c r="M109" s="258" t="s">
        <v>894</v>
      </c>
      <c r="N109" s="220">
        <f t="shared" si="13"/>
        <v>149.27777777777777</v>
      </c>
      <c r="O109" s="220">
        <f t="shared" si="14"/>
        <v>167.88888888888889</v>
      </c>
      <c r="P109" s="220">
        <f t="shared" si="15"/>
        <v>158.05555555555554</v>
      </c>
      <c r="Q109" s="220">
        <f t="shared" si="16"/>
        <v>168.61111111111111</v>
      </c>
      <c r="R109" s="243"/>
      <c r="S109" s="220">
        <f t="shared" si="17"/>
        <v>165.96954286551909</v>
      </c>
      <c r="T109" s="220">
        <f t="shared" si="18"/>
        <v>180.28908198567865</v>
      </c>
      <c r="U109" s="220">
        <f t="shared" si="19"/>
        <v>148.72704415512845</v>
      </c>
      <c r="V109" s="220">
        <f t="shared" si="20"/>
        <v>161.70414993306559</v>
      </c>
    </row>
    <row r="110" spans="1:23" s="183" customFormat="1">
      <c r="A110" s="178" t="s">
        <v>1013</v>
      </c>
      <c r="B110" s="178" t="s">
        <v>1053</v>
      </c>
      <c r="C110" s="179">
        <v>27</v>
      </c>
      <c r="D110" s="180">
        <v>6400</v>
      </c>
      <c r="E110" s="181" t="s">
        <v>1013</v>
      </c>
      <c r="F110" s="263" t="s">
        <v>1093</v>
      </c>
      <c r="G110" s="182" t="s">
        <v>683</v>
      </c>
      <c r="H110" s="220">
        <v>1341.2</v>
      </c>
      <c r="I110" s="220">
        <v>1322.1</v>
      </c>
      <c r="J110" s="220">
        <v>1307.3</v>
      </c>
      <c r="K110" s="220">
        <v>1513.7</v>
      </c>
      <c r="L110" s="183" t="s">
        <v>896</v>
      </c>
      <c r="M110" s="258" t="s">
        <v>894</v>
      </c>
      <c r="N110" s="220">
        <f t="shared" si="13"/>
        <v>372.55555555555554</v>
      </c>
      <c r="O110" s="220">
        <f t="shared" si="14"/>
        <v>367.24999999999994</v>
      </c>
      <c r="P110" s="220">
        <f t="shared" si="15"/>
        <v>363.13888888888886</v>
      </c>
      <c r="Q110" s="220">
        <f t="shared" si="16"/>
        <v>420.47222222222223</v>
      </c>
      <c r="R110" s="243"/>
      <c r="S110" s="220">
        <f t="shared" si="17"/>
        <v>414.21352975666957</v>
      </c>
      <c r="T110" s="220">
        <f t="shared" si="18"/>
        <v>394.37490948587975</v>
      </c>
      <c r="U110" s="220">
        <f t="shared" si="19"/>
        <v>341.70626506854023</v>
      </c>
      <c r="V110" s="220">
        <f t="shared" si="20"/>
        <v>403.24805890227577</v>
      </c>
    </row>
    <row r="111" spans="1:23" s="183" customFormat="1" ht="25.5">
      <c r="A111" s="178" t="s">
        <v>1321</v>
      </c>
      <c r="B111" s="178" t="s">
        <v>481</v>
      </c>
      <c r="C111" s="179">
        <v>52</v>
      </c>
      <c r="D111" s="180">
        <v>6400</v>
      </c>
      <c r="E111" s="181" t="s">
        <v>1010</v>
      </c>
      <c r="F111" s="263" t="s">
        <v>1093</v>
      </c>
      <c r="G111" s="182"/>
      <c r="H111" s="220"/>
      <c r="I111" s="220"/>
      <c r="J111" s="220"/>
      <c r="K111" s="220"/>
      <c r="L111" s="183" t="s">
        <v>896</v>
      </c>
      <c r="M111" s="258" t="s">
        <v>894</v>
      </c>
      <c r="N111" s="220">
        <f t="shared" si="13"/>
        <v>0</v>
      </c>
      <c r="O111" s="220">
        <f t="shared" si="14"/>
        <v>0</v>
      </c>
      <c r="P111" s="220">
        <f t="shared" si="15"/>
        <v>0</v>
      </c>
      <c r="Q111" s="220">
        <f t="shared" si="16"/>
        <v>0</v>
      </c>
      <c r="R111" s="243"/>
      <c r="S111" s="220">
        <f t="shared" si="17"/>
        <v>0</v>
      </c>
      <c r="T111" s="220">
        <f t="shared" si="18"/>
        <v>0</v>
      </c>
      <c r="U111" s="220">
        <f t="shared" si="19"/>
        <v>0</v>
      </c>
      <c r="V111" s="220">
        <f t="shared" si="20"/>
        <v>0</v>
      </c>
    </row>
    <row r="112" spans="1:23" s="156" customFormat="1" ht="25.5">
      <c r="A112" s="151" t="s">
        <v>1322</v>
      </c>
      <c r="B112" s="151" t="s">
        <v>1057</v>
      </c>
      <c r="C112" s="152">
        <v>74</v>
      </c>
      <c r="D112" s="153">
        <v>6400</v>
      </c>
      <c r="E112" s="154" t="s">
        <v>119</v>
      </c>
      <c r="F112" s="264" t="s">
        <v>1093</v>
      </c>
      <c r="G112" s="155" t="s">
        <v>679</v>
      </c>
      <c r="H112" s="206">
        <v>4478.8999999999996</v>
      </c>
      <c r="I112" s="206">
        <v>4063.1</v>
      </c>
      <c r="J112" s="206">
        <v>4458.8</v>
      </c>
      <c r="K112" s="206">
        <v>5840.4</v>
      </c>
      <c r="L112" s="156" t="s">
        <v>896</v>
      </c>
      <c r="M112" s="277" t="s">
        <v>894</v>
      </c>
      <c r="N112" s="206">
        <f t="shared" si="13"/>
        <v>1244.1388888888887</v>
      </c>
      <c r="O112" s="206">
        <f t="shared" si="14"/>
        <v>1128.6388888888889</v>
      </c>
      <c r="P112" s="206">
        <f t="shared" si="15"/>
        <v>1238.5555555555557</v>
      </c>
      <c r="Q112" s="206">
        <f t="shared" si="16"/>
        <v>1622.3333333333333</v>
      </c>
      <c r="R112" s="245"/>
      <c r="S112" s="206">
        <f t="shared" si="17"/>
        <v>1383.2545320810818</v>
      </c>
      <c r="T112" s="206">
        <f t="shared" si="18"/>
        <v>1211.9996178292702</v>
      </c>
      <c r="U112" s="206">
        <f t="shared" si="19"/>
        <v>1165.4554384514709</v>
      </c>
      <c r="V112" s="206">
        <f t="shared" si="20"/>
        <v>1555.8763052208831</v>
      </c>
      <c r="W112" s="156" t="s">
        <v>44</v>
      </c>
    </row>
    <row r="113" spans="1:22" s="183" customFormat="1">
      <c r="A113" s="178" t="s">
        <v>1020</v>
      </c>
      <c r="B113" s="178" t="s">
        <v>499</v>
      </c>
      <c r="C113" s="179">
        <v>12</v>
      </c>
      <c r="D113" s="180">
        <v>6400</v>
      </c>
      <c r="E113" s="181" t="s">
        <v>1020</v>
      </c>
      <c r="F113" s="263" t="s">
        <v>1093</v>
      </c>
      <c r="G113" s="182"/>
      <c r="H113" s="220"/>
      <c r="I113" s="220"/>
      <c r="J113" s="220"/>
      <c r="K113" s="220"/>
      <c r="L113" s="183" t="s">
        <v>896</v>
      </c>
      <c r="M113" s="258" t="s">
        <v>894</v>
      </c>
      <c r="N113" s="220">
        <f t="shared" si="13"/>
        <v>0</v>
      </c>
      <c r="O113" s="220">
        <f t="shared" si="14"/>
        <v>0</v>
      </c>
      <c r="P113" s="220">
        <f t="shared" si="15"/>
        <v>0</v>
      </c>
      <c r="Q113" s="220">
        <f t="shared" si="16"/>
        <v>0</v>
      </c>
      <c r="R113" s="243"/>
      <c r="S113" s="220">
        <f t="shared" si="17"/>
        <v>0</v>
      </c>
      <c r="T113" s="220">
        <f t="shared" si="18"/>
        <v>0</v>
      </c>
      <c r="U113" s="220">
        <f t="shared" si="19"/>
        <v>0</v>
      </c>
      <c r="V113" s="220">
        <f t="shared" si="20"/>
        <v>0</v>
      </c>
    </row>
    <row r="114" spans="1:22" s="183" customFormat="1">
      <c r="A114" s="178" t="s">
        <v>1489</v>
      </c>
      <c r="B114" s="178" t="s">
        <v>657</v>
      </c>
      <c r="C114" s="179">
        <v>30</v>
      </c>
      <c r="D114" s="180">
        <v>6400</v>
      </c>
      <c r="E114" s="181" t="s">
        <v>1005</v>
      </c>
      <c r="F114" s="263" t="s">
        <v>1093</v>
      </c>
      <c r="G114" s="182" t="s">
        <v>677</v>
      </c>
      <c r="H114" s="220">
        <v>75.31</v>
      </c>
      <c r="I114" s="220">
        <v>93.84</v>
      </c>
      <c r="J114" s="220">
        <v>97.13</v>
      </c>
      <c r="K114" s="220">
        <v>66.11</v>
      </c>
      <c r="L114" s="183" t="s">
        <v>896</v>
      </c>
      <c r="M114" s="258" t="s">
        <v>894</v>
      </c>
      <c r="N114" s="220">
        <f t="shared" si="13"/>
        <v>20.919444444444444</v>
      </c>
      <c r="O114" s="220">
        <f t="shared" si="14"/>
        <v>26.066666666666666</v>
      </c>
      <c r="P114" s="220">
        <f t="shared" si="15"/>
        <v>26.980555555555554</v>
      </c>
      <c r="Q114" s="220">
        <f t="shared" si="16"/>
        <v>18.363888888888887</v>
      </c>
      <c r="R114" s="243"/>
      <c r="S114" s="220">
        <f t="shared" si="17"/>
        <v>23.258590013402017</v>
      </c>
      <c r="T114" s="220">
        <f t="shared" si="18"/>
        <v>27.991938209027275</v>
      </c>
      <c r="U114" s="220">
        <f t="shared" si="19"/>
        <v>25.388150788730449</v>
      </c>
      <c r="V114" s="220">
        <f t="shared" si="20"/>
        <v>17.611633199464524</v>
      </c>
    </row>
    <row r="115" spans="1:22" s="183" customFormat="1">
      <c r="A115" s="178" t="s">
        <v>1490</v>
      </c>
      <c r="B115" s="178" t="s">
        <v>657</v>
      </c>
      <c r="C115" s="179">
        <v>30</v>
      </c>
      <c r="D115" s="180">
        <v>6400</v>
      </c>
      <c r="E115" s="181" t="s">
        <v>1005</v>
      </c>
      <c r="F115" s="263" t="s">
        <v>1093</v>
      </c>
      <c r="G115" s="182" t="s">
        <v>677</v>
      </c>
      <c r="H115" s="220">
        <v>272.02999999999997</v>
      </c>
      <c r="I115" s="220">
        <v>323.27999999999997</v>
      </c>
      <c r="J115" s="220">
        <v>84.66</v>
      </c>
      <c r="K115" s="220">
        <v>155.88999999999999</v>
      </c>
      <c r="L115" s="183" t="s">
        <v>896</v>
      </c>
      <c r="M115" s="258" t="s">
        <v>894</v>
      </c>
      <c r="N115" s="220">
        <f t="shared" si="13"/>
        <v>75.563888888888883</v>
      </c>
      <c r="O115" s="220">
        <f t="shared" si="14"/>
        <v>89.8</v>
      </c>
      <c r="P115" s="220">
        <f t="shared" si="15"/>
        <v>23.516666666666666</v>
      </c>
      <c r="Q115" s="220">
        <f t="shared" si="16"/>
        <v>43.30277777777777</v>
      </c>
      <c r="R115" s="243"/>
      <c r="S115" s="220">
        <f t="shared" si="17"/>
        <v>84.013201983079938</v>
      </c>
      <c r="T115" s="220">
        <f t="shared" si="18"/>
        <v>96.432585083272983</v>
      </c>
      <c r="U115" s="220">
        <f t="shared" si="19"/>
        <v>22.128702211200658</v>
      </c>
      <c r="V115" s="220">
        <f t="shared" si="20"/>
        <v>41.528929049531449</v>
      </c>
    </row>
    <row r="116" spans="1:22" s="183" customFormat="1">
      <c r="A116" s="178" t="s">
        <v>506</v>
      </c>
      <c r="B116" s="178" t="s">
        <v>1442</v>
      </c>
      <c r="C116" s="179">
        <v>29</v>
      </c>
      <c r="D116" s="180">
        <v>6400</v>
      </c>
      <c r="E116" s="181" t="s">
        <v>506</v>
      </c>
      <c r="F116" s="263" t="s">
        <v>1093</v>
      </c>
      <c r="G116" s="182" t="s">
        <v>673</v>
      </c>
      <c r="H116" s="220">
        <v>176</v>
      </c>
      <c r="I116" s="220">
        <v>176</v>
      </c>
      <c r="J116" s="220">
        <v>219.6</v>
      </c>
      <c r="K116" s="220">
        <v>206.88</v>
      </c>
      <c r="L116" s="183" t="s">
        <v>896</v>
      </c>
      <c r="M116" s="258" t="s">
        <v>894</v>
      </c>
      <c r="N116" s="220">
        <f t="shared" si="13"/>
        <v>48.888888888888886</v>
      </c>
      <c r="O116" s="220">
        <f t="shared" si="14"/>
        <v>48.888888888888886</v>
      </c>
      <c r="P116" s="220">
        <f t="shared" si="15"/>
        <v>61</v>
      </c>
      <c r="Q116" s="220">
        <f t="shared" si="16"/>
        <v>57.466666666666661</v>
      </c>
      <c r="R116" s="243"/>
      <c r="S116" s="220">
        <f t="shared" si="17"/>
        <v>54.355488545462151</v>
      </c>
      <c r="T116" s="220">
        <f t="shared" si="18"/>
        <v>52.499798857510655</v>
      </c>
      <c r="U116" s="220">
        <f t="shared" si="19"/>
        <v>57.399752014879105</v>
      </c>
      <c r="V116" s="220">
        <f t="shared" si="20"/>
        <v>55.11261044176706</v>
      </c>
    </row>
    <row r="117" spans="1:22" s="183" customFormat="1">
      <c r="A117" s="184" t="s">
        <v>956</v>
      </c>
      <c r="B117" s="184" t="s">
        <v>652</v>
      </c>
      <c r="C117" s="185">
        <v>2</v>
      </c>
      <c r="D117" s="186">
        <v>6400</v>
      </c>
      <c r="E117" s="163" t="s">
        <v>1324</v>
      </c>
      <c r="F117" s="265" t="s">
        <v>1093</v>
      </c>
      <c r="G117" s="155" t="s">
        <v>681</v>
      </c>
      <c r="H117" s="220">
        <v>1591</v>
      </c>
      <c r="I117" s="220">
        <v>1623</v>
      </c>
      <c r="J117" s="220">
        <v>1591</v>
      </c>
      <c r="K117" s="220">
        <v>1623</v>
      </c>
      <c r="L117" s="183" t="s">
        <v>896</v>
      </c>
      <c r="M117" s="258" t="s">
        <v>894</v>
      </c>
      <c r="N117" s="220">
        <f t="shared" si="13"/>
        <v>441.94444444444446</v>
      </c>
      <c r="O117" s="220">
        <f t="shared" si="14"/>
        <v>450.83333333333331</v>
      </c>
      <c r="P117" s="220">
        <f t="shared" si="15"/>
        <v>441.94444444444446</v>
      </c>
      <c r="Q117" s="220">
        <f t="shared" si="16"/>
        <v>450.83333333333331</v>
      </c>
      <c r="R117" s="243"/>
      <c r="S117" s="220">
        <f t="shared" si="17"/>
        <v>491.36126293085397</v>
      </c>
      <c r="T117" s="220">
        <f t="shared" si="18"/>
        <v>484.13166787352156</v>
      </c>
      <c r="U117" s="220">
        <f t="shared" si="19"/>
        <v>415.86068058138733</v>
      </c>
      <c r="V117" s="220">
        <f t="shared" si="20"/>
        <v>432.3654618473895</v>
      </c>
    </row>
    <row r="118" spans="1:22" s="170" customFormat="1" ht="13.5" thickBot="1">
      <c r="A118" s="168" t="s">
        <v>1499</v>
      </c>
      <c r="B118" s="168"/>
      <c r="C118" s="169"/>
      <c r="E118" s="171" t="s">
        <v>1503</v>
      </c>
      <c r="F118" s="266" t="s">
        <v>1241</v>
      </c>
      <c r="G118" s="168"/>
      <c r="H118" s="218">
        <f>SUM(H56:H117)</f>
        <v>40633.360000000001</v>
      </c>
      <c r="I118" s="218">
        <f>SUM(I56:I117)</f>
        <v>42337.840000000004</v>
      </c>
      <c r="J118" s="218">
        <f>SUM(J56:J117)</f>
        <v>43773.240000000013</v>
      </c>
      <c r="K118" s="218">
        <f>SUM(K56:K117)</f>
        <v>47870.439999999995</v>
      </c>
      <c r="M118" s="256"/>
      <c r="N118" s="218">
        <f>SUM(N57:N117)</f>
        <v>11287.044444444444</v>
      </c>
      <c r="O118" s="218">
        <f>SUM(O57:O117)</f>
        <v>11760.511111111113</v>
      </c>
      <c r="P118" s="218">
        <f>SUM(P57:P117)</f>
        <v>12159.233333333332</v>
      </c>
      <c r="Q118" s="218">
        <f>SUM(Q57:Q117)</f>
        <v>13297.344444444447</v>
      </c>
      <c r="R118" s="246"/>
      <c r="S118" s="218">
        <f>SUM(S57:S117)</f>
        <v>12549.125761611591</v>
      </c>
      <c r="T118" s="218">
        <f>SUM(T57:T117)</f>
        <v>12629.136841258343</v>
      </c>
      <c r="U118" s="218">
        <f>SUM(U57:U117)</f>
        <v>11441.589803678442</v>
      </c>
      <c r="V118" s="218">
        <f>SUM(V57:V117)</f>
        <v>12752.633949129851</v>
      </c>
    </row>
    <row r="119" spans="1:22" s="225" customFormat="1" ht="13.5" thickBot="1">
      <c r="A119" s="223"/>
      <c r="B119" s="223"/>
      <c r="C119" s="224"/>
      <c r="E119" s="226"/>
      <c r="F119" s="267"/>
      <c r="G119" s="223"/>
      <c r="H119" s="227"/>
      <c r="I119" s="227"/>
      <c r="J119" s="227"/>
      <c r="K119" s="227"/>
      <c r="M119" s="257" t="s">
        <v>1521</v>
      </c>
      <c r="N119" s="228">
        <f>graddage!D28</f>
        <v>0.88374417055296473</v>
      </c>
      <c r="O119" s="228">
        <f>graddage!D29</f>
        <v>0.92005329780146572</v>
      </c>
      <c r="P119" s="228">
        <f>graddage!D30</f>
        <v>1.0746169220519655</v>
      </c>
      <c r="Q119" s="228">
        <f>graddage!D31</f>
        <v>1.0506329113924051</v>
      </c>
      <c r="R119" s="247"/>
    </row>
    <row r="120" spans="1:22" s="183" customFormat="1">
      <c r="A120" s="187"/>
      <c r="B120" s="187"/>
      <c r="C120" s="188"/>
      <c r="D120" s="189"/>
      <c r="E120" s="190"/>
      <c r="F120" s="269"/>
      <c r="G120" s="155"/>
      <c r="H120" s="220"/>
      <c r="I120" s="220"/>
      <c r="J120" s="220"/>
      <c r="K120" s="220"/>
      <c r="M120" s="253"/>
      <c r="N120" s="220"/>
      <c r="O120" s="220"/>
      <c r="P120" s="220"/>
      <c r="Q120" s="220"/>
      <c r="R120" s="243"/>
    </row>
    <row r="121" spans="1:22" s="66" customFormat="1">
      <c r="A121" s="133" t="s">
        <v>1331</v>
      </c>
      <c r="B121" s="133" t="s">
        <v>1288</v>
      </c>
      <c r="C121" s="135">
        <v>4</v>
      </c>
      <c r="D121" s="136">
        <v>6430</v>
      </c>
      <c r="E121" s="137" t="s">
        <v>613</v>
      </c>
      <c r="F121" s="264" t="s">
        <v>1093</v>
      </c>
      <c r="G121" s="138" t="s">
        <v>677</v>
      </c>
      <c r="H121" s="140">
        <v>943</v>
      </c>
      <c r="I121" s="140">
        <v>943</v>
      </c>
      <c r="J121" s="140">
        <v>947</v>
      </c>
      <c r="K121" s="140">
        <v>1030</v>
      </c>
      <c r="M121" s="259" t="s">
        <v>417</v>
      </c>
      <c r="N121" s="140">
        <v>943</v>
      </c>
      <c r="O121" s="140">
        <v>943</v>
      </c>
      <c r="P121" s="140">
        <v>947</v>
      </c>
      <c r="Q121" s="140">
        <v>1030</v>
      </c>
      <c r="R121" s="245"/>
      <c r="S121" s="140">
        <f t="shared" ref="S121:S129" si="21">0.85*N121/$N$132+0.15*N121</f>
        <v>1077.3710812913262</v>
      </c>
      <c r="T121" s="140">
        <f t="shared" ref="T121:T129" si="22">0.85*O121/$O$132+0.15*O121</f>
        <v>1064.4469696969695</v>
      </c>
      <c r="U121" s="140">
        <f t="shared" ref="U121:U129" si="23">0.85*P121/$P$132+0.15*P121</f>
        <v>987.85325516275805</v>
      </c>
      <c r="V121" s="140">
        <f t="shared" ref="V121:V129" si="24">0.85*Q121/$Q$132+0.15*Q121</f>
        <v>907.58051575931222</v>
      </c>
    </row>
    <row r="122" spans="1:22" s="66" customFormat="1" ht="25.5">
      <c r="A122" s="133" t="s">
        <v>625</v>
      </c>
      <c r="B122" s="133" t="s">
        <v>787</v>
      </c>
      <c r="C122" s="135">
        <v>28</v>
      </c>
      <c r="D122" s="136">
        <v>6430</v>
      </c>
      <c r="E122" s="137" t="s">
        <v>1391</v>
      </c>
      <c r="F122" s="264" t="s">
        <v>1093</v>
      </c>
      <c r="G122" s="138" t="s">
        <v>681</v>
      </c>
      <c r="H122" s="140">
        <v>19.5</v>
      </c>
      <c r="I122" s="140">
        <v>42</v>
      </c>
      <c r="J122" s="140">
        <v>40</v>
      </c>
      <c r="K122" s="140">
        <v>40</v>
      </c>
      <c r="L122" s="66" t="s">
        <v>415</v>
      </c>
      <c r="M122" s="259" t="s">
        <v>417</v>
      </c>
      <c r="N122" s="140">
        <v>19.5</v>
      </c>
      <c r="O122" s="140">
        <v>42</v>
      </c>
      <c r="P122" s="140">
        <v>40</v>
      </c>
      <c r="Q122" s="140">
        <v>40</v>
      </c>
      <c r="R122" s="245"/>
      <c r="S122" s="140">
        <f t="shared" si="21"/>
        <v>22.278617269544924</v>
      </c>
      <c r="T122" s="140">
        <f t="shared" si="22"/>
        <v>47.409090909090899</v>
      </c>
      <c r="U122" s="140">
        <f t="shared" si="23"/>
        <v>41.725586279313966</v>
      </c>
      <c r="V122" s="140">
        <f t="shared" si="24"/>
        <v>35.245845272206303</v>
      </c>
    </row>
    <row r="123" spans="1:22" s="66" customFormat="1">
      <c r="A123" s="133" t="s">
        <v>1257</v>
      </c>
      <c r="B123" s="133" t="s">
        <v>1272</v>
      </c>
      <c r="C123" s="135">
        <v>4</v>
      </c>
      <c r="D123" s="136">
        <v>6430</v>
      </c>
      <c r="E123" s="137" t="s">
        <v>1258</v>
      </c>
      <c r="F123" s="264" t="s">
        <v>1093</v>
      </c>
      <c r="G123" s="138" t="s">
        <v>673</v>
      </c>
      <c r="H123" s="140">
        <v>116.2</v>
      </c>
      <c r="I123" s="140">
        <v>106.6</v>
      </c>
      <c r="J123" s="140">
        <v>103.1</v>
      </c>
      <c r="K123" s="140">
        <v>80</v>
      </c>
      <c r="L123" s="66" t="s">
        <v>415</v>
      </c>
      <c r="M123" s="259" t="s">
        <v>417</v>
      </c>
      <c r="N123" s="140">
        <v>116.2</v>
      </c>
      <c r="O123" s="140">
        <v>106.6</v>
      </c>
      <c r="P123" s="140">
        <v>103.1</v>
      </c>
      <c r="Q123" s="140">
        <v>80</v>
      </c>
      <c r="R123" s="245"/>
      <c r="S123" s="140">
        <f t="shared" si="21"/>
        <v>132.75770906262153</v>
      </c>
      <c r="T123" s="140">
        <f t="shared" si="22"/>
        <v>120.32878787878786</v>
      </c>
      <c r="U123" s="140">
        <f t="shared" si="23"/>
        <v>107.54769863493175</v>
      </c>
      <c r="V123" s="140">
        <f t="shared" si="24"/>
        <v>70.491690544412606</v>
      </c>
    </row>
    <row r="124" spans="1:22" s="66" customFormat="1">
      <c r="A124" s="133" t="s">
        <v>1097</v>
      </c>
      <c r="B124" s="133" t="s">
        <v>1052</v>
      </c>
      <c r="C124" s="135">
        <v>103</v>
      </c>
      <c r="D124" s="136">
        <v>6430</v>
      </c>
      <c r="E124" s="137" t="s">
        <v>1097</v>
      </c>
      <c r="F124" s="264" t="s">
        <v>1093</v>
      </c>
      <c r="G124" s="138" t="s">
        <v>673</v>
      </c>
      <c r="H124" s="140"/>
      <c r="I124" s="140">
        <v>60</v>
      </c>
      <c r="J124" s="140">
        <v>62.148000000000003</v>
      </c>
      <c r="K124" s="140">
        <v>69.094999999999999</v>
      </c>
      <c r="M124" s="259" t="s">
        <v>417</v>
      </c>
      <c r="N124" s="140"/>
      <c r="O124" s="140">
        <v>60</v>
      </c>
      <c r="P124" s="140">
        <v>62.148000000000003</v>
      </c>
      <c r="Q124" s="140">
        <v>69.094999999999999</v>
      </c>
      <c r="R124" s="245"/>
      <c r="S124" s="140">
        <f t="shared" si="21"/>
        <v>0</v>
      </c>
      <c r="T124" s="140">
        <f t="shared" si="22"/>
        <v>67.72727272727272</v>
      </c>
      <c r="U124" s="140">
        <f t="shared" si="23"/>
        <v>64.829043402170115</v>
      </c>
      <c r="V124" s="140">
        <f t="shared" si="24"/>
        <v>60.88279197707736</v>
      </c>
    </row>
    <row r="125" spans="1:22" s="66" customFormat="1">
      <c r="A125" s="133" t="s">
        <v>521</v>
      </c>
      <c r="B125" s="133" t="s">
        <v>1050</v>
      </c>
      <c r="C125" s="135">
        <v>7</v>
      </c>
      <c r="D125" s="136">
        <v>6430</v>
      </c>
      <c r="E125" s="137" t="s">
        <v>522</v>
      </c>
      <c r="F125" s="264" t="s">
        <v>1093</v>
      </c>
      <c r="G125" s="138" t="s">
        <v>683</v>
      </c>
      <c r="H125" s="140">
        <v>224</v>
      </c>
      <c r="I125" s="140">
        <v>231</v>
      </c>
      <c r="J125" s="140">
        <v>197</v>
      </c>
      <c r="K125" s="140">
        <v>230</v>
      </c>
      <c r="L125" s="66" t="s">
        <v>415</v>
      </c>
      <c r="M125" s="259" t="s">
        <v>417</v>
      </c>
      <c r="N125" s="140">
        <v>224</v>
      </c>
      <c r="O125" s="140">
        <v>231</v>
      </c>
      <c r="P125" s="140">
        <v>197</v>
      </c>
      <c r="Q125" s="140">
        <v>230</v>
      </c>
      <c r="R125" s="245"/>
      <c r="S125" s="140">
        <f t="shared" si="21"/>
        <v>255.91847530143912</v>
      </c>
      <c r="T125" s="140">
        <f t="shared" si="22"/>
        <v>260.75</v>
      </c>
      <c r="U125" s="140">
        <f t="shared" si="23"/>
        <v>205.49851242562124</v>
      </c>
      <c r="V125" s="140">
        <f t="shared" si="24"/>
        <v>202.66361031518622</v>
      </c>
    </row>
    <row r="126" spans="1:22" s="66" customFormat="1">
      <c r="A126" s="133" t="s">
        <v>754</v>
      </c>
      <c r="B126" s="133" t="s">
        <v>1052</v>
      </c>
      <c r="C126" s="135">
        <v>13</v>
      </c>
      <c r="D126" s="136">
        <v>6430</v>
      </c>
      <c r="E126" s="137" t="s">
        <v>754</v>
      </c>
      <c r="F126" s="264" t="s">
        <v>1093</v>
      </c>
      <c r="G126" s="138" t="s">
        <v>682</v>
      </c>
      <c r="H126" s="140">
        <v>336.99</v>
      </c>
      <c r="I126" s="140">
        <v>299.94</v>
      </c>
      <c r="J126" s="140">
        <v>499.32</v>
      </c>
      <c r="K126" s="140">
        <v>493.87</v>
      </c>
      <c r="L126" s="66" t="s">
        <v>415</v>
      </c>
      <c r="M126" s="259" t="s">
        <v>417</v>
      </c>
      <c r="N126" s="140">
        <v>336.99</v>
      </c>
      <c r="O126" s="140">
        <v>299.94</v>
      </c>
      <c r="P126" s="140">
        <v>499.32</v>
      </c>
      <c r="Q126" s="140">
        <v>493.87</v>
      </c>
      <c r="R126" s="245"/>
      <c r="S126" s="140">
        <f t="shared" si="21"/>
        <v>385.0087812135356</v>
      </c>
      <c r="T126" s="140">
        <f t="shared" si="22"/>
        <v>338.5686363636363</v>
      </c>
      <c r="U126" s="140">
        <f t="shared" si="23"/>
        <v>520.86049352467626</v>
      </c>
      <c r="V126" s="140">
        <f t="shared" si="24"/>
        <v>435.17164011461318</v>
      </c>
    </row>
    <row r="127" spans="1:22" s="66" customFormat="1">
      <c r="A127" s="133" t="s">
        <v>153</v>
      </c>
      <c r="B127" s="133" t="s">
        <v>1293</v>
      </c>
      <c r="C127" s="135">
        <v>22</v>
      </c>
      <c r="D127" s="136">
        <v>6430</v>
      </c>
      <c r="E127" s="137" t="s">
        <v>1151</v>
      </c>
      <c r="F127" s="264" t="s">
        <v>1093</v>
      </c>
      <c r="G127" s="138" t="s">
        <v>677</v>
      </c>
      <c r="H127" s="140"/>
      <c r="I127" s="140"/>
      <c r="J127" s="140"/>
      <c r="K127" s="140"/>
      <c r="M127" s="259" t="s">
        <v>417</v>
      </c>
      <c r="N127" s="140"/>
      <c r="O127" s="140"/>
      <c r="P127" s="140"/>
      <c r="Q127" s="140"/>
      <c r="R127" s="245"/>
      <c r="S127" s="140">
        <f t="shared" si="21"/>
        <v>0</v>
      </c>
      <c r="T127" s="140">
        <f t="shared" si="22"/>
        <v>0</v>
      </c>
      <c r="U127" s="140">
        <f t="shared" si="23"/>
        <v>0</v>
      </c>
      <c r="V127" s="140">
        <f t="shared" si="24"/>
        <v>0</v>
      </c>
    </row>
    <row r="128" spans="1:22" s="66" customFormat="1">
      <c r="A128" s="133" t="s">
        <v>1302</v>
      </c>
      <c r="B128" s="133" t="s">
        <v>132</v>
      </c>
      <c r="C128" s="135">
        <v>2</v>
      </c>
      <c r="D128" s="136">
        <v>6430</v>
      </c>
      <c r="E128" s="137" t="s">
        <v>1152</v>
      </c>
      <c r="F128" s="264" t="s">
        <v>1093</v>
      </c>
      <c r="G128" s="138" t="s">
        <v>680</v>
      </c>
      <c r="H128" s="140">
        <v>1016.0200000000001</v>
      </c>
      <c r="I128" s="140">
        <v>842.40699999999993</v>
      </c>
      <c r="J128" s="140">
        <v>1017</v>
      </c>
      <c r="K128" s="140">
        <v>1077</v>
      </c>
      <c r="L128" s="66" t="s">
        <v>415</v>
      </c>
      <c r="M128" s="259" t="s">
        <v>417</v>
      </c>
      <c r="N128" s="140">
        <v>1016.0200000000001</v>
      </c>
      <c r="O128" s="140">
        <v>842.40699999999993</v>
      </c>
      <c r="P128" s="140">
        <v>1017</v>
      </c>
      <c r="Q128" s="140">
        <v>1077</v>
      </c>
      <c r="R128" s="245"/>
      <c r="S128" s="140">
        <f t="shared" si="21"/>
        <v>1160.7959342668223</v>
      </c>
      <c r="T128" s="140">
        <f t="shared" si="22"/>
        <v>950.89881060606047</v>
      </c>
      <c r="U128" s="140">
        <f t="shared" si="23"/>
        <v>1060.8730311515576</v>
      </c>
      <c r="V128" s="140">
        <f t="shared" si="24"/>
        <v>948.99438395415461</v>
      </c>
    </row>
    <row r="129" spans="1:22" s="66" customFormat="1">
      <c r="A129" s="133" t="s">
        <v>1313</v>
      </c>
      <c r="B129" s="133" t="s">
        <v>779</v>
      </c>
      <c r="C129" s="135">
        <v>64</v>
      </c>
      <c r="D129" s="136">
        <v>6430</v>
      </c>
      <c r="E129" s="137" t="s">
        <v>1152</v>
      </c>
      <c r="F129" s="264" t="s">
        <v>1093</v>
      </c>
      <c r="G129" s="138" t="s">
        <v>680</v>
      </c>
      <c r="H129" s="140"/>
      <c r="I129" s="140"/>
      <c r="J129" s="140"/>
      <c r="K129" s="140"/>
      <c r="M129" s="259" t="s">
        <v>417</v>
      </c>
      <c r="N129" s="140"/>
      <c r="O129" s="140"/>
      <c r="P129" s="140"/>
      <c r="Q129" s="140"/>
      <c r="R129" s="245"/>
      <c r="S129" s="140">
        <f t="shared" si="21"/>
        <v>0</v>
      </c>
      <c r="T129" s="140">
        <f t="shared" si="22"/>
        <v>0</v>
      </c>
      <c r="U129" s="140">
        <f t="shared" si="23"/>
        <v>0</v>
      </c>
      <c r="V129" s="140">
        <f t="shared" si="24"/>
        <v>0</v>
      </c>
    </row>
    <row r="130" spans="1:22" s="66" customFormat="1" ht="25.5">
      <c r="A130" s="191" t="s">
        <v>614</v>
      </c>
      <c r="B130" s="191" t="s">
        <v>1447</v>
      </c>
      <c r="C130" s="192">
        <v>17</v>
      </c>
      <c r="D130" s="193">
        <v>6430</v>
      </c>
      <c r="E130" s="150" t="s">
        <v>1491</v>
      </c>
      <c r="F130" s="265" t="s">
        <v>1093</v>
      </c>
      <c r="G130" s="138" t="s">
        <v>673</v>
      </c>
      <c r="H130" s="202">
        <v>41.429000000000002</v>
      </c>
      <c r="I130" s="202">
        <v>28.356000000000002</v>
      </c>
      <c r="J130" s="140">
        <v>17.8</v>
      </c>
      <c r="K130" s="140">
        <v>30.19</v>
      </c>
      <c r="L130" s="66" t="s">
        <v>686</v>
      </c>
      <c r="M130" s="259" t="s">
        <v>417</v>
      </c>
      <c r="N130" s="202">
        <v>41.429000000000002</v>
      </c>
      <c r="O130" s="202">
        <v>28.356000000000002</v>
      </c>
      <c r="P130" s="140">
        <v>17.8</v>
      </c>
      <c r="Q130" s="140">
        <v>30.19</v>
      </c>
      <c r="R130" s="245"/>
      <c r="S130" s="140">
        <f>0.85*N130/$N$132+0.15*N130</f>
        <v>47.33235050563983</v>
      </c>
      <c r="T130" s="140">
        <f>0.85*O130/$O$132+0.15*O130</f>
        <v>32.007909090909095</v>
      </c>
      <c r="U130" s="140">
        <f>0.85*P130/$P$132+0.15*P130</f>
        <v>18.567885894294715</v>
      </c>
      <c r="V130" s="140">
        <f>0.85*Q130/$Q$132+0.15*Q130</f>
        <v>26.601801719197706</v>
      </c>
    </row>
    <row r="131" spans="1:22" s="200" customFormat="1" ht="13.5" thickBot="1">
      <c r="A131" s="198" t="s">
        <v>1500</v>
      </c>
      <c r="B131" s="198"/>
      <c r="C131" s="199"/>
      <c r="E131" s="201" t="s">
        <v>1500</v>
      </c>
      <c r="F131" s="266"/>
      <c r="G131" s="198"/>
      <c r="H131" s="221">
        <f>SUM(H121:H130)</f>
        <v>2697.1390000000001</v>
      </c>
      <c r="I131" s="221">
        <f>SUM(I121:I130)</f>
        <v>2553.3030000000003</v>
      </c>
      <c r="J131" s="221">
        <f>SUM(J121:J130)</f>
        <v>2883.3679999999999</v>
      </c>
      <c r="K131" s="221">
        <f>SUM(K121:K130)</f>
        <v>3050.1550000000002</v>
      </c>
      <c r="L131" s="200" t="s">
        <v>415</v>
      </c>
      <c r="M131" s="256"/>
      <c r="N131" s="221">
        <f>SUM(N121:N130)</f>
        <v>2697.1390000000001</v>
      </c>
      <c r="O131" s="221">
        <f>SUM(O121:O130)</f>
        <v>2553.3030000000003</v>
      </c>
      <c r="P131" s="221">
        <f>SUM(P121:P130)</f>
        <v>2883.3679999999999</v>
      </c>
      <c r="Q131" s="221">
        <f>SUM(Q121:Q130)</f>
        <v>3050.1550000000002</v>
      </c>
      <c r="R131" s="249"/>
      <c r="S131" s="212">
        <f>SUM(S121:S130)</f>
        <v>3081.4629489109293</v>
      </c>
      <c r="T131" s="212">
        <f>SUM(T121:T130)</f>
        <v>2882.1374772727268</v>
      </c>
      <c r="U131" s="212">
        <f>SUM(U121:U130)</f>
        <v>3007.7555064753233</v>
      </c>
      <c r="V131" s="212">
        <f>SUM(V121:V130)</f>
        <v>2687.6322796561603</v>
      </c>
    </row>
    <row r="132" spans="1:22" s="231" customFormat="1" ht="13.5" thickBot="1">
      <c r="A132" s="229"/>
      <c r="B132" s="229"/>
      <c r="C132" s="230"/>
      <c r="E132" s="232"/>
      <c r="F132" s="267"/>
      <c r="G132" s="229"/>
      <c r="H132" s="239"/>
      <c r="I132" s="239"/>
      <c r="J132" s="239"/>
      <c r="K132" s="239"/>
      <c r="M132" s="257" t="s">
        <v>1522</v>
      </c>
      <c r="N132" s="240">
        <f>graddage!D32</f>
        <v>0.85642904730179881</v>
      </c>
      <c r="O132" s="240">
        <f>graddage!D33</f>
        <v>0.86842105263157898</v>
      </c>
      <c r="P132" s="240">
        <f>graddage!D34</f>
        <v>0.95169886742171883</v>
      </c>
      <c r="Q132" s="240">
        <f>graddage!D35</f>
        <v>1.1625582944703532</v>
      </c>
      <c r="R132" s="250"/>
    </row>
    <row r="133" spans="1:22" s="66" customFormat="1">
      <c r="A133" s="194"/>
      <c r="B133" s="194"/>
      <c r="C133" s="195"/>
      <c r="D133" s="196"/>
      <c r="E133" s="197"/>
      <c r="F133" s="269"/>
      <c r="G133" s="138"/>
      <c r="H133" s="202"/>
      <c r="I133" s="202"/>
      <c r="J133" s="140"/>
      <c r="K133" s="140"/>
      <c r="M133" s="255"/>
      <c r="N133" s="140"/>
      <c r="O133" s="140"/>
      <c r="P133" s="140"/>
      <c r="Q133" s="140"/>
      <c r="R133" s="245"/>
    </row>
    <row r="134" spans="1:22" s="156" customFormat="1">
      <c r="A134" s="151" t="s">
        <v>1350</v>
      </c>
      <c r="B134" s="151" t="s">
        <v>1043</v>
      </c>
      <c r="C134" s="152">
        <v>6</v>
      </c>
      <c r="D134" s="153">
        <v>6440</v>
      </c>
      <c r="E134" s="154" t="s">
        <v>1369</v>
      </c>
      <c r="F134" s="264" t="s">
        <v>1093</v>
      </c>
      <c r="G134" s="155" t="s">
        <v>682</v>
      </c>
      <c r="H134" s="206">
        <v>89</v>
      </c>
      <c r="I134" s="206">
        <v>83</v>
      </c>
      <c r="J134" s="206">
        <v>83</v>
      </c>
      <c r="K134" s="206">
        <v>74</v>
      </c>
      <c r="L134" s="156" t="s">
        <v>415</v>
      </c>
      <c r="M134" s="255" t="s">
        <v>1506</v>
      </c>
      <c r="N134" s="206">
        <v>89</v>
      </c>
      <c r="O134" s="206">
        <v>83</v>
      </c>
      <c r="P134" s="206">
        <v>83</v>
      </c>
      <c r="Q134" s="206">
        <v>74</v>
      </c>
      <c r="R134" s="245"/>
      <c r="S134" s="206">
        <f t="shared" ref="S134:S146" si="25">0.85*N134/$N$149+0.15*N134</f>
        <v>106.95417929839756</v>
      </c>
      <c r="T134" s="206">
        <f t="shared" ref="T134:T146" si="26">0.85*O134/$O$149+0.15*O134</f>
        <v>93.47184391736802</v>
      </c>
      <c r="U134" s="206">
        <f t="shared" ref="U134:U146" si="27">0.85*P134/$P$149+0.15*P134</f>
        <v>88.008722797003202</v>
      </c>
      <c r="V134" s="206">
        <f t="shared" ref="V134:V146" si="28">0.85*Q134/$Q$149+0.15*Q134</f>
        <v>72.767472240365763</v>
      </c>
    </row>
    <row r="135" spans="1:22" s="156" customFormat="1">
      <c r="A135" s="151" t="s">
        <v>512</v>
      </c>
      <c r="B135" s="151" t="s">
        <v>700</v>
      </c>
      <c r="C135" s="152">
        <v>2</v>
      </c>
      <c r="D135" s="153">
        <v>6440</v>
      </c>
      <c r="E135" s="154" t="s">
        <v>513</v>
      </c>
      <c r="F135" s="264" t="s">
        <v>1093</v>
      </c>
      <c r="G135" s="155" t="s">
        <v>673</v>
      </c>
      <c r="H135" s="206">
        <v>42</v>
      </c>
      <c r="I135" s="206">
        <v>48</v>
      </c>
      <c r="J135" s="206">
        <v>48</v>
      </c>
      <c r="K135" s="206">
        <v>57</v>
      </c>
      <c r="L135" s="156" t="s">
        <v>415</v>
      </c>
      <c r="M135" s="255" t="s">
        <v>1506</v>
      </c>
      <c r="N135" s="206">
        <v>42</v>
      </c>
      <c r="O135" s="206">
        <v>48</v>
      </c>
      <c r="P135" s="206">
        <v>48</v>
      </c>
      <c r="Q135" s="206">
        <v>57</v>
      </c>
      <c r="R135" s="245"/>
      <c r="S135" s="206">
        <f t="shared" si="25"/>
        <v>50.472758770030303</v>
      </c>
      <c r="T135" s="206">
        <f t="shared" si="26"/>
        <v>54.056006120887531</v>
      </c>
      <c r="U135" s="206">
        <f t="shared" si="27"/>
        <v>50.896610774170526</v>
      </c>
      <c r="V135" s="206">
        <f t="shared" si="28"/>
        <v>56.050620509470924</v>
      </c>
    </row>
    <row r="136" spans="1:22" s="156" customFormat="1">
      <c r="A136" s="151" t="s">
        <v>1022</v>
      </c>
      <c r="B136" s="151" t="s">
        <v>1297</v>
      </c>
      <c r="C136" s="152">
        <v>5</v>
      </c>
      <c r="D136" s="153">
        <v>6440</v>
      </c>
      <c r="E136" s="154" t="s">
        <v>1023</v>
      </c>
      <c r="F136" s="264" t="s">
        <v>1093</v>
      </c>
      <c r="G136" s="155" t="s">
        <v>677</v>
      </c>
      <c r="H136" s="206">
        <v>42</v>
      </c>
      <c r="I136" s="206">
        <v>33</v>
      </c>
      <c r="J136" s="206">
        <v>3</v>
      </c>
      <c r="K136" s="206">
        <v>51</v>
      </c>
      <c r="L136" s="156" t="s">
        <v>415</v>
      </c>
      <c r="M136" s="255" t="s">
        <v>1506</v>
      </c>
      <c r="N136" s="206">
        <v>42</v>
      </c>
      <c r="O136" s="206">
        <v>33</v>
      </c>
      <c r="P136" s="206">
        <v>3</v>
      </c>
      <c r="Q136" s="206">
        <v>51</v>
      </c>
      <c r="R136" s="245"/>
      <c r="S136" s="206">
        <f t="shared" si="25"/>
        <v>50.472758770030303</v>
      </c>
      <c r="T136" s="206">
        <f t="shared" si="26"/>
        <v>37.163504208110183</v>
      </c>
      <c r="U136" s="206">
        <f t="shared" si="27"/>
        <v>3.1810381733856579</v>
      </c>
      <c r="V136" s="206">
        <f t="shared" si="28"/>
        <v>50.150555192684514</v>
      </c>
    </row>
    <row r="137" spans="1:22" s="156" customFormat="1">
      <c r="A137" s="151" t="s">
        <v>1326</v>
      </c>
      <c r="B137" s="151" t="s">
        <v>1043</v>
      </c>
      <c r="C137" s="152">
        <v>8</v>
      </c>
      <c r="D137" s="153">
        <v>6440</v>
      </c>
      <c r="E137" s="154" t="s">
        <v>628</v>
      </c>
      <c r="F137" s="264" t="s">
        <v>1093</v>
      </c>
      <c r="G137" s="155" t="s">
        <v>680</v>
      </c>
      <c r="H137" s="206">
        <v>584</v>
      </c>
      <c r="I137" s="206">
        <v>547</v>
      </c>
      <c r="J137" s="206">
        <v>704</v>
      </c>
      <c r="K137" s="206">
        <v>784</v>
      </c>
      <c r="L137" s="156" t="s">
        <v>415</v>
      </c>
      <c r="M137" s="255" t="s">
        <v>1506</v>
      </c>
      <c r="N137" s="206">
        <v>584</v>
      </c>
      <c r="O137" s="206">
        <v>547</v>
      </c>
      <c r="P137" s="206">
        <v>704</v>
      </c>
      <c r="Q137" s="206">
        <v>784</v>
      </c>
      <c r="R137" s="245"/>
      <c r="S137" s="206">
        <f t="shared" si="25"/>
        <v>701.81169337375479</v>
      </c>
      <c r="T137" s="206">
        <f t="shared" si="26"/>
        <v>616.01323641928082</v>
      </c>
      <c r="U137" s="206">
        <f t="shared" si="27"/>
        <v>746.48362468783444</v>
      </c>
      <c r="V137" s="206">
        <f t="shared" si="28"/>
        <v>770.94186806009145</v>
      </c>
    </row>
    <row r="138" spans="1:22" s="156" customFormat="1">
      <c r="A138" s="151" t="s">
        <v>1261</v>
      </c>
      <c r="B138" s="151" t="s">
        <v>746</v>
      </c>
      <c r="C138" s="152">
        <v>8</v>
      </c>
      <c r="D138" s="153">
        <v>6440</v>
      </c>
      <c r="E138" s="154" t="s">
        <v>654</v>
      </c>
      <c r="F138" s="264" t="s">
        <v>1093</v>
      </c>
      <c r="G138" s="155" t="s">
        <v>673</v>
      </c>
      <c r="H138" s="206">
        <v>34</v>
      </c>
      <c r="I138" s="206">
        <v>37</v>
      </c>
      <c r="J138" s="206">
        <v>37</v>
      </c>
      <c r="K138" s="206">
        <v>40</v>
      </c>
      <c r="L138" s="156" t="s">
        <v>415</v>
      </c>
      <c r="M138" s="255" t="s">
        <v>1506</v>
      </c>
      <c r="N138" s="206">
        <v>34</v>
      </c>
      <c r="O138" s="206">
        <v>37</v>
      </c>
      <c r="P138" s="206">
        <v>37</v>
      </c>
      <c r="Q138" s="206">
        <v>40</v>
      </c>
      <c r="R138" s="245"/>
      <c r="S138" s="206">
        <f t="shared" si="25"/>
        <v>40.858899956691204</v>
      </c>
      <c r="T138" s="206">
        <f t="shared" si="26"/>
        <v>41.668171384850801</v>
      </c>
      <c r="U138" s="206">
        <f t="shared" si="27"/>
        <v>39.232804138423113</v>
      </c>
      <c r="V138" s="206">
        <f t="shared" si="28"/>
        <v>39.333768778576093</v>
      </c>
    </row>
    <row r="139" spans="1:22" s="156" customFormat="1">
      <c r="A139" s="151" t="s">
        <v>1381</v>
      </c>
      <c r="B139" s="151" t="s">
        <v>1297</v>
      </c>
      <c r="C139" s="152">
        <v>24</v>
      </c>
      <c r="D139" s="153">
        <v>6440</v>
      </c>
      <c r="E139" s="154" t="s">
        <v>1382</v>
      </c>
      <c r="F139" s="264" t="s">
        <v>1093</v>
      </c>
      <c r="G139" s="155" t="s">
        <v>680</v>
      </c>
      <c r="H139" s="206">
        <v>363</v>
      </c>
      <c r="I139" s="206">
        <v>347</v>
      </c>
      <c r="J139" s="207">
        <v>547</v>
      </c>
      <c r="K139" s="207">
        <v>583</v>
      </c>
      <c r="L139" s="156" t="s">
        <v>415</v>
      </c>
      <c r="M139" s="255" t="s">
        <v>1506</v>
      </c>
      <c r="N139" s="206">
        <v>363</v>
      </c>
      <c r="O139" s="206">
        <v>347</v>
      </c>
      <c r="P139" s="207">
        <v>547</v>
      </c>
      <c r="Q139" s="207">
        <v>583</v>
      </c>
      <c r="R139" s="251"/>
      <c r="S139" s="206">
        <f t="shared" si="25"/>
        <v>436.22884365526198</v>
      </c>
      <c r="T139" s="206">
        <f t="shared" si="26"/>
        <v>390.77987758224947</v>
      </c>
      <c r="U139" s="206">
        <f t="shared" si="27"/>
        <v>580.00929361398494</v>
      </c>
      <c r="V139" s="206">
        <f t="shared" si="28"/>
        <v>573.28967994774655</v>
      </c>
    </row>
    <row r="140" spans="1:22" s="156" customFormat="1" ht="12.75" customHeight="1">
      <c r="A140" s="151" t="s">
        <v>1315</v>
      </c>
      <c r="B140" s="151" t="s">
        <v>1297</v>
      </c>
      <c r="C140" s="152">
        <v>1</v>
      </c>
      <c r="D140" s="153">
        <v>6440</v>
      </c>
      <c r="E140" s="154" t="s">
        <v>505</v>
      </c>
      <c r="F140" s="264" t="s">
        <v>1093</v>
      </c>
      <c r="G140" s="155" t="s">
        <v>677</v>
      </c>
      <c r="H140" s="206">
        <v>33</v>
      </c>
      <c r="I140" s="206">
        <v>35</v>
      </c>
      <c r="J140" s="207">
        <v>35</v>
      </c>
      <c r="K140" s="207">
        <v>40</v>
      </c>
      <c r="L140" s="156" t="s">
        <v>415</v>
      </c>
      <c r="M140" s="255" t="s">
        <v>1506</v>
      </c>
      <c r="N140" s="206">
        <v>33</v>
      </c>
      <c r="O140" s="206">
        <v>35</v>
      </c>
      <c r="P140" s="207">
        <v>35</v>
      </c>
      <c r="Q140" s="207">
        <v>40</v>
      </c>
      <c r="R140" s="251"/>
      <c r="S140" s="206">
        <f t="shared" si="25"/>
        <v>39.657167605023822</v>
      </c>
      <c r="T140" s="206">
        <f t="shared" si="26"/>
        <v>39.415837796480488</v>
      </c>
      <c r="U140" s="206">
        <f t="shared" si="27"/>
        <v>37.112112022832676</v>
      </c>
      <c r="V140" s="206">
        <f t="shared" si="28"/>
        <v>39.333768778576093</v>
      </c>
    </row>
    <row r="141" spans="1:22" s="276" customFormat="1">
      <c r="A141" s="151" t="s">
        <v>1358</v>
      </c>
      <c r="B141" s="151" t="s">
        <v>1297</v>
      </c>
      <c r="C141" s="152">
        <v>1</v>
      </c>
      <c r="D141" s="153">
        <v>6440</v>
      </c>
      <c r="E141" s="154" t="s">
        <v>1358</v>
      </c>
      <c r="F141" s="264" t="s">
        <v>1093</v>
      </c>
      <c r="G141" s="155" t="s">
        <v>677</v>
      </c>
      <c r="H141" s="206">
        <v>702</v>
      </c>
      <c r="I141" s="206">
        <v>683</v>
      </c>
      <c r="J141" s="206">
        <v>683</v>
      </c>
      <c r="K141" s="217">
        <v>923</v>
      </c>
      <c r="L141" s="156" t="s">
        <v>415</v>
      </c>
      <c r="M141" s="255" t="s">
        <v>1506</v>
      </c>
      <c r="N141" s="206">
        <v>702</v>
      </c>
      <c r="O141" s="206">
        <v>683</v>
      </c>
      <c r="P141" s="206">
        <v>683</v>
      </c>
      <c r="Q141" s="217">
        <v>923</v>
      </c>
      <c r="R141" s="244"/>
      <c r="S141" s="206">
        <f t="shared" si="25"/>
        <v>843.61611087050653</v>
      </c>
      <c r="T141" s="206">
        <f t="shared" si="26"/>
        <v>769.17192042846216</v>
      </c>
      <c r="U141" s="206">
        <f t="shared" si="27"/>
        <v>724.21635747413484</v>
      </c>
      <c r="V141" s="206">
        <f t="shared" si="28"/>
        <v>907.62671456564317</v>
      </c>
    </row>
    <row r="142" spans="1:22" s="156" customFormat="1">
      <c r="A142" s="151" t="s">
        <v>756</v>
      </c>
      <c r="B142" s="151" t="s">
        <v>758</v>
      </c>
      <c r="C142" s="152">
        <v>2</v>
      </c>
      <c r="D142" s="153">
        <v>6440</v>
      </c>
      <c r="E142" s="154" t="s">
        <v>756</v>
      </c>
      <c r="F142" s="264" t="s">
        <v>1093</v>
      </c>
      <c r="G142" s="155"/>
      <c r="H142" s="206"/>
      <c r="I142" s="206"/>
      <c r="J142" s="207">
        <v>0</v>
      </c>
      <c r="K142" s="207">
        <v>0</v>
      </c>
      <c r="L142" s="156" t="s">
        <v>415</v>
      </c>
      <c r="M142" s="255" t="s">
        <v>1506</v>
      </c>
      <c r="N142" s="206"/>
      <c r="O142" s="206"/>
      <c r="P142" s="207">
        <v>0</v>
      </c>
      <c r="Q142" s="207">
        <v>0</v>
      </c>
      <c r="R142" s="251"/>
      <c r="S142" s="206">
        <f t="shared" si="25"/>
        <v>0</v>
      </c>
      <c r="T142" s="206">
        <f t="shared" si="26"/>
        <v>0</v>
      </c>
      <c r="U142" s="206">
        <f t="shared" si="27"/>
        <v>0</v>
      </c>
      <c r="V142" s="206">
        <f t="shared" si="28"/>
        <v>0</v>
      </c>
    </row>
    <row r="143" spans="1:22" s="156" customFormat="1">
      <c r="A143" s="151" t="s">
        <v>1027</v>
      </c>
      <c r="B143" s="151" t="s">
        <v>1297</v>
      </c>
      <c r="C143" s="152">
        <v>3</v>
      </c>
      <c r="D143" s="153">
        <v>6440</v>
      </c>
      <c r="E143" s="154" t="s">
        <v>1027</v>
      </c>
      <c r="F143" s="264" t="s">
        <v>1093</v>
      </c>
      <c r="G143" s="155" t="s">
        <v>681</v>
      </c>
      <c r="H143" s="206">
        <v>20</v>
      </c>
      <c r="I143" s="206">
        <v>18</v>
      </c>
      <c r="J143" s="207">
        <v>0</v>
      </c>
      <c r="K143" s="207">
        <v>0</v>
      </c>
      <c r="L143" s="156" t="s">
        <v>415</v>
      </c>
      <c r="M143" s="255" t="s">
        <v>1506</v>
      </c>
      <c r="N143" s="206">
        <v>20</v>
      </c>
      <c r="O143" s="206">
        <v>18</v>
      </c>
      <c r="P143" s="207">
        <v>0</v>
      </c>
      <c r="Q143" s="207">
        <v>0</v>
      </c>
      <c r="R143" s="251"/>
      <c r="S143" s="206">
        <f t="shared" si="25"/>
        <v>24.03464703334777</v>
      </c>
      <c r="T143" s="206">
        <f t="shared" si="26"/>
        <v>20.271002295332821</v>
      </c>
      <c r="U143" s="206">
        <f t="shared" si="27"/>
        <v>0</v>
      </c>
      <c r="V143" s="206">
        <f t="shared" si="28"/>
        <v>0</v>
      </c>
    </row>
    <row r="144" spans="1:22" s="156" customFormat="1">
      <c r="A144" s="151" t="s">
        <v>153</v>
      </c>
      <c r="B144" s="151" t="s">
        <v>1297</v>
      </c>
      <c r="C144" s="152">
        <v>3</v>
      </c>
      <c r="D144" s="153">
        <v>6440</v>
      </c>
      <c r="E144" s="154" t="s">
        <v>153</v>
      </c>
      <c r="F144" s="264" t="s">
        <v>1093</v>
      </c>
      <c r="G144" s="155" t="s">
        <v>677</v>
      </c>
      <c r="H144" s="206">
        <v>2</v>
      </c>
      <c r="I144" s="206">
        <v>10</v>
      </c>
      <c r="J144" s="207">
        <v>18</v>
      </c>
      <c r="K144" s="207">
        <v>22</v>
      </c>
      <c r="L144" s="156" t="s">
        <v>415</v>
      </c>
      <c r="M144" s="255" t="s">
        <v>1506</v>
      </c>
      <c r="N144" s="206">
        <v>2</v>
      </c>
      <c r="O144" s="206">
        <v>10</v>
      </c>
      <c r="P144" s="207">
        <v>18</v>
      </c>
      <c r="Q144" s="207">
        <v>22</v>
      </c>
      <c r="R144" s="251"/>
      <c r="S144" s="206">
        <f t="shared" si="25"/>
        <v>2.4034647033347767</v>
      </c>
      <c r="T144" s="206">
        <f t="shared" si="26"/>
        <v>11.261667941851568</v>
      </c>
      <c r="U144" s="206">
        <f t="shared" si="27"/>
        <v>19.086229040313945</v>
      </c>
      <c r="V144" s="206">
        <f t="shared" si="28"/>
        <v>21.633572828216852</v>
      </c>
    </row>
    <row r="145" spans="1:27" s="156" customFormat="1">
      <c r="A145" s="155" t="s">
        <v>1084</v>
      </c>
      <c r="B145" s="155" t="s">
        <v>1293</v>
      </c>
      <c r="C145" s="208">
        <v>20</v>
      </c>
      <c r="D145" s="209">
        <v>6440</v>
      </c>
      <c r="E145" s="210" t="s">
        <v>1412</v>
      </c>
      <c r="F145" s="270" t="s">
        <v>1093</v>
      </c>
      <c r="G145" s="209">
        <v>1200</v>
      </c>
      <c r="H145" s="206"/>
      <c r="I145" s="206"/>
      <c r="J145" s="207">
        <v>157</v>
      </c>
      <c r="K145" s="207">
        <v>184</v>
      </c>
      <c r="L145" s="156" t="s">
        <v>415</v>
      </c>
      <c r="M145" s="255" t="s">
        <v>1506</v>
      </c>
      <c r="N145" s="206"/>
      <c r="O145" s="206"/>
      <c r="P145" s="207">
        <v>157</v>
      </c>
      <c r="Q145" s="207">
        <v>184</v>
      </c>
      <c r="R145" s="251"/>
      <c r="S145" s="206">
        <f t="shared" si="25"/>
        <v>0</v>
      </c>
      <c r="T145" s="206">
        <f t="shared" si="26"/>
        <v>0</v>
      </c>
      <c r="U145" s="206">
        <f t="shared" si="27"/>
        <v>166.47433107384944</v>
      </c>
      <c r="V145" s="206">
        <f t="shared" si="28"/>
        <v>180.93533638145001</v>
      </c>
    </row>
    <row r="146" spans="1:27" s="156" customFormat="1">
      <c r="A146" s="151" t="s">
        <v>622</v>
      </c>
      <c r="B146" s="151" t="s">
        <v>1293</v>
      </c>
      <c r="C146" s="152">
        <v>14</v>
      </c>
      <c r="D146" s="153">
        <v>6440</v>
      </c>
      <c r="E146" s="154" t="s">
        <v>1360</v>
      </c>
      <c r="F146" s="264" t="s">
        <v>1093</v>
      </c>
      <c r="G146" s="155" t="s">
        <v>436</v>
      </c>
      <c r="H146" s="206">
        <v>32</v>
      </c>
      <c r="I146" s="206">
        <v>9</v>
      </c>
      <c r="J146" s="207">
        <v>9</v>
      </c>
      <c r="K146" s="207">
        <v>19</v>
      </c>
      <c r="L146" s="156" t="s">
        <v>415</v>
      </c>
      <c r="M146" s="255" t="s">
        <v>1506</v>
      </c>
      <c r="N146" s="206">
        <v>32</v>
      </c>
      <c r="O146" s="206">
        <v>9</v>
      </c>
      <c r="P146" s="207">
        <v>9</v>
      </c>
      <c r="Q146" s="207">
        <v>19</v>
      </c>
      <c r="R146" s="251"/>
      <c r="S146" s="206">
        <f t="shared" si="25"/>
        <v>38.455435253356427</v>
      </c>
      <c r="T146" s="206">
        <f t="shared" si="26"/>
        <v>10.13550114766641</v>
      </c>
      <c r="U146" s="206">
        <f t="shared" si="27"/>
        <v>9.5431145201569727</v>
      </c>
      <c r="V146" s="206">
        <f t="shared" si="28"/>
        <v>18.683540169823644</v>
      </c>
    </row>
    <row r="147" spans="1:27" s="156" customFormat="1">
      <c r="A147" s="160" t="s">
        <v>1351</v>
      </c>
      <c r="B147" s="160" t="s">
        <v>806</v>
      </c>
      <c r="C147" s="161">
        <v>4</v>
      </c>
      <c r="D147" s="162">
        <v>6440</v>
      </c>
      <c r="E147" s="163" t="s">
        <v>1351</v>
      </c>
      <c r="F147" s="265" t="s">
        <v>1093</v>
      </c>
      <c r="G147" s="155" t="s">
        <v>437</v>
      </c>
      <c r="H147" s="206">
        <v>10</v>
      </c>
      <c r="I147" s="206">
        <v>14</v>
      </c>
      <c r="J147" s="207">
        <v>14</v>
      </c>
      <c r="K147" s="207">
        <v>20</v>
      </c>
      <c r="L147" s="214" t="s">
        <v>415</v>
      </c>
      <c r="M147" s="255" t="s">
        <v>1506</v>
      </c>
      <c r="N147" s="206">
        <v>10</v>
      </c>
      <c r="O147" s="206">
        <v>14</v>
      </c>
      <c r="P147" s="207">
        <v>14</v>
      </c>
      <c r="Q147" s="207">
        <v>20</v>
      </c>
      <c r="R147" s="251"/>
      <c r="S147" s="206">
        <f>0.85*N147/$N$149+0.15*N147</f>
        <v>12.017323516673885</v>
      </c>
      <c r="T147" s="206">
        <f>0.85*O147/$O$149+0.15*O147</f>
        <v>15.766335118592197</v>
      </c>
      <c r="U147" s="206">
        <f>0.85*P147/$P$149+0.15*P147</f>
        <v>14.844844809133072</v>
      </c>
      <c r="V147" s="206">
        <f>0.85*Q147/$Q$149+0.15*Q147</f>
        <v>19.666884389288047</v>
      </c>
    </row>
    <row r="148" spans="1:27" s="170" customFormat="1" ht="13.5" thickBot="1">
      <c r="A148" s="168"/>
      <c r="B148" s="168"/>
      <c r="C148" s="169"/>
      <c r="E148" s="171" t="s">
        <v>1504</v>
      </c>
      <c r="F148" s="266" t="s">
        <v>1212</v>
      </c>
      <c r="G148" s="168"/>
      <c r="H148" s="218">
        <f>SUM(H134:H147)</f>
        <v>1953</v>
      </c>
      <c r="I148" s="218">
        <f>SUM(I134:I147)</f>
        <v>1864</v>
      </c>
      <c r="J148" s="218">
        <f>SUM(J134:J147)</f>
        <v>2338</v>
      </c>
      <c r="K148" s="218">
        <f>SUM(K134:K147)</f>
        <v>2797</v>
      </c>
      <c r="L148" s="170" t="s">
        <v>415</v>
      </c>
      <c r="M148" s="256"/>
      <c r="N148" s="218">
        <f>SUM(N134:N147)</f>
        <v>1953</v>
      </c>
      <c r="O148" s="218">
        <f>SUM(O134:O147)</f>
        <v>1864</v>
      </c>
      <c r="P148" s="218">
        <f>SUM(P134:P147)</f>
        <v>2338</v>
      </c>
      <c r="Q148" s="218">
        <f>SUM(Q134:Q147)</f>
        <v>2797</v>
      </c>
      <c r="R148" s="246"/>
      <c r="S148" s="218">
        <f>SUM(S134:S147)</f>
        <v>2346.98328280641</v>
      </c>
      <c r="T148" s="218">
        <f>SUM(T134:T147)</f>
        <v>2099.1749043611321</v>
      </c>
      <c r="U148" s="218">
        <f>SUM(U134:U147)</f>
        <v>2479.0890831252227</v>
      </c>
      <c r="V148" s="218">
        <f>SUM(V134:V147)</f>
        <v>2750.4137818419331</v>
      </c>
    </row>
    <row r="149" spans="1:27" s="236" customFormat="1">
      <c r="A149" s="158"/>
      <c r="B149" s="158"/>
      <c r="C149" s="235"/>
      <c r="E149" s="237"/>
      <c r="F149" s="262"/>
      <c r="G149" s="158"/>
      <c r="H149" s="238"/>
      <c r="I149" s="238"/>
      <c r="J149" s="238"/>
      <c r="K149" s="238"/>
      <c r="M149" s="260" t="s">
        <v>1522</v>
      </c>
      <c r="N149" s="241">
        <f>graddage!D23</f>
        <v>0.80819040952047605</v>
      </c>
      <c r="O149" s="241">
        <f>graddage!D24</f>
        <v>0.87075283144570281</v>
      </c>
      <c r="P149" s="241">
        <f>graddage!D25</f>
        <v>0.93371085942704868</v>
      </c>
      <c r="Q149" s="241">
        <f>graddage!D26</f>
        <v>1.0199866755496336</v>
      </c>
      <c r="R149" s="252"/>
    </row>
    <row r="150" spans="1:27" s="236" customFormat="1">
      <c r="A150" s="158"/>
      <c r="B150" s="158"/>
      <c r="C150" s="235"/>
      <c r="E150" s="237"/>
      <c r="F150" s="262"/>
      <c r="G150" s="158"/>
      <c r="H150" s="238"/>
      <c r="I150" s="238"/>
      <c r="J150" s="238"/>
      <c r="K150" s="238"/>
      <c r="M150" s="260"/>
      <c r="N150" s="241"/>
      <c r="O150" s="241"/>
      <c r="P150" s="241"/>
      <c r="Q150" s="241"/>
      <c r="R150" s="252"/>
    </row>
    <row r="151" spans="1:27" s="296" customFormat="1">
      <c r="A151" s="294"/>
      <c r="B151" s="294"/>
      <c r="C151" s="295"/>
      <c r="E151" s="297" t="s">
        <v>1523</v>
      </c>
      <c r="F151" s="298"/>
      <c r="G151" s="294"/>
      <c r="H151" s="299"/>
      <c r="I151" s="299"/>
      <c r="J151" s="299"/>
      <c r="K151" s="299"/>
      <c r="N151" s="299">
        <f>N148+N131+N118+N53+N38</f>
        <v>18078.897444444443</v>
      </c>
      <c r="O151" s="299">
        <f>O148+O131+O118+O53+O38</f>
        <v>18370.863111111114</v>
      </c>
      <c r="P151" s="299">
        <f>P148+P131+P118+P53+P38</f>
        <v>19897.767333333333</v>
      </c>
      <c r="Q151" s="299">
        <f>Q148+Q131+Q118+Q53+Q38</f>
        <v>22046.901444444444</v>
      </c>
      <c r="R151" s="300"/>
      <c r="S151" s="299">
        <f>S148+S131+S118+S53+S38</f>
        <v>20482.152101123338</v>
      </c>
      <c r="T151" s="299">
        <f>T148+T131+T118+T53+T38</f>
        <v>20083.294214525831</v>
      </c>
      <c r="U151" s="299">
        <f>U148+U131+U118+U53+U38</f>
        <v>19577.196629169295</v>
      </c>
      <c r="V151" s="299">
        <f>V148+V131+V118+V53+V38</f>
        <v>20899.737913987774</v>
      </c>
    </row>
    <row r="152" spans="1:27" s="236" customFormat="1">
      <c r="A152" s="158"/>
      <c r="B152" s="158"/>
      <c r="C152" s="235"/>
      <c r="E152" s="237"/>
      <c r="F152" s="262"/>
      <c r="G152" s="158"/>
      <c r="H152" s="238"/>
      <c r="I152" s="238"/>
      <c r="J152" s="238"/>
      <c r="K152" s="238"/>
      <c r="M152" s="260"/>
      <c r="N152" s="241"/>
      <c r="O152" s="241"/>
      <c r="P152" s="241"/>
      <c r="Q152" s="241"/>
      <c r="R152" s="252"/>
    </row>
    <row r="153" spans="1:27" s="156" customFormat="1">
      <c r="A153" s="203"/>
      <c r="B153" s="203"/>
      <c r="C153" s="204"/>
      <c r="D153" s="205"/>
      <c r="E153" s="190"/>
      <c r="F153" s="269"/>
      <c r="G153" s="155"/>
      <c r="H153" s="206"/>
      <c r="I153" s="206"/>
      <c r="J153" s="222"/>
      <c r="K153" s="222"/>
      <c r="L153" s="211"/>
      <c r="M153" s="255"/>
      <c r="P153" s="206"/>
      <c r="Q153" s="206"/>
      <c r="R153" s="245"/>
      <c r="S153" s="206" t="s">
        <v>1526</v>
      </c>
      <c r="T153" s="206"/>
    </row>
    <row r="154" spans="1:27" s="4" customFormat="1">
      <c r="A154" s="5" t="s">
        <v>1318</v>
      </c>
      <c r="B154" s="5" t="s">
        <v>455</v>
      </c>
      <c r="C154" s="56">
        <v>4</v>
      </c>
      <c r="D154" s="6">
        <v>6300</v>
      </c>
      <c r="E154" s="7" t="s">
        <v>1170</v>
      </c>
      <c r="F154" s="263" t="s">
        <v>1094</v>
      </c>
      <c r="G154" s="9" t="s">
        <v>672</v>
      </c>
      <c r="H154" s="55">
        <v>6506</v>
      </c>
      <c r="I154" s="55">
        <v>6506</v>
      </c>
      <c r="J154" s="55">
        <v>6204</v>
      </c>
      <c r="K154" s="55">
        <v>6641</v>
      </c>
      <c r="L154" s="66" t="s">
        <v>1226</v>
      </c>
      <c r="M154" s="261" t="s">
        <v>1506</v>
      </c>
      <c r="N154" s="55">
        <f>11*H154/1000</f>
        <v>71.566000000000003</v>
      </c>
      <c r="O154" s="55">
        <f t="shared" ref="O154:Q169" si="29">11*I154/1000</f>
        <v>71.566000000000003</v>
      </c>
      <c r="P154" s="55">
        <f t="shared" si="29"/>
        <v>68.244</v>
      </c>
      <c r="Q154" s="55">
        <f t="shared" si="29"/>
        <v>73.051000000000002</v>
      </c>
      <c r="R154" s="243"/>
      <c r="S154" s="55">
        <f>0.85*N154/$N$243+0.15*N154</f>
        <v>86.003177479428317</v>
      </c>
      <c r="T154" s="55">
        <f>S154</f>
        <v>86.003177479428317</v>
      </c>
      <c r="U154" s="55">
        <f t="shared" ref="U154:U183" si="30">0.85*P154/$P$243+0.15*P154</f>
        <v>72.362256368176944</v>
      </c>
      <c r="V154" s="55">
        <f t="shared" ref="V154:V183" si="31">0.85*Q154/$Q$243+0.15*Q154</f>
        <v>71.83427857609405</v>
      </c>
      <c r="Z154" s="55">
        <f t="shared" ref="Z154:Z184" si="32">0.85*H154/0.87+0.15*H154</f>
        <v>7332.3367816091941</v>
      </c>
      <c r="AA154" s="55">
        <f t="shared" ref="AA154:AA184" si="33">Z154</f>
        <v>7332.3367816091941</v>
      </c>
    </row>
    <row r="155" spans="1:27" s="4" customFormat="1">
      <c r="A155" s="5" t="s">
        <v>600</v>
      </c>
      <c r="B155" s="5" t="s">
        <v>1077</v>
      </c>
      <c r="C155" s="56">
        <v>10</v>
      </c>
      <c r="D155" s="6">
        <v>6300</v>
      </c>
      <c r="E155" s="7" t="s">
        <v>600</v>
      </c>
      <c r="F155" s="263" t="s">
        <v>1094</v>
      </c>
      <c r="G155" s="9" t="s">
        <v>677</v>
      </c>
      <c r="H155" s="55">
        <v>17346</v>
      </c>
      <c r="I155" s="55">
        <v>17346</v>
      </c>
      <c r="J155" s="55">
        <v>17374</v>
      </c>
      <c r="K155" s="55">
        <v>16782</v>
      </c>
      <c r="L155" s="66" t="s">
        <v>1226</v>
      </c>
      <c r="M155" s="261" t="s">
        <v>1506</v>
      </c>
      <c r="N155" s="55">
        <f t="shared" ref="N155:N218" si="34">11*H155/1000</f>
        <v>190.80600000000001</v>
      </c>
      <c r="O155" s="55">
        <f t="shared" si="29"/>
        <v>190.80600000000001</v>
      </c>
      <c r="P155" s="55">
        <f t="shared" si="29"/>
        <v>191.114</v>
      </c>
      <c r="Q155" s="55">
        <f t="shared" si="29"/>
        <v>184.602</v>
      </c>
      <c r="R155" s="243"/>
      <c r="S155" s="55">
        <f t="shared" ref="S155:S184" si="35">0.85*N155/$N$243+0.15*N155</f>
        <v>229.29774309224774</v>
      </c>
      <c r="T155" s="55">
        <f t="shared" ref="T155:T184" si="36">S155</f>
        <v>229.29774309224774</v>
      </c>
      <c r="U155" s="55">
        <f t="shared" si="30"/>
        <v>202.64697648947555</v>
      </c>
      <c r="V155" s="55">
        <f t="shared" si="31"/>
        <v>181.52730960156759</v>
      </c>
      <c r="Z155" s="55">
        <f t="shared" si="32"/>
        <v>19549.141379310346</v>
      </c>
      <c r="AA155" s="55">
        <f t="shared" si="33"/>
        <v>19549.141379310346</v>
      </c>
    </row>
    <row r="156" spans="1:27" s="4" customFormat="1">
      <c r="A156" s="5" t="s">
        <v>1163</v>
      </c>
      <c r="B156" s="5" t="s">
        <v>602</v>
      </c>
      <c r="C156" s="56">
        <v>1</v>
      </c>
      <c r="D156" s="6">
        <v>6300</v>
      </c>
      <c r="E156" s="7" t="s">
        <v>1162</v>
      </c>
      <c r="F156" s="263" t="s">
        <v>1094</v>
      </c>
      <c r="G156" s="9" t="s">
        <v>673</v>
      </c>
      <c r="H156" s="55">
        <v>7750</v>
      </c>
      <c r="I156" s="55">
        <v>7750</v>
      </c>
      <c r="J156" s="55">
        <v>7938</v>
      </c>
      <c r="K156" s="55">
        <v>8192</v>
      </c>
      <c r="L156" s="66" t="s">
        <v>1226</v>
      </c>
      <c r="M156" s="261" t="s">
        <v>1506</v>
      </c>
      <c r="N156" s="55">
        <f t="shared" si="34"/>
        <v>85.25</v>
      </c>
      <c r="O156" s="55">
        <f t="shared" si="29"/>
        <v>85.25</v>
      </c>
      <c r="P156" s="55">
        <f t="shared" si="29"/>
        <v>87.317999999999998</v>
      </c>
      <c r="Q156" s="55">
        <f t="shared" si="29"/>
        <v>90.111999999999995</v>
      </c>
      <c r="R156" s="243"/>
      <c r="S156" s="55">
        <f t="shared" si="35"/>
        <v>102.44768297964485</v>
      </c>
      <c r="T156" s="55">
        <f t="shared" si="36"/>
        <v>102.44768297964485</v>
      </c>
      <c r="U156" s="55">
        <f t="shared" si="30"/>
        <v>92.587297074562969</v>
      </c>
      <c r="V156" s="55">
        <f t="shared" si="31"/>
        <v>88.611114304376216</v>
      </c>
      <c r="Z156" s="55">
        <f t="shared" si="32"/>
        <v>8734.3390804597693</v>
      </c>
      <c r="AA156" s="55">
        <f t="shared" si="33"/>
        <v>8734.3390804597693</v>
      </c>
    </row>
    <row r="157" spans="1:27" s="4" customFormat="1">
      <c r="A157" s="5" t="s">
        <v>1028</v>
      </c>
      <c r="B157" s="5" t="s">
        <v>1341</v>
      </c>
      <c r="C157" s="56">
        <v>10</v>
      </c>
      <c r="D157" s="6">
        <v>6300</v>
      </c>
      <c r="E157" s="7" t="s">
        <v>1028</v>
      </c>
      <c r="F157" s="263" t="s">
        <v>1094</v>
      </c>
      <c r="G157" s="9" t="s">
        <v>677</v>
      </c>
      <c r="H157" s="55">
        <v>19329</v>
      </c>
      <c r="I157" s="55">
        <v>19329</v>
      </c>
      <c r="J157" s="55">
        <v>19532</v>
      </c>
      <c r="K157" s="55">
        <v>19721</v>
      </c>
      <c r="L157" s="66" t="s">
        <v>1226</v>
      </c>
      <c r="M157" s="261" t="s">
        <v>1506</v>
      </c>
      <c r="N157" s="55">
        <f t="shared" si="34"/>
        <v>212.619</v>
      </c>
      <c r="O157" s="55">
        <f t="shared" si="29"/>
        <v>212.619</v>
      </c>
      <c r="P157" s="55">
        <f t="shared" si="29"/>
        <v>214.852</v>
      </c>
      <c r="Q157" s="55">
        <f t="shared" si="29"/>
        <v>216.93100000000001</v>
      </c>
      <c r="R157" s="243"/>
      <c r="S157" s="55">
        <f t="shared" si="35"/>
        <v>255.51113087916846</v>
      </c>
      <c r="T157" s="55">
        <f t="shared" si="36"/>
        <v>255.51113087916846</v>
      </c>
      <c r="U157" s="55">
        <f t="shared" si="30"/>
        <v>227.81747120941847</v>
      </c>
      <c r="V157" s="55">
        <f t="shared" si="31"/>
        <v>213.31784487263226</v>
      </c>
      <c r="Z157" s="55">
        <f t="shared" si="32"/>
        <v>21784.005172413788</v>
      </c>
      <c r="AA157" s="55">
        <f t="shared" si="33"/>
        <v>21784.005172413788</v>
      </c>
    </row>
    <row r="158" spans="1:27" s="4" customFormat="1">
      <c r="A158" s="5" t="s">
        <v>158</v>
      </c>
      <c r="B158" s="5" t="s">
        <v>1059</v>
      </c>
      <c r="C158" s="56">
        <v>13</v>
      </c>
      <c r="D158" s="6">
        <v>6320</v>
      </c>
      <c r="E158" s="7" t="s">
        <v>158</v>
      </c>
      <c r="F158" s="263" t="s">
        <v>1094</v>
      </c>
      <c r="G158" s="9" t="s">
        <v>677</v>
      </c>
      <c r="H158" s="55">
        <v>32354</v>
      </c>
      <c r="I158" s="55">
        <v>32354</v>
      </c>
      <c r="J158" s="55">
        <f>27118+7241</f>
        <v>34359</v>
      </c>
      <c r="K158" s="55">
        <f>34931+8633</f>
        <v>43564</v>
      </c>
      <c r="L158" s="66" t="s">
        <v>1226</v>
      </c>
      <c r="M158" s="261" t="s">
        <v>1506</v>
      </c>
      <c r="N158" s="55">
        <f t="shared" si="34"/>
        <v>355.89400000000001</v>
      </c>
      <c r="O158" s="55">
        <f t="shared" si="29"/>
        <v>355.89400000000001</v>
      </c>
      <c r="P158" s="55">
        <f t="shared" si="29"/>
        <v>377.94900000000001</v>
      </c>
      <c r="Q158" s="55">
        <f t="shared" si="29"/>
        <v>479.20400000000001</v>
      </c>
      <c r="R158" s="243"/>
      <c r="S158" s="55">
        <f t="shared" si="35"/>
        <v>427.68933356431353</v>
      </c>
      <c r="T158" s="55">
        <f t="shared" si="36"/>
        <v>427.68933356431353</v>
      </c>
      <c r="U158" s="55">
        <f t="shared" si="30"/>
        <v>400.75673219764531</v>
      </c>
      <c r="V158" s="55">
        <f t="shared" si="31"/>
        <v>471.22248334421943</v>
      </c>
      <c r="Z158" s="55">
        <f t="shared" si="32"/>
        <v>36463.329885057472</v>
      </c>
      <c r="AA158" s="55">
        <f t="shared" si="33"/>
        <v>36463.329885057472</v>
      </c>
    </row>
    <row r="159" spans="1:27" s="4" customFormat="1">
      <c r="A159" s="133" t="s">
        <v>1314</v>
      </c>
      <c r="B159" s="5" t="s">
        <v>1287</v>
      </c>
      <c r="C159" s="56">
        <v>100</v>
      </c>
      <c r="D159" s="6">
        <v>6320</v>
      </c>
      <c r="E159" s="7" t="s">
        <v>917</v>
      </c>
      <c r="F159" s="263" t="s">
        <v>1094</v>
      </c>
      <c r="G159" s="9" t="s">
        <v>673</v>
      </c>
      <c r="H159" s="55">
        <v>19193</v>
      </c>
      <c r="I159" s="55">
        <v>19193</v>
      </c>
      <c r="J159" s="55">
        <v>19673</v>
      </c>
      <c r="K159" s="55">
        <v>15486</v>
      </c>
      <c r="L159" s="66" t="s">
        <v>1226</v>
      </c>
      <c r="M159" s="261" t="s">
        <v>1506</v>
      </c>
      <c r="N159" s="55">
        <f t="shared" si="34"/>
        <v>211.12299999999999</v>
      </c>
      <c r="O159" s="55">
        <f t="shared" si="29"/>
        <v>211.12299999999999</v>
      </c>
      <c r="P159" s="55">
        <f t="shared" si="29"/>
        <v>216.40299999999999</v>
      </c>
      <c r="Q159" s="55">
        <f t="shared" si="29"/>
        <v>170.346</v>
      </c>
      <c r="R159" s="243"/>
      <c r="S159" s="55">
        <f t="shared" si="35"/>
        <v>253.71333928107404</v>
      </c>
      <c r="T159" s="55">
        <f t="shared" si="36"/>
        <v>253.71333928107404</v>
      </c>
      <c r="U159" s="55">
        <f t="shared" si="30"/>
        <v>229.46206794505883</v>
      </c>
      <c r="V159" s="55">
        <f t="shared" si="31"/>
        <v>167.50875440888305</v>
      </c>
      <c r="Z159" s="55">
        <f t="shared" si="32"/>
        <v>21630.731609195402</v>
      </c>
      <c r="AA159" s="55">
        <f t="shared" si="33"/>
        <v>21630.731609195402</v>
      </c>
    </row>
    <row r="160" spans="1:27" s="4" customFormat="1">
      <c r="A160" s="5" t="s">
        <v>650</v>
      </c>
      <c r="B160" s="5" t="s">
        <v>770</v>
      </c>
      <c r="C160" s="56">
        <v>6</v>
      </c>
      <c r="D160" s="6">
        <v>6400</v>
      </c>
      <c r="E160" s="7" t="s">
        <v>650</v>
      </c>
      <c r="F160" s="263" t="s">
        <v>1094</v>
      </c>
      <c r="G160" s="9" t="s">
        <v>677</v>
      </c>
      <c r="H160" s="55">
        <v>22023</v>
      </c>
      <c r="I160" s="55">
        <v>22023</v>
      </c>
      <c r="J160" s="55">
        <f>5757+20992</f>
        <v>26749</v>
      </c>
      <c r="K160" s="55">
        <f>5940+20540</f>
        <v>26480</v>
      </c>
      <c r="L160" s="66" t="s">
        <v>1226</v>
      </c>
      <c r="M160" s="261" t="s">
        <v>1506</v>
      </c>
      <c r="N160" s="55">
        <f t="shared" si="34"/>
        <v>242.25299999999999</v>
      </c>
      <c r="O160" s="55">
        <f t="shared" si="29"/>
        <v>242.25299999999999</v>
      </c>
      <c r="P160" s="55">
        <f t="shared" si="29"/>
        <v>294.23899999999998</v>
      </c>
      <c r="Q160" s="55">
        <f t="shared" si="29"/>
        <v>291.27999999999997</v>
      </c>
      <c r="R160" s="243"/>
      <c r="S160" s="55">
        <f t="shared" si="35"/>
        <v>291.1232673884798</v>
      </c>
      <c r="T160" s="55">
        <f t="shared" si="36"/>
        <v>291.1232673884798</v>
      </c>
      <c r="U160" s="55">
        <f t="shared" si="30"/>
        <v>311.99516369960753</v>
      </c>
      <c r="V160" s="55">
        <f t="shared" si="31"/>
        <v>286.42850424559106</v>
      </c>
      <c r="Z160" s="55">
        <f t="shared" si="32"/>
        <v>24820.174137931033</v>
      </c>
      <c r="AA160" s="55">
        <f t="shared" si="33"/>
        <v>24820.174137931033</v>
      </c>
    </row>
    <row r="161" spans="1:27" s="4" customFormat="1">
      <c r="A161" s="133" t="s">
        <v>617</v>
      </c>
      <c r="B161" s="5" t="s">
        <v>1288</v>
      </c>
      <c r="C161" s="56">
        <v>8</v>
      </c>
      <c r="D161" s="6">
        <v>6400</v>
      </c>
      <c r="E161" s="7" t="s">
        <v>1159</v>
      </c>
      <c r="F161" s="263" t="s">
        <v>1094</v>
      </c>
      <c r="G161" s="9" t="s">
        <v>683</v>
      </c>
      <c r="H161" s="55">
        <v>3837</v>
      </c>
      <c r="I161" s="55">
        <v>3837</v>
      </c>
      <c r="J161" s="55">
        <v>4079</v>
      </c>
      <c r="K161" s="55">
        <v>4712</v>
      </c>
      <c r="L161" s="66" t="s">
        <v>1226</v>
      </c>
      <c r="M161" s="261" t="s">
        <v>1506</v>
      </c>
      <c r="N161" s="55">
        <f t="shared" si="34"/>
        <v>42.207000000000001</v>
      </c>
      <c r="O161" s="55">
        <f t="shared" si="29"/>
        <v>42.207000000000001</v>
      </c>
      <c r="P161" s="55">
        <f t="shared" si="29"/>
        <v>44.869</v>
      </c>
      <c r="Q161" s="55">
        <f t="shared" si="29"/>
        <v>51.832000000000001</v>
      </c>
      <c r="R161" s="243"/>
      <c r="S161" s="55">
        <f t="shared" si="35"/>
        <v>50.721517366825466</v>
      </c>
      <c r="T161" s="55">
        <f t="shared" si="36"/>
        <v>50.721517366825466</v>
      </c>
      <c r="U161" s="55">
        <f t="shared" si="30"/>
        <v>47.576667267213701</v>
      </c>
      <c r="V161" s="55">
        <f t="shared" si="31"/>
        <v>50.968697583278903</v>
      </c>
      <c r="Z161" s="55">
        <f t="shared" si="32"/>
        <v>4324.3431034482755</v>
      </c>
      <c r="AA161" s="55">
        <f t="shared" si="33"/>
        <v>4324.3431034482755</v>
      </c>
    </row>
    <row r="162" spans="1:27" s="4" customFormat="1">
      <c r="A162" s="5" t="s">
        <v>1459</v>
      </c>
      <c r="B162" s="5" t="s">
        <v>783</v>
      </c>
      <c r="C162" s="56">
        <v>14</v>
      </c>
      <c r="D162" s="6">
        <v>6400</v>
      </c>
      <c r="E162" s="7" t="s">
        <v>1459</v>
      </c>
      <c r="F162" s="263" t="s">
        <v>1094</v>
      </c>
      <c r="G162" s="9" t="s">
        <v>677</v>
      </c>
      <c r="H162" s="55">
        <v>19265</v>
      </c>
      <c r="I162" s="55">
        <v>19265</v>
      </c>
      <c r="J162" s="55">
        <v>16210</v>
      </c>
      <c r="K162" s="55">
        <v>14676</v>
      </c>
      <c r="L162" s="66" t="s">
        <v>1226</v>
      </c>
      <c r="M162" s="261" t="s">
        <v>1506</v>
      </c>
      <c r="N162" s="55">
        <f t="shared" si="34"/>
        <v>211.91499999999999</v>
      </c>
      <c r="O162" s="55">
        <f t="shared" si="29"/>
        <v>211.91499999999999</v>
      </c>
      <c r="P162" s="55">
        <f t="shared" si="29"/>
        <v>178.31</v>
      </c>
      <c r="Q162" s="55">
        <f t="shared" si="29"/>
        <v>161.43600000000001</v>
      </c>
      <c r="R162" s="243"/>
      <c r="S162" s="55">
        <f t="shared" si="35"/>
        <v>254.66511130359461</v>
      </c>
      <c r="T162" s="55">
        <f t="shared" si="36"/>
        <v>254.66511130359461</v>
      </c>
      <c r="U162" s="55">
        <f t="shared" si="30"/>
        <v>189.07030556546556</v>
      </c>
      <c r="V162" s="55">
        <f t="shared" si="31"/>
        <v>158.74715741345523</v>
      </c>
      <c r="Z162" s="55">
        <f t="shared" si="32"/>
        <v>21711.876436781607</v>
      </c>
      <c r="AA162" s="55">
        <f t="shared" si="33"/>
        <v>21711.876436781607</v>
      </c>
    </row>
    <row r="163" spans="1:27" s="4" customFormat="1">
      <c r="A163" s="5" t="s">
        <v>407</v>
      </c>
      <c r="B163" s="5" t="s">
        <v>1288</v>
      </c>
      <c r="C163" s="56">
        <v>28</v>
      </c>
      <c r="D163" s="6">
        <v>6400</v>
      </c>
      <c r="E163" s="7" t="s">
        <v>636</v>
      </c>
      <c r="F163" s="263" t="s">
        <v>1094</v>
      </c>
      <c r="G163" s="9" t="s">
        <v>677</v>
      </c>
      <c r="H163" s="55">
        <v>3376</v>
      </c>
      <c r="I163" s="55">
        <v>3376</v>
      </c>
      <c r="J163" s="55">
        <v>3376</v>
      </c>
      <c r="K163" s="55">
        <v>3376</v>
      </c>
      <c r="L163" s="66" t="s">
        <v>1226</v>
      </c>
      <c r="M163" s="261" t="s">
        <v>1506</v>
      </c>
      <c r="N163" s="55">
        <f t="shared" si="34"/>
        <v>37.136000000000003</v>
      </c>
      <c r="O163" s="55">
        <f t="shared" si="29"/>
        <v>37.136000000000003</v>
      </c>
      <c r="P163" s="55">
        <f t="shared" si="29"/>
        <v>37.136000000000003</v>
      </c>
      <c r="Q163" s="55">
        <f t="shared" si="29"/>
        <v>37.136000000000003</v>
      </c>
      <c r="R163" s="243"/>
      <c r="S163" s="55">
        <f t="shared" si="35"/>
        <v>44.627532611520138</v>
      </c>
      <c r="T163" s="55">
        <f t="shared" si="36"/>
        <v>44.627532611520138</v>
      </c>
      <c r="U163" s="55">
        <f t="shared" si="30"/>
        <v>39.377011202283263</v>
      </c>
      <c r="V163" s="55">
        <f t="shared" si="31"/>
        <v>36.517470934030044</v>
      </c>
      <c r="Z163" s="55">
        <f t="shared" si="32"/>
        <v>3804.790804597701</v>
      </c>
      <c r="AA163" s="55">
        <f t="shared" si="33"/>
        <v>3804.790804597701</v>
      </c>
    </row>
    <row r="164" spans="1:27" s="4" customFormat="1">
      <c r="A164" s="5" t="s">
        <v>656</v>
      </c>
      <c r="B164" s="5" t="s">
        <v>188</v>
      </c>
      <c r="C164" s="56">
        <v>24</v>
      </c>
      <c r="D164" s="6">
        <v>6400</v>
      </c>
      <c r="E164" s="7" t="s">
        <v>1173</v>
      </c>
      <c r="F164" s="263" t="s">
        <v>1094</v>
      </c>
      <c r="G164" s="9" t="s">
        <v>680</v>
      </c>
      <c r="H164" s="55">
        <v>39659</v>
      </c>
      <c r="I164" s="55">
        <v>39659</v>
      </c>
      <c r="J164" s="55">
        <v>50472</v>
      </c>
      <c r="K164" s="55">
        <v>60524</v>
      </c>
      <c r="L164" s="66" t="s">
        <v>1226</v>
      </c>
      <c r="M164" s="261" t="s">
        <v>1506</v>
      </c>
      <c r="N164" s="55">
        <f t="shared" si="34"/>
        <v>436.24900000000002</v>
      </c>
      <c r="O164" s="55">
        <f t="shared" si="29"/>
        <v>436.24900000000002</v>
      </c>
      <c r="P164" s="55">
        <f t="shared" si="29"/>
        <v>555.19200000000001</v>
      </c>
      <c r="Q164" s="55">
        <f t="shared" si="29"/>
        <v>665.76400000000001</v>
      </c>
      <c r="R164" s="243"/>
      <c r="S164" s="55">
        <f t="shared" si="35"/>
        <v>524.25453668254659</v>
      </c>
      <c r="T164" s="55">
        <f t="shared" si="36"/>
        <v>524.25453668254659</v>
      </c>
      <c r="U164" s="55">
        <f t="shared" si="30"/>
        <v>588.69564851944347</v>
      </c>
      <c r="V164" s="55">
        <f t="shared" si="31"/>
        <v>654.67518092749833</v>
      </c>
      <c r="Z164" s="55">
        <f t="shared" si="32"/>
        <v>44696.148850574711</v>
      </c>
      <c r="AA164" s="55">
        <f t="shared" si="33"/>
        <v>44696.148850574711</v>
      </c>
    </row>
    <row r="165" spans="1:27" s="4" customFormat="1">
      <c r="A165" s="5" t="s">
        <v>693</v>
      </c>
      <c r="B165" s="5" t="s">
        <v>1288</v>
      </c>
      <c r="C165" s="56">
        <v>19</v>
      </c>
      <c r="D165" s="6">
        <v>6400</v>
      </c>
      <c r="E165" s="7" t="s">
        <v>693</v>
      </c>
      <c r="F165" s="263" t="s">
        <v>1094</v>
      </c>
      <c r="G165" s="9" t="s">
        <v>673</v>
      </c>
      <c r="H165" s="55">
        <v>3951</v>
      </c>
      <c r="I165" s="55">
        <v>3951</v>
      </c>
      <c r="J165" s="55">
        <v>4346</v>
      </c>
      <c r="K165" s="55">
        <v>4895</v>
      </c>
      <c r="L165" s="66" t="s">
        <v>1226</v>
      </c>
      <c r="M165" s="261" t="s">
        <v>1506</v>
      </c>
      <c r="N165" s="55">
        <f t="shared" si="34"/>
        <v>43.460999999999999</v>
      </c>
      <c r="O165" s="55">
        <f t="shared" si="29"/>
        <v>43.460999999999999</v>
      </c>
      <c r="P165" s="55">
        <f t="shared" si="29"/>
        <v>47.805999999999997</v>
      </c>
      <c r="Q165" s="55">
        <f t="shared" si="29"/>
        <v>53.844999999999999</v>
      </c>
      <c r="R165" s="243"/>
      <c r="S165" s="55">
        <f t="shared" si="35"/>
        <v>52.228489735816368</v>
      </c>
      <c r="T165" s="55">
        <f t="shared" si="36"/>
        <v>52.228489735816368</v>
      </c>
      <c r="U165" s="55">
        <f t="shared" si="30"/>
        <v>50.690903638958247</v>
      </c>
      <c r="V165" s="55">
        <f t="shared" si="31"/>
        <v>52.948169497060732</v>
      </c>
      <c r="Z165" s="55">
        <f t="shared" si="32"/>
        <v>4452.8224137931029</v>
      </c>
      <c r="AA165" s="55">
        <f t="shared" si="33"/>
        <v>4452.8224137931029</v>
      </c>
    </row>
    <row r="166" spans="1:27" s="4" customFormat="1">
      <c r="A166" s="5" t="s">
        <v>1100</v>
      </c>
      <c r="B166" s="5" t="s">
        <v>1287</v>
      </c>
      <c r="C166" s="56">
        <v>11</v>
      </c>
      <c r="D166" s="6">
        <v>6400</v>
      </c>
      <c r="E166" s="7" t="s">
        <v>1100</v>
      </c>
      <c r="F166" s="263" t="s">
        <v>1094</v>
      </c>
      <c r="G166" s="9" t="s">
        <v>435</v>
      </c>
      <c r="H166" s="55">
        <v>3988</v>
      </c>
      <c r="I166" s="55">
        <v>3988</v>
      </c>
      <c r="J166" s="55">
        <v>3835</v>
      </c>
      <c r="K166" s="55">
        <v>4501</v>
      </c>
      <c r="L166" s="66" t="s">
        <v>1226</v>
      </c>
      <c r="M166" s="261" t="s">
        <v>1506</v>
      </c>
      <c r="N166" s="55">
        <f t="shared" si="34"/>
        <v>43.868000000000002</v>
      </c>
      <c r="O166" s="55">
        <f t="shared" si="29"/>
        <v>43.868000000000002</v>
      </c>
      <c r="P166" s="55">
        <f t="shared" si="29"/>
        <v>42.185000000000002</v>
      </c>
      <c r="Q166" s="55">
        <f t="shared" si="29"/>
        <v>49.511000000000003</v>
      </c>
      <c r="R166" s="243"/>
      <c r="S166" s="55">
        <f t="shared" si="35"/>
        <v>52.717594802945001</v>
      </c>
      <c r="T166" s="55">
        <f t="shared" si="36"/>
        <v>52.717594802945001</v>
      </c>
      <c r="U166" s="55">
        <f t="shared" si="30"/>
        <v>44.730698448091331</v>
      </c>
      <c r="V166" s="55">
        <f t="shared" si="31"/>
        <v>48.686355649902026</v>
      </c>
      <c r="Z166" s="55">
        <f t="shared" si="32"/>
        <v>4494.5218390804594</v>
      </c>
      <c r="AA166" s="55">
        <f t="shared" si="33"/>
        <v>4494.5218390804594</v>
      </c>
    </row>
    <row r="167" spans="1:27" s="4" customFormat="1">
      <c r="A167" s="5" t="s">
        <v>426</v>
      </c>
      <c r="B167" s="5" t="s">
        <v>184</v>
      </c>
      <c r="C167" s="56">
        <v>41</v>
      </c>
      <c r="D167" s="6">
        <v>6400</v>
      </c>
      <c r="E167" s="7" t="s">
        <v>426</v>
      </c>
      <c r="F167" s="263" t="s">
        <v>1094</v>
      </c>
      <c r="G167" s="9" t="s">
        <v>673</v>
      </c>
      <c r="H167" s="55">
        <v>4415</v>
      </c>
      <c r="I167" s="55">
        <v>4415</v>
      </c>
      <c r="J167" s="55">
        <v>4174</v>
      </c>
      <c r="K167" s="55">
        <v>5129</v>
      </c>
      <c r="L167" s="66" t="s">
        <v>1226</v>
      </c>
      <c r="M167" s="261" t="s">
        <v>1506</v>
      </c>
      <c r="N167" s="55">
        <f t="shared" si="34"/>
        <v>48.564999999999998</v>
      </c>
      <c r="O167" s="55">
        <f t="shared" si="29"/>
        <v>48.564999999999998</v>
      </c>
      <c r="P167" s="55">
        <f t="shared" si="29"/>
        <v>45.914000000000001</v>
      </c>
      <c r="Q167" s="55">
        <f t="shared" si="29"/>
        <v>56.418999999999997</v>
      </c>
      <c r="R167" s="243"/>
      <c r="S167" s="55">
        <f t="shared" si="35"/>
        <v>58.36213165872671</v>
      </c>
      <c r="T167" s="55">
        <f t="shared" si="36"/>
        <v>58.36213165872671</v>
      </c>
      <c r="U167" s="55">
        <f t="shared" si="30"/>
        <v>48.684728897609702</v>
      </c>
      <c r="V167" s="55">
        <f t="shared" si="31"/>
        <v>55.47929751796211</v>
      </c>
      <c r="Z167" s="55">
        <f t="shared" si="32"/>
        <v>4975.7557471264372</v>
      </c>
      <c r="AA167" s="55">
        <f t="shared" si="33"/>
        <v>4975.7557471264372</v>
      </c>
    </row>
    <row r="168" spans="1:27" s="4" customFormat="1">
      <c r="A168" s="5" t="s">
        <v>1154</v>
      </c>
      <c r="B168" s="5" t="s">
        <v>1275</v>
      </c>
      <c r="C168" s="56">
        <v>13</v>
      </c>
      <c r="D168" s="6">
        <v>6400</v>
      </c>
      <c r="E168" s="7" t="s">
        <v>1154</v>
      </c>
      <c r="F168" s="263" t="s">
        <v>1094</v>
      </c>
      <c r="G168" s="9" t="s">
        <v>677</v>
      </c>
      <c r="H168" s="55">
        <v>17070</v>
      </c>
      <c r="I168" s="55">
        <v>17070</v>
      </c>
      <c r="J168" s="55">
        <v>16718</v>
      </c>
      <c r="K168" s="55">
        <v>20068</v>
      </c>
      <c r="L168" s="66" t="s">
        <v>1226</v>
      </c>
      <c r="M168" s="261" t="s">
        <v>1506</v>
      </c>
      <c r="N168" s="55">
        <f t="shared" si="34"/>
        <v>187.77</v>
      </c>
      <c r="O168" s="55">
        <f t="shared" si="29"/>
        <v>187.77</v>
      </c>
      <c r="P168" s="55">
        <f t="shared" si="29"/>
        <v>183.898</v>
      </c>
      <c r="Q168" s="55">
        <f t="shared" si="29"/>
        <v>220.74799999999999</v>
      </c>
      <c r="R168" s="243"/>
      <c r="S168" s="55">
        <f t="shared" si="35"/>
        <v>225.64928367258554</v>
      </c>
      <c r="T168" s="55">
        <f t="shared" si="36"/>
        <v>225.64928367258554</v>
      </c>
      <c r="U168" s="55">
        <f t="shared" si="30"/>
        <v>194.99551933642525</v>
      </c>
      <c r="V168" s="55">
        <f t="shared" si="31"/>
        <v>217.07126975832787</v>
      </c>
      <c r="Z168" s="55">
        <f t="shared" si="32"/>
        <v>19238.086206896551</v>
      </c>
      <c r="AA168" s="55">
        <f t="shared" si="33"/>
        <v>19238.086206896551</v>
      </c>
    </row>
    <row r="169" spans="1:27" s="4" customFormat="1">
      <c r="A169" s="5" t="s">
        <v>429</v>
      </c>
      <c r="B169" s="5" t="s">
        <v>192</v>
      </c>
      <c r="C169" s="56">
        <v>3</v>
      </c>
      <c r="D169" s="6">
        <v>6400</v>
      </c>
      <c r="E169" s="7" t="s">
        <v>429</v>
      </c>
      <c r="F169" s="263" t="s">
        <v>1094</v>
      </c>
      <c r="G169" s="9" t="s">
        <v>673</v>
      </c>
      <c r="H169" s="55">
        <v>4673</v>
      </c>
      <c r="I169" s="55">
        <v>4673</v>
      </c>
      <c r="J169" s="55">
        <v>4610</v>
      </c>
      <c r="K169" s="55">
        <v>5911</v>
      </c>
      <c r="L169" s="66" t="s">
        <v>1226</v>
      </c>
      <c r="M169" s="261" t="s">
        <v>1506</v>
      </c>
      <c r="N169" s="55">
        <f t="shared" si="34"/>
        <v>51.402999999999999</v>
      </c>
      <c r="O169" s="55">
        <f t="shared" si="29"/>
        <v>51.402999999999999</v>
      </c>
      <c r="P169" s="55">
        <f t="shared" si="29"/>
        <v>50.71</v>
      </c>
      <c r="Q169" s="55">
        <f t="shared" si="29"/>
        <v>65.021000000000001</v>
      </c>
      <c r="R169" s="243"/>
      <c r="S169" s="55">
        <f t="shared" si="35"/>
        <v>61.772648072758763</v>
      </c>
      <c r="T169" s="55">
        <f t="shared" si="36"/>
        <v>61.772648072758763</v>
      </c>
      <c r="U169" s="55">
        <f t="shared" si="30"/>
        <v>53.770148590795564</v>
      </c>
      <c r="V169" s="55">
        <f t="shared" si="31"/>
        <v>63.938024493794899</v>
      </c>
      <c r="Z169" s="55">
        <f t="shared" si="32"/>
        <v>5266.524712643678</v>
      </c>
      <c r="AA169" s="55">
        <f t="shared" si="33"/>
        <v>5266.524712643678</v>
      </c>
    </row>
    <row r="170" spans="1:27" s="4" customFormat="1">
      <c r="A170" s="5" t="s">
        <v>1003</v>
      </c>
      <c r="B170" s="5" t="s">
        <v>1273</v>
      </c>
      <c r="C170" s="56">
        <v>4</v>
      </c>
      <c r="D170" s="6">
        <v>6400</v>
      </c>
      <c r="E170" s="7" t="s">
        <v>1003</v>
      </c>
      <c r="F170" s="263" t="s">
        <v>1094</v>
      </c>
      <c r="G170" s="9" t="s">
        <v>677</v>
      </c>
      <c r="H170" s="55">
        <v>9588</v>
      </c>
      <c r="I170" s="55">
        <v>9588</v>
      </c>
      <c r="J170" s="55">
        <v>14778</v>
      </c>
      <c r="K170" s="55">
        <f>17330+1340</f>
        <v>18670</v>
      </c>
      <c r="L170" s="66" t="s">
        <v>1226</v>
      </c>
      <c r="M170" s="261" t="s">
        <v>1506</v>
      </c>
      <c r="N170" s="55">
        <f t="shared" si="34"/>
        <v>105.468</v>
      </c>
      <c r="O170" s="55">
        <f t="shared" ref="O170:O233" si="37">11*I170/1000</f>
        <v>105.468</v>
      </c>
      <c r="P170" s="55">
        <f t="shared" ref="P170:P233" si="38">11*J170/1000</f>
        <v>162.55799999999999</v>
      </c>
      <c r="Q170" s="55">
        <f t="shared" ref="Q170:Q233" si="39">11*K170/1000</f>
        <v>205.37</v>
      </c>
      <c r="R170" s="243"/>
      <c r="S170" s="55">
        <f t="shared" si="35"/>
        <v>126.74430766565612</v>
      </c>
      <c r="T170" s="55">
        <f t="shared" si="36"/>
        <v>126.74430766565612</v>
      </c>
      <c r="U170" s="55">
        <f t="shared" si="30"/>
        <v>172.36773446307527</v>
      </c>
      <c r="V170" s="55">
        <f t="shared" si="31"/>
        <v>201.9494023514043</v>
      </c>
      <c r="Z170" s="55">
        <f t="shared" si="32"/>
        <v>10805.786206896553</v>
      </c>
      <c r="AA170" s="55">
        <f t="shared" si="33"/>
        <v>10805.786206896553</v>
      </c>
    </row>
    <row r="171" spans="1:27" s="4" customFormat="1">
      <c r="A171" s="5" t="s">
        <v>425</v>
      </c>
      <c r="B171" s="5" t="s">
        <v>709</v>
      </c>
      <c r="C171" s="56">
        <v>8</v>
      </c>
      <c r="D171" s="6">
        <v>6400</v>
      </c>
      <c r="E171" s="7" t="s">
        <v>425</v>
      </c>
      <c r="F171" s="263" t="s">
        <v>1094</v>
      </c>
      <c r="G171" s="9" t="s">
        <v>673</v>
      </c>
      <c r="H171" s="55">
        <v>3567</v>
      </c>
      <c r="I171" s="55">
        <v>3567</v>
      </c>
      <c r="J171" s="55">
        <v>4209</v>
      </c>
      <c r="K171" s="55">
        <v>5349</v>
      </c>
      <c r="L171" s="66" t="s">
        <v>1226</v>
      </c>
      <c r="M171" s="261" t="s">
        <v>1506</v>
      </c>
      <c r="N171" s="55">
        <f t="shared" si="34"/>
        <v>39.237000000000002</v>
      </c>
      <c r="O171" s="55">
        <f t="shared" si="37"/>
        <v>39.237000000000002</v>
      </c>
      <c r="P171" s="55">
        <f t="shared" si="38"/>
        <v>46.298999999999999</v>
      </c>
      <c r="Q171" s="55">
        <f t="shared" si="39"/>
        <v>58.838999999999999</v>
      </c>
      <c r="R171" s="243"/>
      <c r="S171" s="55">
        <f t="shared" si="35"/>
        <v>47.152372282373321</v>
      </c>
      <c r="T171" s="55">
        <f t="shared" si="36"/>
        <v>47.152372282373321</v>
      </c>
      <c r="U171" s="55">
        <f t="shared" si="30"/>
        <v>49.092962129860858</v>
      </c>
      <c r="V171" s="55">
        <f t="shared" si="31"/>
        <v>57.858990529065963</v>
      </c>
      <c r="Z171" s="55">
        <f t="shared" si="32"/>
        <v>4020.05</v>
      </c>
      <c r="AA171" s="55">
        <f t="shared" si="33"/>
        <v>4020.05</v>
      </c>
    </row>
    <row r="172" spans="1:27" s="4" customFormat="1">
      <c r="A172" s="5" t="s">
        <v>1457</v>
      </c>
      <c r="B172" s="5" t="s">
        <v>1290</v>
      </c>
      <c r="C172" s="56">
        <v>9</v>
      </c>
      <c r="D172" s="6">
        <v>6430</v>
      </c>
      <c r="E172" s="7" t="s">
        <v>1457</v>
      </c>
      <c r="F172" s="263" t="s">
        <v>1094</v>
      </c>
      <c r="G172" s="9" t="s">
        <v>677</v>
      </c>
      <c r="H172" s="55">
        <v>26654</v>
      </c>
      <c r="I172" s="55">
        <v>26654</v>
      </c>
      <c r="J172" s="55">
        <f>4849+21365</f>
        <v>26214</v>
      </c>
      <c r="K172" s="55">
        <f>4497+25527</f>
        <v>30024</v>
      </c>
      <c r="L172" s="66" t="s">
        <v>1226</v>
      </c>
      <c r="M172" s="261" t="s">
        <v>1506</v>
      </c>
      <c r="N172" s="55">
        <f t="shared" si="34"/>
        <v>293.19400000000002</v>
      </c>
      <c r="O172" s="55">
        <f t="shared" si="37"/>
        <v>293.19400000000002</v>
      </c>
      <c r="P172" s="55">
        <f t="shared" si="38"/>
        <v>288.35399999999998</v>
      </c>
      <c r="Q172" s="55">
        <f t="shared" si="39"/>
        <v>330.26400000000001</v>
      </c>
      <c r="R172" s="243"/>
      <c r="S172" s="55">
        <f t="shared" si="35"/>
        <v>352.34071511476833</v>
      </c>
      <c r="T172" s="55">
        <f t="shared" si="36"/>
        <v>352.34071511476833</v>
      </c>
      <c r="U172" s="55">
        <f t="shared" si="30"/>
        <v>305.75502714948266</v>
      </c>
      <c r="V172" s="55">
        <f t="shared" si="31"/>
        <v>324.76319529719137</v>
      </c>
      <c r="Z172" s="55">
        <f t="shared" si="32"/>
        <v>30039.364367816088</v>
      </c>
      <c r="AA172" s="55">
        <f t="shared" si="33"/>
        <v>30039.364367816088</v>
      </c>
    </row>
    <row r="173" spans="1:27" s="4" customFormat="1" ht="14.25" customHeight="1">
      <c r="A173" s="5" t="s">
        <v>1319</v>
      </c>
      <c r="B173" s="5" t="s">
        <v>468</v>
      </c>
      <c r="C173" s="56">
        <v>2</v>
      </c>
      <c r="D173" s="6">
        <v>6430</v>
      </c>
      <c r="E173" s="7" t="s">
        <v>654</v>
      </c>
      <c r="F173" s="263" t="s">
        <v>1094</v>
      </c>
      <c r="G173" s="9" t="s">
        <v>673</v>
      </c>
      <c r="H173" s="55">
        <v>3992</v>
      </c>
      <c r="I173" s="55">
        <v>3992</v>
      </c>
      <c r="J173" s="55">
        <f>1488+4086</f>
        <v>5574</v>
      </c>
      <c r="K173" s="55">
        <f>1538+4006</f>
        <v>5544</v>
      </c>
      <c r="L173" s="66" t="s">
        <v>1226</v>
      </c>
      <c r="M173" s="261" t="s">
        <v>1506</v>
      </c>
      <c r="N173" s="55">
        <f t="shared" si="34"/>
        <v>43.911999999999999</v>
      </c>
      <c r="O173" s="55">
        <f t="shared" si="37"/>
        <v>43.911999999999999</v>
      </c>
      <c r="P173" s="55">
        <f t="shared" si="38"/>
        <v>61.314</v>
      </c>
      <c r="Q173" s="55">
        <f t="shared" si="39"/>
        <v>60.984000000000002</v>
      </c>
      <c r="R173" s="243"/>
      <c r="S173" s="55">
        <f t="shared" si="35"/>
        <v>52.770471026418349</v>
      </c>
      <c r="T173" s="55">
        <f t="shared" si="36"/>
        <v>52.770471026418349</v>
      </c>
      <c r="U173" s="55">
        <f t="shared" si="30"/>
        <v>65.014058187656076</v>
      </c>
      <c r="V173" s="55">
        <f t="shared" si="31"/>
        <v>59.968263879817115</v>
      </c>
      <c r="Z173" s="55">
        <f t="shared" si="32"/>
        <v>4499.0298850574709</v>
      </c>
      <c r="AA173" s="55">
        <f t="shared" si="33"/>
        <v>4499.0298850574709</v>
      </c>
    </row>
    <row r="174" spans="1:27" s="4" customFormat="1" ht="25.5">
      <c r="A174" s="133" t="s">
        <v>624</v>
      </c>
      <c r="B174" s="5" t="s">
        <v>1073</v>
      </c>
      <c r="C174" s="56">
        <v>0</v>
      </c>
      <c r="D174" s="6">
        <v>6440</v>
      </c>
      <c r="E174" s="137" t="s">
        <v>598</v>
      </c>
      <c r="F174" s="264" t="s">
        <v>1094</v>
      </c>
      <c r="G174" s="138" t="s">
        <v>677</v>
      </c>
      <c r="H174" s="55">
        <v>3632</v>
      </c>
      <c r="I174" s="55">
        <v>3632</v>
      </c>
      <c r="J174" s="55">
        <v>3743</v>
      </c>
      <c r="K174" s="55">
        <v>4635</v>
      </c>
      <c r="L174" s="66" t="s">
        <v>1226</v>
      </c>
      <c r="M174" s="261" t="s">
        <v>1506</v>
      </c>
      <c r="N174" s="55">
        <f t="shared" si="34"/>
        <v>39.951999999999998</v>
      </c>
      <c r="O174" s="55">
        <f t="shared" si="37"/>
        <v>39.951999999999998</v>
      </c>
      <c r="P174" s="55">
        <f t="shared" si="38"/>
        <v>41.173000000000002</v>
      </c>
      <c r="Q174" s="55">
        <f t="shared" si="39"/>
        <v>50.984999999999999</v>
      </c>
      <c r="R174" s="243"/>
      <c r="S174" s="55">
        <f t="shared" si="35"/>
        <v>48.011610913815502</v>
      </c>
      <c r="T174" s="55">
        <f t="shared" si="36"/>
        <v>48.011610913815502</v>
      </c>
      <c r="U174" s="55">
        <f t="shared" si="30"/>
        <v>43.657628237602566</v>
      </c>
      <c r="V174" s="55">
        <f t="shared" si="31"/>
        <v>50.13580502939255</v>
      </c>
      <c r="Z174" s="55">
        <f t="shared" si="32"/>
        <v>4093.3057471264365</v>
      </c>
      <c r="AA174" s="55">
        <f t="shared" si="33"/>
        <v>4093.3057471264365</v>
      </c>
    </row>
    <row r="175" spans="1:27" s="4" customFormat="1">
      <c r="A175" s="5" t="s">
        <v>655</v>
      </c>
      <c r="B175" s="5" t="s">
        <v>1427</v>
      </c>
      <c r="C175" s="56">
        <v>66</v>
      </c>
      <c r="D175" s="6">
        <v>6440</v>
      </c>
      <c r="E175" s="7" t="s">
        <v>655</v>
      </c>
      <c r="F175" s="263" t="s">
        <v>1094</v>
      </c>
      <c r="G175" s="9" t="s">
        <v>673</v>
      </c>
      <c r="H175" s="55">
        <v>3994</v>
      </c>
      <c r="I175" s="55">
        <v>3994</v>
      </c>
      <c r="J175" s="55">
        <v>4159</v>
      </c>
      <c r="K175" s="55">
        <v>5083</v>
      </c>
      <c r="L175" s="66" t="s">
        <v>1226</v>
      </c>
      <c r="M175" s="261" t="s">
        <v>1506</v>
      </c>
      <c r="N175" s="55">
        <f t="shared" si="34"/>
        <v>43.933999999999997</v>
      </c>
      <c r="O175" s="55">
        <f t="shared" si="37"/>
        <v>43.933999999999997</v>
      </c>
      <c r="P175" s="55">
        <f t="shared" si="38"/>
        <v>45.749000000000002</v>
      </c>
      <c r="Q175" s="55">
        <f t="shared" si="39"/>
        <v>55.912999999999997</v>
      </c>
      <c r="R175" s="243"/>
      <c r="S175" s="55">
        <f t="shared" si="35"/>
        <v>52.796909138155044</v>
      </c>
      <c r="T175" s="55">
        <f t="shared" si="36"/>
        <v>52.796909138155044</v>
      </c>
      <c r="U175" s="55">
        <f t="shared" si="30"/>
        <v>48.509771798073494</v>
      </c>
      <c r="V175" s="55">
        <f t="shared" si="31"/>
        <v>54.981725342913123</v>
      </c>
      <c r="Z175" s="55">
        <f t="shared" si="32"/>
        <v>4501.2839080459771</v>
      </c>
      <c r="AA175" s="55">
        <f t="shared" si="33"/>
        <v>4501.2839080459771</v>
      </c>
    </row>
    <row r="176" spans="1:27" s="4" customFormat="1">
      <c r="A176" s="5" t="s">
        <v>1030</v>
      </c>
      <c r="B176" s="5" t="s">
        <v>634</v>
      </c>
      <c r="C176" s="56">
        <v>4</v>
      </c>
      <c r="D176" s="6">
        <v>6440</v>
      </c>
      <c r="E176" s="7" t="s">
        <v>1030</v>
      </c>
      <c r="F176" s="263" t="s">
        <v>1094</v>
      </c>
      <c r="G176" s="9" t="s">
        <v>673</v>
      </c>
      <c r="H176" s="55">
        <v>2278</v>
      </c>
      <c r="I176" s="55">
        <v>2278</v>
      </c>
      <c r="J176" s="55">
        <f>5703+1268</f>
        <v>6971</v>
      </c>
      <c r="K176" s="55">
        <f>7871+420</f>
        <v>8291</v>
      </c>
      <c r="L176" s="66" t="s">
        <v>1226</v>
      </c>
      <c r="M176" s="261" t="s">
        <v>1506</v>
      </c>
      <c r="N176" s="55">
        <f t="shared" si="34"/>
        <v>25.058</v>
      </c>
      <c r="O176" s="55">
        <f t="shared" si="37"/>
        <v>25.058</v>
      </c>
      <c r="P176" s="55">
        <f t="shared" si="38"/>
        <v>76.680999999999997</v>
      </c>
      <c r="Q176" s="55">
        <f t="shared" si="39"/>
        <v>91.200999999999993</v>
      </c>
      <c r="R176" s="243"/>
      <c r="S176" s="55">
        <f t="shared" si="35"/>
        <v>30.11300926808142</v>
      </c>
      <c r="T176" s="55">
        <f t="shared" si="36"/>
        <v>30.11300926808142</v>
      </c>
      <c r="U176" s="55">
        <f t="shared" si="30"/>
        <v>81.308396057795207</v>
      </c>
      <c r="V176" s="55">
        <f t="shared" si="31"/>
        <v>89.681976159372951</v>
      </c>
      <c r="Z176" s="55">
        <f t="shared" si="32"/>
        <v>2567.3321839080459</v>
      </c>
      <c r="AA176" s="55">
        <f t="shared" si="33"/>
        <v>2567.3321839080459</v>
      </c>
    </row>
    <row r="177" spans="1:27" s="4" customFormat="1">
      <c r="A177" s="136" t="s">
        <v>609</v>
      </c>
      <c r="B177" s="5" t="s">
        <v>1270</v>
      </c>
      <c r="C177" s="56">
        <v>16</v>
      </c>
      <c r="D177" s="6">
        <v>6470</v>
      </c>
      <c r="E177" s="7" t="s">
        <v>152</v>
      </c>
      <c r="F177" s="263" t="s">
        <v>1094</v>
      </c>
      <c r="G177" s="9" t="s">
        <v>680</v>
      </c>
      <c r="H177" s="55">
        <v>12238</v>
      </c>
      <c r="I177" s="55">
        <v>12238</v>
      </c>
      <c r="J177" s="55">
        <v>7285</v>
      </c>
      <c r="K177" s="55">
        <v>10268</v>
      </c>
      <c r="L177" s="66" t="s">
        <v>1226</v>
      </c>
      <c r="M177" s="261" t="s">
        <v>1506</v>
      </c>
      <c r="N177" s="55">
        <f t="shared" si="34"/>
        <v>134.61799999999999</v>
      </c>
      <c r="O177" s="55">
        <f t="shared" si="37"/>
        <v>134.61799999999999</v>
      </c>
      <c r="P177" s="55">
        <f t="shared" si="38"/>
        <v>80.135000000000005</v>
      </c>
      <c r="Q177" s="55">
        <f t="shared" si="39"/>
        <v>112.94799999999999</v>
      </c>
      <c r="R177" s="243"/>
      <c r="S177" s="55">
        <f t="shared" si="35"/>
        <v>161.77480571676048</v>
      </c>
      <c r="T177" s="55">
        <f t="shared" si="36"/>
        <v>161.77480571676048</v>
      </c>
      <c r="U177" s="55">
        <f t="shared" si="30"/>
        <v>84.97083134141991</v>
      </c>
      <c r="V177" s="55">
        <f t="shared" si="31"/>
        <v>111.0667629000653</v>
      </c>
      <c r="Z177" s="55">
        <f t="shared" si="32"/>
        <v>13792.366666666667</v>
      </c>
      <c r="AA177" s="55">
        <f t="shared" si="33"/>
        <v>13792.366666666667</v>
      </c>
    </row>
    <row r="178" spans="1:27" s="4" customFormat="1">
      <c r="A178" s="5" t="s">
        <v>1421</v>
      </c>
      <c r="B178" s="5" t="s">
        <v>740</v>
      </c>
      <c r="C178" s="56">
        <v>1</v>
      </c>
      <c r="D178" s="6">
        <v>6470</v>
      </c>
      <c r="E178" s="7" t="s">
        <v>1421</v>
      </c>
      <c r="F178" s="263" t="s">
        <v>1094</v>
      </c>
      <c r="G178" s="9" t="s">
        <v>673</v>
      </c>
      <c r="H178" s="55">
        <v>3005</v>
      </c>
      <c r="I178" s="55">
        <v>3005</v>
      </c>
      <c r="J178" s="55">
        <f>4407+1647</f>
        <v>6054</v>
      </c>
      <c r="K178" s="55">
        <f>6227+445</f>
        <v>6672</v>
      </c>
      <c r="L178" s="66" t="s">
        <v>1226</v>
      </c>
      <c r="M178" s="261" t="s">
        <v>1506</v>
      </c>
      <c r="N178" s="55">
        <f t="shared" si="34"/>
        <v>33.055</v>
      </c>
      <c r="O178" s="55">
        <f t="shared" si="37"/>
        <v>33.055</v>
      </c>
      <c r="P178" s="55">
        <f t="shared" si="38"/>
        <v>66.593999999999994</v>
      </c>
      <c r="Q178" s="55">
        <f t="shared" si="39"/>
        <v>73.391999999999996</v>
      </c>
      <c r="R178" s="243"/>
      <c r="S178" s="55">
        <f t="shared" si="35"/>
        <v>39.723262884365525</v>
      </c>
      <c r="T178" s="55">
        <f t="shared" si="36"/>
        <v>39.723262884365525</v>
      </c>
      <c r="U178" s="55">
        <f t="shared" si="30"/>
        <v>70.612685372814823</v>
      </c>
      <c r="V178" s="55">
        <f t="shared" si="31"/>
        <v>72.169598954931402</v>
      </c>
      <c r="Z178" s="55">
        <f t="shared" si="32"/>
        <v>3386.6695402298851</v>
      </c>
      <c r="AA178" s="55">
        <f t="shared" si="33"/>
        <v>3386.6695402298851</v>
      </c>
    </row>
    <row r="179" spans="1:27" s="66" customFormat="1">
      <c r="A179" s="133" t="s">
        <v>1316</v>
      </c>
      <c r="B179" s="133" t="s">
        <v>1049</v>
      </c>
      <c r="C179" s="135">
        <v>42</v>
      </c>
      <c r="D179" s="136">
        <v>6470</v>
      </c>
      <c r="E179" s="137" t="s">
        <v>152</v>
      </c>
      <c r="F179" s="264" t="s">
        <v>1094</v>
      </c>
      <c r="G179" s="138" t="s">
        <v>677</v>
      </c>
      <c r="H179" s="140">
        <f>40838+72490</f>
        <v>113328</v>
      </c>
      <c r="I179" s="140">
        <f>38814+74567</f>
        <v>113381</v>
      </c>
      <c r="J179" s="140">
        <f>35688+57856</f>
        <v>93544</v>
      </c>
      <c r="K179" s="140">
        <f>47656+67861</f>
        <v>115517</v>
      </c>
      <c r="L179" s="66" t="s">
        <v>1226</v>
      </c>
      <c r="M179" s="261" t="s">
        <v>1506</v>
      </c>
      <c r="N179" s="140">
        <f t="shared" si="34"/>
        <v>1246.6079999999999</v>
      </c>
      <c r="O179" s="140">
        <f t="shared" si="37"/>
        <v>1247.191</v>
      </c>
      <c r="P179" s="140">
        <f t="shared" si="38"/>
        <v>1028.9839999999999</v>
      </c>
      <c r="Q179" s="140">
        <f t="shared" si="39"/>
        <v>1270.6869999999999</v>
      </c>
      <c r="R179" s="245"/>
      <c r="S179" s="140">
        <f t="shared" si="35"/>
        <v>1498.0891634473796</v>
      </c>
      <c r="T179" s="140">
        <f>0.85*O179/$O$244+0.15*O179</f>
        <v>1407.8140833333334</v>
      </c>
      <c r="U179" s="140">
        <f t="shared" si="30"/>
        <v>1091.0791279343559</v>
      </c>
      <c r="V179" s="140">
        <f t="shared" si="31"/>
        <v>1249.5227161985629</v>
      </c>
      <c r="Z179" s="140">
        <f t="shared" si="32"/>
        <v>127721.95862068965</v>
      </c>
      <c r="AA179" s="140">
        <f t="shared" si="33"/>
        <v>127721.95862068965</v>
      </c>
    </row>
    <row r="180" spans="1:27" s="4" customFormat="1" ht="11.25" customHeight="1">
      <c r="A180" s="5" t="s">
        <v>1166</v>
      </c>
      <c r="B180" s="5" t="s">
        <v>459</v>
      </c>
      <c r="C180" s="56">
        <v>31</v>
      </c>
      <c r="D180" s="6">
        <v>6470</v>
      </c>
      <c r="E180" s="7" t="s">
        <v>1166</v>
      </c>
      <c r="F180" s="263" t="s">
        <v>1094</v>
      </c>
      <c r="G180" s="9" t="s">
        <v>673</v>
      </c>
      <c r="H180" s="55">
        <v>3616</v>
      </c>
      <c r="I180" s="55">
        <v>3616</v>
      </c>
      <c r="J180" s="55">
        <v>2732</v>
      </c>
      <c r="K180" s="55">
        <v>3134</v>
      </c>
      <c r="L180" s="66" t="s">
        <v>1226</v>
      </c>
      <c r="M180" s="261" t="s">
        <v>1506</v>
      </c>
      <c r="N180" s="55">
        <f t="shared" si="34"/>
        <v>39.776000000000003</v>
      </c>
      <c r="O180" s="55">
        <f t="shared" si="37"/>
        <v>39.776000000000003</v>
      </c>
      <c r="P180" s="55">
        <f t="shared" si="38"/>
        <v>30.052</v>
      </c>
      <c r="Q180" s="55">
        <f t="shared" si="39"/>
        <v>34.473999999999997</v>
      </c>
      <c r="R180" s="243"/>
      <c r="S180" s="55">
        <f t="shared" si="35"/>
        <v>47.800106019922048</v>
      </c>
      <c r="T180" s="55">
        <f t="shared" si="36"/>
        <v>47.800106019922048</v>
      </c>
      <c r="U180" s="55">
        <f t="shared" si="30"/>
        <v>31.865519728861933</v>
      </c>
      <c r="V180" s="55">
        <f t="shared" si="31"/>
        <v>33.899808621815801</v>
      </c>
      <c r="Z180" s="55">
        <f t="shared" si="32"/>
        <v>4075.2735632183908</v>
      </c>
      <c r="AA180" s="55">
        <f t="shared" si="33"/>
        <v>4075.2735632183908</v>
      </c>
    </row>
    <row r="181" spans="1:27" s="4" customFormat="1" ht="25.5">
      <c r="A181" s="133" t="s">
        <v>503</v>
      </c>
      <c r="B181" s="5" t="s">
        <v>1074</v>
      </c>
      <c r="C181" s="56">
        <v>2</v>
      </c>
      <c r="D181" s="6">
        <v>6470</v>
      </c>
      <c r="E181" s="7" t="s">
        <v>599</v>
      </c>
      <c r="F181" s="263" t="s">
        <v>1094</v>
      </c>
      <c r="G181" s="9" t="s">
        <v>677</v>
      </c>
      <c r="H181" s="55">
        <v>25154</v>
      </c>
      <c r="I181" s="55">
        <v>25154</v>
      </c>
      <c r="J181" s="55">
        <v>34275</v>
      </c>
      <c r="K181" s="55">
        <v>40013</v>
      </c>
      <c r="L181" s="66" t="s">
        <v>1226</v>
      </c>
      <c r="M181" s="261" t="s">
        <v>1506</v>
      </c>
      <c r="N181" s="55">
        <f t="shared" si="34"/>
        <v>276.69400000000002</v>
      </c>
      <c r="O181" s="55">
        <f t="shared" si="37"/>
        <v>276.69400000000002</v>
      </c>
      <c r="P181" s="55">
        <f t="shared" si="38"/>
        <v>377.02499999999998</v>
      </c>
      <c r="Q181" s="55">
        <f t="shared" si="39"/>
        <v>440.14299999999997</v>
      </c>
      <c r="R181" s="243"/>
      <c r="S181" s="55">
        <f t="shared" si="35"/>
        <v>332.51213131225637</v>
      </c>
      <c r="T181" s="55">
        <f t="shared" si="36"/>
        <v>332.51213131225637</v>
      </c>
      <c r="U181" s="55">
        <f t="shared" si="30"/>
        <v>399.77697244024256</v>
      </c>
      <c r="V181" s="55">
        <f t="shared" si="31"/>
        <v>432.81207478772035</v>
      </c>
      <c r="Z181" s="55">
        <f t="shared" si="32"/>
        <v>28348.847126436776</v>
      </c>
      <c r="AA181" s="55">
        <f t="shared" si="33"/>
        <v>28348.847126436776</v>
      </c>
    </row>
    <row r="182" spans="1:27" s="4" customFormat="1">
      <c r="A182" s="5" t="s">
        <v>815</v>
      </c>
      <c r="B182" s="5" t="s">
        <v>1049</v>
      </c>
      <c r="C182" s="56">
        <v>42</v>
      </c>
      <c r="D182" s="6">
        <v>6470</v>
      </c>
      <c r="E182" s="7" t="s">
        <v>815</v>
      </c>
      <c r="F182" s="263" t="s">
        <v>1094</v>
      </c>
      <c r="G182" s="9" t="s">
        <v>677</v>
      </c>
      <c r="H182" s="55">
        <v>5624</v>
      </c>
      <c r="I182" s="55">
        <v>5624</v>
      </c>
      <c r="J182" s="55">
        <v>5210</v>
      </c>
      <c r="K182" s="55">
        <v>5579</v>
      </c>
      <c r="L182" s="66" t="s">
        <v>1226</v>
      </c>
      <c r="M182" s="261" t="s">
        <v>1506</v>
      </c>
      <c r="N182" s="55">
        <f t="shared" si="34"/>
        <v>61.863999999999997</v>
      </c>
      <c r="O182" s="55">
        <f t="shared" si="37"/>
        <v>61.863999999999997</v>
      </c>
      <c r="P182" s="55">
        <f t="shared" si="38"/>
        <v>57.31</v>
      </c>
      <c r="Q182" s="55">
        <f t="shared" si="39"/>
        <v>61.369</v>
      </c>
      <c r="R182" s="243"/>
      <c r="S182" s="55">
        <f t="shared" si="35"/>
        <v>74.343970203551308</v>
      </c>
      <c r="T182" s="55">
        <f t="shared" si="36"/>
        <v>74.343970203551308</v>
      </c>
      <c r="U182" s="55">
        <f t="shared" si="30"/>
        <v>60.768432572244024</v>
      </c>
      <c r="V182" s="55">
        <f t="shared" si="31"/>
        <v>60.346851404310897</v>
      </c>
      <c r="Z182" s="55">
        <f t="shared" si="32"/>
        <v>6338.3126436781613</v>
      </c>
      <c r="AA182" s="55">
        <f t="shared" si="33"/>
        <v>6338.3126436781613</v>
      </c>
    </row>
    <row r="183" spans="1:27" s="4" customFormat="1">
      <c r="A183" s="5" t="s">
        <v>504</v>
      </c>
      <c r="B183" s="5" t="s">
        <v>1278</v>
      </c>
      <c r="C183" s="56">
        <v>352</v>
      </c>
      <c r="D183" s="6">
        <v>6470</v>
      </c>
      <c r="E183" s="7" t="s">
        <v>504</v>
      </c>
      <c r="F183" s="263" t="s">
        <v>1094</v>
      </c>
      <c r="G183" s="9" t="s">
        <v>679</v>
      </c>
      <c r="H183" s="55">
        <v>22184</v>
      </c>
      <c r="I183" s="55">
        <v>22184</v>
      </c>
      <c r="J183" s="55">
        <v>24603</v>
      </c>
      <c r="K183" s="55">
        <v>29810</v>
      </c>
      <c r="L183" s="66" t="s">
        <v>1226</v>
      </c>
      <c r="M183" s="261" t="s">
        <v>1506</v>
      </c>
      <c r="N183" s="55">
        <f t="shared" si="34"/>
        <v>244.024</v>
      </c>
      <c r="O183" s="55">
        <f t="shared" si="37"/>
        <v>244.024</v>
      </c>
      <c r="P183" s="55">
        <f t="shared" si="38"/>
        <v>270.63299999999998</v>
      </c>
      <c r="Q183" s="55">
        <f t="shared" si="39"/>
        <v>327.91</v>
      </c>
      <c r="R183" s="243"/>
      <c r="S183" s="55">
        <f t="shared" si="35"/>
        <v>293.25153538328277</v>
      </c>
      <c r="T183" s="55">
        <f t="shared" si="36"/>
        <v>293.25153538328277</v>
      </c>
      <c r="U183" s="55">
        <f t="shared" si="30"/>
        <v>286.96463465929355</v>
      </c>
      <c r="V183" s="55">
        <f t="shared" si="31"/>
        <v>322.44840300457219</v>
      </c>
      <c r="Z183" s="55">
        <f t="shared" si="32"/>
        <v>25001.622988505744</v>
      </c>
      <c r="AA183" s="55">
        <f t="shared" si="33"/>
        <v>25001.622988505744</v>
      </c>
    </row>
    <row r="184" spans="1:27" s="4" customFormat="1">
      <c r="A184" s="5" t="s">
        <v>431</v>
      </c>
      <c r="B184" s="5" t="s">
        <v>1088</v>
      </c>
      <c r="C184" s="56">
        <v>2</v>
      </c>
      <c r="D184" s="6">
        <v>6470</v>
      </c>
      <c r="E184" s="7" t="s">
        <v>431</v>
      </c>
      <c r="F184" s="263" t="s">
        <v>1094</v>
      </c>
      <c r="G184" s="9" t="s">
        <v>673</v>
      </c>
      <c r="H184" s="55">
        <v>2731</v>
      </c>
      <c r="I184" s="55">
        <v>2731</v>
      </c>
      <c r="J184" s="55">
        <v>3369</v>
      </c>
      <c r="K184" s="55">
        <v>5333</v>
      </c>
      <c r="L184" s="66" t="s">
        <v>1226</v>
      </c>
      <c r="M184" s="261" t="s">
        <v>1506</v>
      </c>
      <c r="N184" s="55">
        <f t="shared" si="34"/>
        <v>30.041</v>
      </c>
      <c r="O184" s="55">
        <f t="shared" si="37"/>
        <v>30.041</v>
      </c>
      <c r="P184" s="55">
        <f t="shared" si="38"/>
        <v>37.058999999999997</v>
      </c>
      <c r="Q184" s="55">
        <f t="shared" si="39"/>
        <v>58.662999999999997</v>
      </c>
      <c r="R184" s="243"/>
      <c r="S184" s="55">
        <f t="shared" si="35"/>
        <v>36.101241576440017</v>
      </c>
      <c r="T184" s="55">
        <f t="shared" si="36"/>
        <v>36.101241576440017</v>
      </c>
      <c r="U184" s="55">
        <f>0.85*P184/$P$243+0.15*P184</f>
        <v>39.295364555833032</v>
      </c>
      <c r="V184" s="55">
        <f>0.85*Q184/$Q$243+0.15*Q184</f>
        <v>57.685921946440232</v>
      </c>
      <c r="Z184" s="55">
        <f t="shared" si="32"/>
        <v>3077.8683908045978</v>
      </c>
      <c r="AA184" s="55">
        <f t="shared" si="33"/>
        <v>3077.8683908045978</v>
      </c>
    </row>
    <row r="185" spans="1:27" s="4" customFormat="1">
      <c r="A185" s="5" t="s">
        <v>1317</v>
      </c>
      <c r="B185" s="5" t="s">
        <v>1283</v>
      </c>
      <c r="C185" s="56">
        <v>2</v>
      </c>
      <c r="D185" s="6">
        <v>6300</v>
      </c>
      <c r="E185" s="7" t="s">
        <v>1170</v>
      </c>
      <c r="F185" s="263" t="s">
        <v>1094</v>
      </c>
      <c r="G185" s="9" t="s">
        <v>680</v>
      </c>
      <c r="H185" s="55">
        <v>5926</v>
      </c>
      <c r="I185" s="55">
        <v>7214</v>
      </c>
      <c r="J185" s="55">
        <v>6587</v>
      </c>
      <c r="K185" s="55">
        <v>7256</v>
      </c>
      <c r="L185" s="66" t="s">
        <v>1226</v>
      </c>
      <c r="M185" s="261" t="s">
        <v>417</v>
      </c>
      <c r="N185" s="55">
        <f t="shared" si="34"/>
        <v>65.186000000000007</v>
      </c>
      <c r="O185" s="55">
        <f t="shared" si="37"/>
        <v>79.353999999999999</v>
      </c>
      <c r="P185" s="55">
        <f t="shared" si="38"/>
        <v>72.456999999999994</v>
      </c>
      <c r="Q185" s="55">
        <f t="shared" si="39"/>
        <v>79.816000000000003</v>
      </c>
      <c r="R185" s="243"/>
      <c r="S185" s="55">
        <f>0.85*N185/$N$244+0.15*N185</f>
        <v>74.474561299105417</v>
      </c>
      <c r="T185" s="55">
        <f t="shared" ref="T185:T239" si="40">0.85*O185/$O$244+0.15*O185</f>
        <v>89.573833333333326</v>
      </c>
      <c r="U185" s="55">
        <f t="shared" ref="U185:U239" si="41">0.85*P185/$P$244+0.15*P185</f>
        <v>75.582770126006295</v>
      </c>
      <c r="V185" s="55">
        <f t="shared" ref="V185:V239" si="42">0.85*Q185/$Q$244+0.15*Q185</f>
        <v>70.329559656160455</v>
      </c>
      <c r="Z185" s="55">
        <f>0.85*H185*3002/2571+0.15*H185</f>
        <v>6770.414663555036</v>
      </c>
      <c r="AA185" s="55">
        <f>0.85*I185*3002/2607+0.15*I185</f>
        <v>8143.075757575758</v>
      </c>
    </row>
    <row r="186" spans="1:27" s="4" customFormat="1">
      <c r="A186" s="5" t="s">
        <v>645</v>
      </c>
      <c r="B186" s="5" t="s">
        <v>710</v>
      </c>
      <c r="C186" s="56">
        <v>21</v>
      </c>
      <c r="D186" s="6">
        <v>6300</v>
      </c>
      <c r="E186" s="7" t="s">
        <v>645</v>
      </c>
      <c r="F186" s="263" t="s">
        <v>1094</v>
      </c>
      <c r="G186" s="9" t="s">
        <v>681</v>
      </c>
      <c r="H186" s="55"/>
      <c r="I186" s="55"/>
      <c r="J186" s="55">
        <v>7531</v>
      </c>
      <c r="K186" s="55">
        <v>8936</v>
      </c>
      <c r="L186" s="66" t="s">
        <v>1226</v>
      </c>
      <c r="M186" s="261" t="s">
        <v>417</v>
      </c>
      <c r="N186" s="55">
        <f t="shared" si="34"/>
        <v>0</v>
      </c>
      <c r="O186" s="55">
        <f t="shared" si="37"/>
        <v>0</v>
      </c>
      <c r="P186" s="55">
        <f t="shared" si="38"/>
        <v>82.840999999999994</v>
      </c>
      <c r="Q186" s="55">
        <f t="shared" si="39"/>
        <v>98.296000000000006</v>
      </c>
      <c r="R186" s="243"/>
      <c r="S186" s="55">
        <f t="shared" ref="S186:S240" si="43">0.85*N186/$N$244+0.15*N186</f>
        <v>0</v>
      </c>
      <c r="T186" s="55">
        <f t="shared" si="40"/>
        <v>0</v>
      </c>
      <c r="U186" s="55">
        <f t="shared" si="41"/>
        <v>86.414732324116187</v>
      </c>
      <c r="V186" s="55">
        <f t="shared" si="42"/>
        <v>86.613140171919767</v>
      </c>
      <c r="Z186" s="55">
        <v>6824</v>
      </c>
      <c r="AA186" s="55">
        <v>8206</v>
      </c>
    </row>
    <row r="187" spans="1:27" s="4" customFormat="1">
      <c r="A187" s="5" t="s">
        <v>1458</v>
      </c>
      <c r="B187" s="5" t="s">
        <v>781</v>
      </c>
      <c r="C187" s="56">
        <v>17</v>
      </c>
      <c r="D187" s="6">
        <v>6300</v>
      </c>
      <c r="E187" s="7" t="s">
        <v>1458</v>
      </c>
      <c r="F187" s="263" t="s">
        <v>1094</v>
      </c>
      <c r="G187" s="9" t="s">
        <v>676</v>
      </c>
      <c r="H187" s="55">
        <v>7750</v>
      </c>
      <c r="I187" s="55">
        <v>7750</v>
      </c>
      <c r="J187" s="55">
        <v>7750</v>
      </c>
      <c r="K187" s="55">
        <v>7750</v>
      </c>
      <c r="L187" s="66" t="s">
        <v>1226</v>
      </c>
      <c r="M187" s="261" t="s">
        <v>417</v>
      </c>
      <c r="N187" s="55">
        <f t="shared" si="34"/>
        <v>85.25</v>
      </c>
      <c r="O187" s="55">
        <f t="shared" si="37"/>
        <v>85.25</v>
      </c>
      <c r="P187" s="55">
        <f t="shared" si="38"/>
        <v>85.25</v>
      </c>
      <c r="Q187" s="55">
        <f t="shared" si="39"/>
        <v>85.25</v>
      </c>
      <c r="R187" s="243"/>
      <c r="S187" s="55">
        <f t="shared" si="43"/>
        <v>97.397544729677151</v>
      </c>
      <c r="T187" s="55">
        <f>S187</f>
        <v>97.397544729677151</v>
      </c>
      <c r="U187" s="55">
        <f t="shared" si="41"/>
        <v>88.927655757787875</v>
      </c>
      <c r="V187" s="55">
        <f t="shared" si="42"/>
        <v>75.117707736389676</v>
      </c>
      <c r="Z187" s="55">
        <f t="shared" ref="Z187:Z199" si="44">0.85*H187*3002/2571+0.15*H187</f>
        <v>8854.3222481524699</v>
      </c>
      <c r="AA187" s="55">
        <f>0.85*I187*3002/2607+0.15*I187</f>
        <v>8748.1060606060601</v>
      </c>
    </row>
    <row r="188" spans="1:27" s="4" customFormat="1">
      <c r="A188" s="5" t="s">
        <v>1152</v>
      </c>
      <c r="B188" s="5" t="s">
        <v>1434</v>
      </c>
      <c r="C188" s="56">
        <v>5</v>
      </c>
      <c r="D188" s="6">
        <v>6310</v>
      </c>
      <c r="E188" s="7" t="s">
        <v>917</v>
      </c>
      <c r="F188" s="263" t="s">
        <v>1094</v>
      </c>
      <c r="G188" s="9" t="s">
        <v>681</v>
      </c>
      <c r="H188" s="55">
        <v>6063</v>
      </c>
      <c r="I188" s="55">
        <v>6063</v>
      </c>
      <c r="J188" s="55">
        <v>7960</v>
      </c>
      <c r="K188" s="55">
        <v>10197</v>
      </c>
      <c r="L188" s="66" t="s">
        <v>1226</v>
      </c>
      <c r="M188" s="261" t="s">
        <v>417</v>
      </c>
      <c r="N188" s="55">
        <f t="shared" si="34"/>
        <v>66.692999999999998</v>
      </c>
      <c r="O188" s="55">
        <f t="shared" si="37"/>
        <v>66.692999999999998</v>
      </c>
      <c r="P188" s="55">
        <f t="shared" si="38"/>
        <v>87.56</v>
      </c>
      <c r="Q188" s="55">
        <f t="shared" si="39"/>
        <v>112.167</v>
      </c>
      <c r="R188" s="243"/>
      <c r="S188" s="55">
        <f t="shared" si="43"/>
        <v>76.196298541423573</v>
      </c>
      <c r="T188" s="55">
        <f>S188</f>
        <v>76.196298541423573</v>
      </c>
      <c r="U188" s="55">
        <f t="shared" si="41"/>
        <v>91.337308365418281</v>
      </c>
      <c r="V188" s="55">
        <f t="shared" si="42"/>
        <v>98.835518166189104</v>
      </c>
      <c r="Z188" s="55">
        <f t="shared" si="44"/>
        <v>6926.9362310385059</v>
      </c>
      <c r="AA188" s="55">
        <f>Z188</f>
        <v>6926.9362310385059</v>
      </c>
    </row>
    <row r="189" spans="1:27" s="4" customFormat="1">
      <c r="A189" s="5" t="s">
        <v>446</v>
      </c>
      <c r="B189" s="5" t="s">
        <v>1287</v>
      </c>
      <c r="C189" s="56">
        <v>102</v>
      </c>
      <c r="D189" s="6">
        <v>6320</v>
      </c>
      <c r="E189" s="7" t="s">
        <v>1158</v>
      </c>
      <c r="F189" s="263" t="s">
        <v>1094</v>
      </c>
      <c r="G189" s="9" t="s">
        <v>677</v>
      </c>
      <c r="H189" s="55">
        <v>19193</v>
      </c>
      <c r="I189" s="55">
        <v>19193</v>
      </c>
      <c r="J189" s="55" t="s">
        <v>1492</v>
      </c>
      <c r="K189" s="55"/>
      <c r="L189" s="66" t="s">
        <v>1226</v>
      </c>
      <c r="M189" s="261" t="s">
        <v>417</v>
      </c>
      <c r="N189" s="55">
        <f t="shared" si="34"/>
        <v>211.12299999999999</v>
      </c>
      <c r="O189" s="55">
        <f t="shared" si="37"/>
        <v>211.12299999999999</v>
      </c>
      <c r="P189" s="55">
        <v>0</v>
      </c>
      <c r="Q189" s="55">
        <f t="shared" si="39"/>
        <v>0</v>
      </c>
      <c r="R189" s="243"/>
      <c r="S189" s="55">
        <f t="shared" si="43"/>
        <v>241.20659045118629</v>
      </c>
      <c r="T189" s="55">
        <f>S189</f>
        <v>241.20659045118629</v>
      </c>
      <c r="U189" s="55">
        <f t="shared" si="41"/>
        <v>0</v>
      </c>
      <c r="V189" s="55">
        <f t="shared" si="42"/>
        <v>0</v>
      </c>
      <c r="Z189" s="55">
        <f t="shared" si="44"/>
        <v>21927.871859198756</v>
      </c>
      <c r="AA189" s="55">
        <f>Z189</f>
        <v>21927.871859198756</v>
      </c>
    </row>
    <row r="190" spans="1:27" s="4" customFormat="1">
      <c r="A190" s="5" t="s">
        <v>649</v>
      </c>
      <c r="B190" s="5" t="s">
        <v>768</v>
      </c>
      <c r="C190" s="56">
        <v>11</v>
      </c>
      <c r="D190" s="6">
        <v>6400</v>
      </c>
      <c r="E190" s="7" t="s">
        <v>649</v>
      </c>
      <c r="F190" s="263" t="s">
        <v>1094</v>
      </c>
      <c r="G190" s="9" t="s">
        <v>673</v>
      </c>
      <c r="H190" s="55">
        <v>4664</v>
      </c>
      <c r="I190" s="55">
        <v>3698</v>
      </c>
      <c r="J190" s="55">
        <v>4052</v>
      </c>
      <c r="K190" s="55">
        <v>3372</v>
      </c>
      <c r="L190" s="66" t="s">
        <v>1226</v>
      </c>
      <c r="M190" s="261" t="s">
        <v>417</v>
      </c>
      <c r="N190" s="55">
        <f t="shared" si="34"/>
        <v>51.304000000000002</v>
      </c>
      <c r="O190" s="55">
        <f t="shared" si="37"/>
        <v>40.677999999999997</v>
      </c>
      <c r="P190" s="55">
        <f t="shared" si="38"/>
        <v>44.572000000000003</v>
      </c>
      <c r="Q190" s="55">
        <f t="shared" si="39"/>
        <v>37.091999999999999</v>
      </c>
      <c r="R190" s="243"/>
      <c r="S190" s="55">
        <f t="shared" si="43"/>
        <v>58.614470789576046</v>
      </c>
      <c r="T190" s="55">
        <f t="shared" si="40"/>
        <v>45.916833333333329</v>
      </c>
      <c r="U190" s="55">
        <f t="shared" si="41"/>
        <v>46.494820791039558</v>
      </c>
      <c r="V190" s="55">
        <f t="shared" si="42"/>
        <v>32.683472320916898</v>
      </c>
      <c r="Z190" s="55">
        <f t="shared" si="44"/>
        <v>5328.5882535978226</v>
      </c>
      <c r="AA190" s="55">
        <f>0.85*I190*3002/2607+0.15*I190</f>
        <v>4174.257575757576</v>
      </c>
    </row>
    <row r="191" spans="1:27" s="4" customFormat="1">
      <c r="A191" s="5" t="s">
        <v>1330</v>
      </c>
      <c r="B191" s="5" t="s">
        <v>1288</v>
      </c>
      <c r="C191" s="56">
        <v>12</v>
      </c>
      <c r="D191" s="6">
        <v>6400</v>
      </c>
      <c r="E191" s="7" t="s">
        <v>1004</v>
      </c>
      <c r="F191" s="263" t="s">
        <v>1094</v>
      </c>
      <c r="G191" s="9" t="s">
        <v>676</v>
      </c>
      <c r="H191" s="55">
        <v>2457</v>
      </c>
      <c r="I191" s="55">
        <v>2647</v>
      </c>
      <c r="J191" s="55">
        <v>2736</v>
      </c>
      <c r="K191" s="55">
        <v>2643</v>
      </c>
      <c r="L191" s="66" t="s">
        <v>1226</v>
      </c>
      <c r="M191" s="261" t="s">
        <v>417</v>
      </c>
      <c r="N191" s="55">
        <f t="shared" si="34"/>
        <v>27.027000000000001</v>
      </c>
      <c r="O191" s="55">
        <f t="shared" si="37"/>
        <v>29.117000000000001</v>
      </c>
      <c r="P191" s="55">
        <f t="shared" si="38"/>
        <v>30.096</v>
      </c>
      <c r="Q191" s="55">
        <f t="shared" si="39"/>
        <v>29.073</v>
      </c>
      <c r="R191" s="243"/>
      <c r="S191" s="55">
        <f t="shared" si="43"/>
        <v>30.878163535589266</v>
      </c>
      <c r="T191" s="55">
        <f t="shared" si="40"/>
        <v>32.866916666666661</v>
      </c>
      <c r="U191" s="55">
        <f t="shared" si="41"/>
        <v>31.394331116555826</v>
      </c>
      <c r="V191" s="55">
        <f t="shared" si="42"/>
        <v>25.617561489971344</v>
      </c>
      <c r="Z191" s="55">
        <f t="shared" si="44"/>
        <v>2807.1057759626606</v>
      </c>
      <c r="AA191" s="55">
        <f>0.85*I191*3002/2607+0.15*I191</f>
        <v>2987.901515151515</v>
      </c>
    </row>
    <row r="192" spans="1:27" s="4" customFormat="1">
      <c r="A192" s="5" t="s">
        <v>1343</v>
      </c>
      <c r="B192" s="5" t="s">
        <v>1288</v>
      </c>
      <c r="C192" s="56">
        <v>19</v>
      </c>
      <c r="D192" s="6">
        <v>6400</v>
      </c>
      <c r="E192" s="7" t="s">
        <v>1343</v>
      </c>
      <c r="F192" s="263" t="s">
        <v>1094</v>
      </c>
      <c r="G192" s="9" t="s">
        <v>673</v>
      </c>
      <c r="H192" s="55">
        <v>5423</v>
      </c>
      <c r="I192" s="55">
        <v>4947</v>
      </c>
      <c r="J192" s="55">
        <v>4796</v>
      </c>
      <c r="K192" s="55">
        <v>5447</v>
      </c>
      <c r="L192" s="66" t="s">
        <v>1226</v>
      </c>
      <c r="M192" s="261" t="s">
        <v>417</v>
      </c>
      <c r="N192" s="55">
        <f t="shared" si="34"/>
        <v>59.652999999999999</v>
      </c>
      <c r="O192" s="55">
        <f t="shared" si="37"/>
        <v>54.417000000000002</v>
      </c>
      <c r="P192" s="55">
        <f t="shared" si="38"/>
        <v>52.756</v>
      </c>
      <c r="Q192" s="55">
        <f t="shared" si="39"/>
        <v>59.917000000000002</v>
      </c>
      <c r="R192" s="243"/>
      <c r="S192" s="55">
        <f t="shared" si="43"/>
        <v>68.153146460521199</v>
      </c>
      <c r="T192" s="55">
        <f t="shared" si="40"/>
        <v>61.425249999999991</v>
      </c>
      <c r="U192" s="55">
        <f t="shared" si="41"/>
        <v>55.031875743787182</v>
      </c>
      <c r="V192" s="55">
        <f t="shared" si="42"/>
        <v>52.795632779369626</v>
      </c>
      <c r="Z192" s="55">
        <f t="shared" si="44"/>
        <v>6195.7405873201087</v>
      </c>
      <c r="AA192" s="55">
        <f>0.85*I192*3002/2607+0.15*I192</f>
        <v>5584.1136363636369</v>
      </c>
    </row>
    <row r="193" spans="1:27" s="4" customFormat="1">
      <c r="A193" s="133" t="s">
        <v>421</v>
      </c>
      <c r="B193" s="5" t="s">
        <v>126</v>
      </c>
      <c r="C193" s="56">
        <v>1</v>
      </c>
      <c r="D193" s="6">
        <v>6400</v>
      </c>
      <c r="E193" s="7" t="s">
        <v>897</v>
      </c>
      <c r="F193" s="263" t="s">
        <v>1094</v>
      </c>
      <c r="G193" s="9" t="s">
        <v>673</v>
      </c>
      <c r="H193" s="55">
        <v>4054</v>
      </c>
      <c r="I193" s="55">
        <v>3379</v>
      </c>
      <c r="J193" s="55">
        <v>3638</v>
      </c>
      <c r="K193" s="55">
        <v>5690</v>
      </c>
      <c r="L193" s="66" t="s">
        <v>1226</v>
      </c>
      <c r="M193" s="261" t="s">
        <v>417</v>
      </c>
      <c r="N193" s="55">
        <f t="shared" si="34"/>
        <v>44.594000000000001</v>
      </c>
      <c r="O193" s="55">
        <f t="shared" si="37"/>
        <v>37.168999999999997</v>
      </c>
      <c r="P193" s="55">
        <f t="shared" si="38"/>
        <v>40.018000000000001</v>
      </c>
      <c r="Q193" s="55">
        <f t="shared" si="39"/>
        <v>62.59</v>
      </c>
      <c r="R193" s="243"/>
      <c r="S193" s="55">
        <f t="shared" si="43"/>
        <v>50.948341462465962</v>
      </c>
      <c r="T193" s="55">
        <f t="shared" si="40"/>
        <v>41.95591666666666</v>
      </c>
      <c r="U193" s="55">
        <f t="shared" si="41"/>
        <v>41.744362793139651</v>
      </c>
      <c r="V193" s="55">
        <f t="shared" si="42"/>
        <v>55.150936389684816</v>
      </c>
      <c r="Z193" s="55">
        <f t="shared" si="44"/>
        <v>4631.6674056787242</v>
      </c>
      <c r="AA193" s="55">
        <f>0.85*I193*3002/2607+0.15*I193</f>
        <v>3814.1742424242425</v>
      </c>
    </row>
    <row r="194" spans="1:27" s="4" customFormat="1">
      <c r="A194" s="133" t="s">
        <v>623</v>
      </c>
      <c r="B194" s="5" t="s">
        <v>1064</v>
      </c>
      <c r="C194" s="56">
        <v>21</v>
      </c>
      <c r="D194" s="6">
        <v>6400</v>
      </c>
      <c r="E194" s="7" t="s">
        <v>919</v>
      </c>
      <c r="F194" s="263" t="s">
        <v>1094</v>
      </c>
      <c r="G194" s="9" t="s">
        <v>437</v>
      </c>
      <c r="H194" s="55">
        <v>1836</v>
      </c>
      <c r="I194" s="55">
        <v>1836</v>
      </c>
      <c r="J194" s="55">
        <v>1826</v>
      </c>
      <c r="K194" s="55">
        <v>2191</v>
      </c>
      <c r="L194" s="66" t="s">
        <v>1226</v>
      </c>
      <c r="M194" s="261" t="s">
        <v>417</v>
      </c>
      <c r="N194" s="55">
        <f t="shared" si="34"/>
        <v>20.196000000000002</v>
      </c>
      <c r="O194" s="55">
        <f t="shared" si="37"/>
        <v>20.196000000000002</v>
      </c>
      <c r="P194" s="55">
        <f t="shared" si="38"/>
        <v>20.085999999999999</v>
      </c>
      <c r="Q194" s="55">
        <f t="shared" si="39"/>
        <v>24.100999999999999</v>
      </c>
      <c r="R194" s="243"/>
      <c r="S194" s="55">
        <f t="shared" si="43"/>
        <v>23.073792532088682</v>
      </c>
      <c r="T194" s="55">
        <f>S194</f>
        <v>23.073792532088682</v>
      </c>
      <c r="U194" s="55">
        <f t="shared" si="41"/>
        <v>20.952503150157504</v>
      </c>
      <c r="V194" s="55">
        <f t="shared" si="42"/>
        <v>21.236502922636102</v>
      </c>
      <c r="Z194" s="55">
        <f t="shared" si="44"/>
        <v>2097.6175029171527</v>
      </c>
      <c r="AA194" s="55">
        <f>Z194</f>
        <v>2097.6175029171527</v>
      </c>
    </row>
    <row r="195" spans="1:27" s="4" customFormat="1">
      <c r="A195" s="5" t="s">
        <v>1460</v>
      </c>
      <c r="B195" s="5" t="s">
        <v>783</v>
      </c>
      <c r="C195" s="56">
        <v>12</v>
      </c>
      <c r="D195" s="6">
        <v>6400</v>
      </c>
      <c r="E195" s="7" t="s">
        <v>1460</v>
      </c>
      <c r="F195" s="263" t="s">
        <v>1094</v>
      </c>
      <c r="G195" s="9" t="s">
        <v>677</v>
      </c>
      <c r="H195" s="55">
        <v>2104</v>
      </c>
      <c r="I195" s="55">
        <v>2104</v>
      </c>
      <c r="J195" s="55">
        <v>1949</v>
      </c>
      <c r="K195" s="55">
        <v>2003</v>
      </c>
      <c r="L195" s="66" t="s">
        <v>1226</v>
      </c>
      <c r="M195" s="261" t="s">
        <v>417</v>
      </c>
      <c r="N195" s="55">
        <f t="shared" si="34"/>
        <v>23.143999999999998</v>
      </c>
      <c r="O195" s="55">
        <f t="shared" si="37"/>
        <v>23.143999999999998</v>
      </c>
      <c r="P195" s="55">
        <f t="shared" si="38"/>
        <v>21.439</v>
      </c>
      <c r="Q195" s="55">
        <f t="shared" si="39"/>
        <v>22.033000000000001</v>
      </c>
      <c r="R195" s="243"/>
      <c r="S195" s="55">
        <f t="shared" si="43"/>
        <v>26.441862465966548</v>
      </c>
      <c r="T195" s="55">
        <f>S195</f>
        <v>26.441862465966548</v>
      </c>
      <c r="U195" s="55">
        <f t="shared" si="41"/>
        <v>22.363871106055303</v>
      </c>
      <c r="V195" s="55">
        <f t="shared" si="42"/>
        <v>19.414292722063038</v>
      </c>
      <c r="Z195" s="55">
        <f t="shared" si="44"/>
        <v>2403.8056787242317</v>
      </c>
      <c r="AA195" s="55">
        <f>Z195</f>
        <v>2403.8056787242317</v>
      </c>
    </row>
    <row r="196" spans="1:27" s="4" customFormat="1">
      <c r="A196" s="5" t="s">
        <v>632</v>
      </c>
      <c r="B196" s="5" t="s">
        <v>606</v>
      </c>
      <c r="C196" s="56">
        <v>12</v>
      </c>
      <c r="D196" s="6">
        <v>6400</v>
      </c>
      <c r="E196" s="7" t="s">
        <v>632</v>
      </c>
      <c r="F196" s="263" t="s">
        <v>1094</v>
      </c>
      <c r="G196" s="9" t="s">
        <v>682</v>
      </c>
      <c r="H196" s="55">
        <v>21012</v>
      </c>
      <c r="I196" s="55">
        <v>21700</v>
      </c>
      <c r="J196" s="55">
        <v>15319</v>
      </c>
      <c r="K196" s="55">
        <v>17100</v>
      </c>
      <c r="L196" s="66" t="s">
        <v>1226</v>
      </c>
      <c r="M196" s="261" t="s">
        <v>417</v>
      </c>
      <c r="N196" s="55">
        <f t="shared" si="34"/>
        <v>231.13200000000001</v>
      </c>
      <c r="O196" s="55">
        <f t="shared" si="37"/>
        <v>238.7</v>
      </c>
      <c r="P196" s="55">
        <f t="shared" si="38"/>
        <v>168.50899999999999</v>
      </c>
      <c r="Q196" s="55">
        <f t="shared" si="39"/>
        <v>188.1</v>
      </c>
      <c r="R196" s="243"/>
      <c r="S196" s="55">
        <f t="shared" si="43"/>
        <v>264.06673675612603</v>
      </c>
      <c r="T196" s="55">
        <f t="shared" si="40"/>
        <v>269.44166666666661</v>
      </c>
      <c r="U196" s="55">
        <f t="shared" si="41"/>
        <v>175.7784204585229</v>
      </c>
      <c r="V196" s="55">
        <f t="shared" si="42"/>
        <v>165.74358739255013</v>
      </c>
      <c r="Z196" s="55">
        <f t="shared" si="44"/>
        <v>24006.066977829636</v>
      </c>
      <c r="AA196" s="55">
        <f>0.85*I196*3002/2607+0.15*I196</f>
        <v>24494.696969696968</v>
      </c>
    </row>
    <row r="197" spans="1:27" s="4" customFormat="1">
      <c r="A197" s="5" t="s">
        <v>1099</v>
      </c>
      <c r="B197" s="5" t="s">
        <v>665</v>
      </c>
      <c r="C197" s="56">
        <v>19</v>
      </c>
      <c r="D197" s="6">
        <v>6400</v>
      </c>
      <c r="E197" s="7" t="s">
        <v>1099</v>
      </c>
      <c r="F197" s="263" t="s">
        <v>1094</v>
      </c>
      <c r="G197" s="9" t="s">
        <v>672</v>
      </c>
      <c r="H197" s="55">
        <v>11063</v>
      </c>
      <c r="I197" s="55">
        <v>11063</v>
      </c>
      <c r="J197" s="55">
        <v>15052</v>
      </c>
      <c r="K197" s="55">
        <v>18981</v>
      </c>
      <c r="L197" s="66" t="s">
        <v>1226</v>
      </c>
      <c r="M197" s="261" t="s">
        <v>417</v>
      </c>
      <c r="N197" s="55">
        <f t="shared" si="34"/>
        <v>121.693</v>
      </c>
      <c r="O197" s="55">
        <f t="shared" si="37"/>
        <v>121.693</v>
      </c>
      <c r="P197" s="55">
        <f t="shared" si="38"/>
        <v>165.572</v>
      </c>
      <c r="Q197" s="55">
        <f t="shared" si="39"/>
        <v>208.791</v>
      </c>
      <c r="R197" s="243"/>
      <c r="S197" s="55">
        <f t="shared" si="43"/>
        <v>139.03342417347335</v>
      </c>
      <c r="T197" s="55">
        <f>S197</f>
        <v>139.03342417347335</v>
      </c>
      <c r="U197" s="55">
        <f t="shared" si="41"/>
        <v>172.71471928596429</v>
      </c>
      <c r="V197" s="55">
        <f t="shared" si="42"/>
        <v>183.97538200573064</v>
      </c>
      <c r="Z197" s="55">
        <f t="shared" si="44"/>
        <v>12639.402197588486</v>
      </c>
      <c r="AA197" s="55">
        <f>Z197</f>
        <v>12639.402197588486</v>
      </c>
    </row>
    <row r="198" spans="1:27" s="4" customFormat="1">
      <c r="A198" s="5" t="s">
        <v>514</v>
      </c>
      <c r="B198" s="5" t="s">
        <v>1298</v>
      </c>
      <c r="C198" s="56">
        <v>25</v>
      </c>
      <c r="D198" s="6">
        <v>6400</v>
      </c>
      <c r="E198" s="7" t="s">
        <v>514</v>
      </c>
      <c r="F198" s="263" t="s">
        <v>1094</v>
      </c>
      <c r="G198" s="9" t="s">
        <v>439</v>
      </c>
      <c r="H198" s="55">
        <v>2676</v>
      </c>
      <c r="I198" s="55">
        <v>2388</v>
      </c>
      <c r="J198" s="55">
        <v>2471</v>
      </c>
      <c r="K198" s="55">
        <v>3084</v>
      </c>
      <c r="L198" s="66" t="s">
        <v>1226</v>
      </c>
      <c r="M198" s="261" t="s">
        <v>417</v>
      </c>
      <c r="N198" s="55">
        <f t="shared" si="34"/>
        <v>29.436</v>
      </c>
      <c r="O198" s="55">
        <f t="shared" si="37"/>
        <v>26.268000000000001</v>
      </c>
      <c r="P198" s="55">
        <f t="shared" si="38"/>
        <v>27.181000000000001</v>
      </c>
      <c r="Q198" s="55">
        <f t="shared" si="39"/>
        <v>33.923999999999999</v>
      </c>
      <c r="R198" s="243"/>
      <c r="S198" s="55">
        <f t="shared" si="43"/>
        <v>33.630429638273043</v>
      </c>
      <c r="T198" s="55">
        <f t="shared" si="40"/>
        <v>29.651</v>
      </c>
      <c r="U198" s="55">
        <f t="shared" si="41"/>
        <v>28.353579016450823</v>
      </c>
      <c r="V198" s="55">
        <f t="shared" si="42"/>
        <v>29.892001375358163</v>
      </c>
      <c r="Z198" s="55">
        <f t="shared" si="44"/>
        <v>3057.3117852975497</v>
      </c>
      <c r="AA198" s="55">
        <f>0.85*I198*3002/2607+0.15*I198</f>
        <v>2695.545454545454</v>
      </c>
    </row>
    <row r="199" spans="1:27" s="4" customFormat="1">
      <c r="A199" s="5" t="s">
        <v>635</v>
      </c>
      <c r="B199" s="5" t="s">
        <v>1288</v>
      </c>
      <c r="C199" s="56">
        <v>21</v>
      </c>
      <c r="D199" s="6">
        <v>6400</v>
      </c>
      <c r="E199" s="7" t="s">
        <v>635</v>
      </c>
      <c r="F199" s="263" t="s">
        <v>1094</v>
      </c>
      <c r="G199" s="9" t="s">
        <v>677</v>
      </c>
      <c r="H199" s="55">
        <v>92137</v>
      </c>
      <c r="I199" s="55">
        <v>97776</v>
      </c>
      <c r="J199" s="55">
        <v>101190</v>
      </c>
      <c r="K199" s="55">
        <v>118163</v>
      </c>
      <c r="L199" s="66" t="s">
        <v>1226</v>
      </c>
      <c r="M199" s="261" t="s">
        <v>417</v>
      </c>
      <c r="N199" s="55">
        <f t="shared" si="34"/>
        <v>1013.5069999999999</v>
      </c>
      <c r="O199" s="55">
        <f t="shared" si="37"/>
        <v>1075.5360000000001</v>
      </c>
      <c r="P199" s="55">
        <f t="shared" si="38"/>
        <v>1113.0899999999999</v>
      </c>
      <c r="Q199" s="55">
        <f t="shared" si="39"/>
        <v>1299.7929999999999</v>
      </c>
      <c r="R199" s="243"/>
      <c r="S199" s="55">
        <f t="shared" si="43"/>
        <v>1157.9248488720341</v>
      </c>
      <c r="T199" s="55">
        <f t="shared" si="40"/>
        <v>1214.0519999999999</v>
      </c>
      <c r="U199" s="55">
        <f t="shared" si="41"/>
        <v>1161.1083207910394</v>
      </c>
      <c r="V199" s="55">
        <f t="shared" si="42"/>
        <v>1145.3075740974211</v>
      </c>
      <c r="Z199" s="55">
        <f t="shared" si="44"/>
        <v>105265.89535200312</v>
      </c>
      <c r="AA199" s="55">
        <f>0.85*I199*3002/2607+0.15*I199</f>
        <v>110368.36363636363</v>
      </c>
    </row>
    <row r="200" spans="1:27" s="4" customFormat="1">
      <c r="A200" s="5" t="s">
        <v>687</v>
      </c>
      <c r="B200" s="5" t="s">
        <v>1429</v>
      </c>
      <c r="C200" s="56">
        <v>19</v>
      </c>
      <c r="D200" s="6">
        <v>6400</v>
      </c>
      <c r="E200" s="7" t="s">
        <v>1455</v>
      </c>
      <c r="F200" s="263" t="s">
        <v>1094</v>
      </c>
      <c r="G200" s="9" t="s">
        <v>437</v>
      </c>
      <c r="H200" s="55"/>
      <c r="I200" s="55"/>
      <c r="J200" s="55">
        <v>6507</v>
      </c>
      <c r="K200" s="55">
        <v>6906</v>
      </c>
      <c r="L200" s="66" t="s">
        <v>1226</v>
      </c>
      <c r="M200" s="261" t="s">
        <v>417</v>
      </c>
      <c r="N200" s="55">
        <f t="shared" si="34"/>
        <v>0</v>
      </c>
      <c r="O200" s="55">
        <f t="shared" si="37"/>
        <v>0</v>
      </c>
      <c r="P200" s="55">
        <f t="shared" si="38"/>
        <v>71.576999999999998</v>
      </c>
      <c r="Q200" s="55">
        <f t="shared" si="39"/>
        <v>75.965999999999994</v>
      </c>
      <c r="R200" s="243"/>
      <c r="S200" s="55">
        <f t="shared" si="43"/>
        <v>0</v>
      </c>
      <c r="T200" s="55">
        <f t="shared" si="40"/>
        <v>0</v>
      </c>
      <c r="U200" s="55">
        <f t="shared" si="41"/>
        <v>74.664807227861388</v>
      </c>
      <c r="V200" s="55">
        <f t="shared" si="42"/>
        <v>66.937147048710585</v>
      </c>
      <c r="Z200" s="55">
        <v>4334</v>
      </c>
      <c r="AA200" s="55">
        <v>5996</v>
      </c>
    </row>
    <row r="201" spans="1:27" s="4" customFormat="1">
      <c r="A201" s="5" t="s">
        <v>1169</v>
      </c>
      <c r="B201" s="5" t="s">
        <v>479</v>
      </c>
      <c r="C201" s="56">
        <v>1</v>
      </c>
      <c r="D201" s="6">
        <v>6400</v>
      </c>
      <c r="E201" s="7" t="s">
        <v>1378</v>
      </c>
      <c r="F201" s="263" t="s">
        <v>1094</v>
      </c>
      <c r="G201" s="9" t="s">
        <v>435</v>
      </c>
      <c r="H201" s="55">
        <v>2432</v>
      </c>
      <c r="I201" s="55">
        <v>2432</v>
      </c>
      <c r="J201" s="55">
        <v>1657</v>
      </c>
      <c r="K201" s="55">
        <v>1965</v>
      </c>
      <c r="L201" s="66" t="s">
        <v>1226</v>
      </c>
      <c r="M201" s="261" t="s">
        <v>417</v>
      </c>
      <c r="N201" s="55">
        <f t="shared" si="34"/>
        <v>26.751999999999999</v>
      </c>
      <c r="O201" s="55">
        <f t="shared" si="37"/>
        <v>26.751999999999999</v>
      </c>
      <c r="P201" s="55">
        <f t="shared" si="38"/>
        <v>18.227</v>
      </c>
      <c r="Q201" s="55">
        <f t="shared" si="39"/>
        <v>21.614999999999998</v>
      </c>
      <c r="R201" s="243"/>
      <c r="S201" s="55">
        <f t="shared" si="43"/>
        <v>30.56397790742901</v>
      </c>
      <c r="T201" s="55">
        <f>S201</f>
        <v>30.56397790742901</v>
      </c>
      <c r="U201" s="55">
        <f t="shared" si="41"/>
        <v>19.013306527826391</v>
      </c>
      <c r="V201" s="55">
        <f t="shared" si="42"/>
        <v>19.04597363896848</v>
      </c>
      <c r="Z201" s="55">
        <f t="shared" ref="Z201:Z216" si="45">0.85*H201*3002/2571+0.15*H201</f>
        <v>2778.5434461299105</v>
      </c>
      <c r="AA201" s="55">
        <f>Z201</f>
        <v>2778.5434461299105</v>
      </c>
    </row>
    <row r="202" spans="1:27" s="4" customFormat="1">
      <c r="A202" s="5" t="s">
        <v>1462</v>
      </c>
      <c r="B202" s="5" t="s">
        <v>789</v>
      </c>
      <c r="C202" s="56">
        <v>2</v>
      </c>
      <c r="D202" s="6">
        <v>6400</v>
      </c>
      <c r="E202" s="7" t="s">
        <v>1462</v>
      </c>
      <c r="F202" s="263" t="s">
        <v>1094</v>
      </c>
      <c r="G202" s="9" t="s">
        <v>677</v>
      </c>
      <c r="H202" s="55">
        <v>2314</v>
      </c>
      <c r="I202" s="55">
        <v>2222</v>
      </c>
      <c r="J202" s="55">
        <v>1670</v>
      </c>
      <c r="K202" s="55">
        <v>1906</v>
      </c>
      <c r="L202" s="66" t="s">
        <v>1226</v>
      </c>
      <c r="M202" s="261" t="s">
        <v>417</v>
      </c>
      <c r="N202" s="55">
        <f t="shared" si="34"/>
        <v>25.454000000000001</v>
      </c>
      <c r="O202" s="55">
        <f t="shared" si="37"/>
        <v>24.442</v>
      </c>
      <c r="P202" s="55">
        <f t="shared" si="38"/>
        <v>18.37</v>
      </c>
      <c r="Q202" s="55">
        <f t="shared" si="39"/>
        <v>20.966000000000001</v>
      </c>
      <c r="R202" s="243"/>
      <c r="S202" s="55">
        <f t="shared" si="43"/>
        <v>29.08102174251264</v>
      </c>
      <c r="T202" s="55">
        <f t="shared" si="40"/>
        <v>27.589833333333331</v>
      </c>
      <c r="U202" s="55">
        <f t="shared" si="41"/>
        <v>19.162475498774938</v>
      </c>
      <c r="V202" s="55">
        <f t="shared" si="42"/>
        <v>18.474109799426934</v>
      </c>
      <c r="Z202" s="55">
        <f t="shared" si="45"/>
        <v>2643.7292493193308</v>
      </c>
      <c r="AA202" s="55">
        <f>0.85*I202*3002/2607+0.15*I202</f>
        <v>2508.166666666667</v>
      </c>
    </row>
    <row r="203" spans="1:27" s="4" customFormat="1">
      <c r="A203" s="5" t="s">
        <v>1329</v>
      </c>
      <c r="B203" s="5" t="s">
        <v>1271</v>
      </c>
      <c r="C203" s="56">
        <v>4</v>
      </c>
      <c r="D203" s="6">
        <v>6430</v>
      </c>
      <c r="E203" s="7"/>
      <c r="F203" s="263" t="s">
        <v>1094</v>
      </c>
      <c r="G203" s="9" t="s">
        <v>683</v>
      </c>
      <c r="H203" s="55">
        <v>223.9</v>
      </c>
      <c r="I203" s="55">
        <v>223.9</v>
      </c>
      <c r="J203" s="55"/>
      <c r="K203" s="55"/>
      <c r="L203" s="66" t="s">
        <v>1226</v>
      </c>
      <c r="M203" s="261" t="s">
        <v>417</v>
      </c>
      <c r="N203" s="55">
        <f t="shared" si="34"/>
        <v>2.4629000000000003</v>
      </c>
      <c r="O203" s="55">
        <f t="shared" si="37"/>
        <v>2.4629000000000003</v>
      </c>
      <c r="P203" s="55">
        <f t="shared" si="38"/>
        <v>0</v>
      </c>
      <c r="Q203" s="55">
        <f t="shared" si="39"/>
        <v>0</v>
      </c>
      <c r="R203" s="243"/>
      <c r="S203" s="55">
        <f t="shared" si="43"/>
        <v>2.8138464858031895</v>
      </c>
      <c r="T203" s="55">
        <f>S203</f>
        <v>2.8138464858031895</v>
      </c>
      <c r="U203" s="55">
        <f t="shared" si="41"/>
        <v>0</v>
      </c>
      <c r="V203" s="55">
        <f t="shared" si="42"/>
        <v>0</v>
      </c>
      <c r="Z203" s="55">
        <f t="shared" si="45"/>
        <v>255.80422598210814</v>
      </c>
      <c r="AA203" s="55">
        <f>Z203</f>
        <v>255.80422598210814</v>
      </c>
    </row>
    <row r="204" spans="1:27" s="4" customFormat="1">
      <c r="A204" s="5" t="s">
        <v>670</v>
      </c>
      <c r="B204" s="5" t="s">
        <v>1273</v>
      </c>
      <c r="C204" s="56">
        <v>14</v>
      </c>
      <c r="D204" s="6">
        <v>6430</v>
      </c>
      <c r="E204" s="7" t="s">
        <v>671</v>
      </c>
      <c r="F204" s="263" t="s">
        <v>1094</v>
      </c>
      <c r="G204" s="9" t="s">
        <v>673</v>
      </c>
      <c r="H204" s="55">
        <v>7132</v>
      </c>
      <c r="I204" s="55">
        <v>8064</v>
      </c>
      <c r="J204" s="55">
        <v>6372</v>
      </c>
      <c r="K204" s="55">
        <v>6820</v>
      </c>
      <c r="L204" s="66" t="s">
        <v>1226</v>
      </c>
      <c r="M204" s="261" t="s">
        <v>417</v>
      </c>
      <c r="N204" s="55">
        <f t="shared" si="34"/>
        <v>78.451999999999998</v>
      </c>
      <c r="O204" s="55">
        <f t="shared" si="37"/>
        <v>88.703999999999994</v>
      </c>
      <c r="P204" s="55">
        <f t="shared" si="38"/>
        <v>70.091999999999999</v>
      </c>
      <c r="Q204" s="55">
        <f t="shared" si="39"/>
        <v>75.02</v>
      </c>
      <c r="R204" s="243"/>
      <c r="S204" s="55">
        <f t="shared" si="43"/>
        <v>89.630876001555791</v>
      </c>
      <c r="T204" s="55">
        <f t="shared" si="40"/>
        <v>100.12799999999999</v>
      </c>
      <c r="U204" s="55">
        <f t="shared" si="41"/>
        <v>73.115744837241863</v>
      </c>
      <c r="V204" s="55">
        <f t="shared" si="42"/>
        <v>66.103582808022907</v>
      </c>
      <c r="Z204" s="55">
        <f t="shared" si="45"/>
        <v>8148.2614546868917</v>
      </c>
      <c r="AA204" s="55">
        <f>0.85*I204*3002/2607+0.15*I204</f>
        <v>9102.545454545454</v>
      </c>
    </row>
    <row r="205" spans="1:27" s="4" customFormat="1">
      <c r="A205" s="5" t="s">
        <v>1361</v>
      </c>
      <c r="B205" s="5" t="s">
        <v>1050</v>
      </c>
      <c r="C205" s="56">
        <v>32</v>
      </c>
      <c r="D205" s="6">
        <v>6430</v>
      </c>
      <c r="E205" s="7" t="s">
        <v>1361</v>
      </c>
      <c r="F205" s="263" t="s">
        <v>1094</v>
      </c>
      <c r="G205" s="9" t="s">
        <v>437</v>
      </c>
      <c r="H205" s="55">
        <v>7507</v>
      </c>
      <c r="I205" s="55">
        <v>7507</v>
      </c>
      <c r="J205" s="55">
        <v>3802</v>
      </c>
      <c r="K205" s="55">
        <v>4455</v>
      </c>
      <c r="L205" s="66" t="s">
        <v>1226</v>
      </c>
      <c r="M205" s="261" t="s">
        <v>417</v>
      </c>
      <c r="N205" s="55">
        <f t="shared" si="34"/>
        <v>82.576999999999998</v>
      </c>
      <c r="O205" s="55">
        <f t="shared" si="37"/>
        <v>82.576999999999998</v>
      </c>
      <c r="P205" s="55">
        <f t="shared" si="38"/>
        <v>41.822000000000003</v>
      </c>
      <c r="Q205" s="55">
        <f t="shared" si="39"/>
        <v>49.005000000000003</v>
      </c>
      <c r="R205" s="243"/>
      <c r="S205" s="55">
        <f t="shared" si="43"/>
        <v>94.343660423959548</v>
      </c>
      <c r="T205" s="55">
        <f>S205</f>
        <v>94.343660423959548</v>
      </c>
      <c r="U205" s="55">
        <f t="shared" si="41"/>
        <v>43.62618673433672</v>
      </c>
      <c r="V205" s="55">
        <f t="shared" si="42"/>
        <v>43.180566189111744</v>
      </c>
      <c r="Z205" s="55">
        <f t="shared" si="45"/>
        <v>8576.6964021781405</v>
      </c>
      <c r="AA205" s="55">
        <f>Z205</f>
        <v>8576.6964021781405</v>
      </c>
    </row>
    <row r="206" spans="1:27" s="4" customFormat="1">
      <c r="A206" s="5" t="s">
        <v>1453</v>
      </c>
      <c r="B206" s="5" t="s">
        <v>1272</v>
      </c>
      <c r="C206" s="56">
        <v>8</v>
      </c>
      <c r="D206" s="6">
        <v>6430</v>
      </c>
      <c r="E206" s="7" t="s">
        <v>1453</v>
      </c>
      <c r="F206" s="263" t="s">
        <v>1094</v>
      </c>
      <c r="G206" s="9" t="s">
        <v>437</v>
      </c>
      <c r="H206" s="55">
        <v>807</v>
      </c>
      <c r="I206" s="55">
        <v>807</v>
      </c>
      <c r="J206" s="55">
        <v>1488</v>
      </c>
      <c r="K206" s="55">
        <v>1538</v>
      </c>
      <c r="L206" s="66" t="s">
        <v>1226</v>
      </c>
      <c r="M206" s="261" t="s">
        <v>417</v>
      </c>
      <c r="N206" s="55">
        <f t="shared" si="34"/>
        <v>8.8770000000000007</v>
      </c>
      <c r="O206" s="55">
        <f t="shared" si="37"/>
        <v>8.8770000000000007</v>
      </c>
      <c r="P206" s="55">
        <f t="shared" si="38"/>
        <v>16.367999999999999</v>
      </c>
      <c r="Q206" s="55">
        <f t="shared" si="39"/>
        <v>16.917999999999999</v>
      </c>
      <c r="R206" s="243"/>
      <c r="S206" s="55">
        <f t="shared" si="43"/>
        <v>10.141912077012837</v>
      </c>
      <c r="T206" s="55">
        <f t="shared" si="40"/>
        <v>10.020250000000001</v>
      </c>
      <c r="U206" s="55">
        <f t="shared" si="41"/>
        <v>17.074109905495273</v>
      </c>
      <c r="V206" s="55">
        <f t="shared" si="42"/>
        <v>14.907230257879652</v>
      </c>
      <c r="Z206" s="55">
        <f t="shared" si="45"/>
        <v>921.99200700116683</v>
      </c>
      <c r="AA206" s="55">
        <f>Z206</f>
        <v>921.99200700116683</v>
      </c>
    </row>
    <row r="207" spans="1:27" s="4" customFormat="1">
      <c r="A207" s="5" t="s">
        <v>1160</v>
      </c>
      <c r="B207" s="5" t="s">
        <v>189</v>
      </c>
      <c r="C207" s="56">
        <v>11</v>
      </c>
      <c r="D207" s="6">
        <v>6430</v>
      </c>
      <c r="E207" s="7" t="s">
        <v>1302</v>
      </c>
      <c r="F207" s="263" t="s">
        <v>1094</v>
      </c>
      <c r="G207" s="9" t="s">
        <v>677</v>
      </c>
      <c r="H207" s="55">
        <v>2181</v>
      </c>
      <c r="I207" s="55">
        <v>2855</v>
      </c>
      <c r="J207" s="55">
        <v>2475</v>
      </c>
      <c r="K207" s="55">
        <v>2601</v>
      </c>
      <c r="L207" s="66" t="s">
        <v>1226</v>
      </c>
      <c r="M207" s="261" t="s">
        <v>417</v>
      </c>
      <c r="N207" s="55">
        <f t="shared" si="34"/>
        <v>23.991</v>
      </c>
      <c r="O207" s="55">
        <f t="shared" si="37"/>
        <v>31.405000000000001</v>
      </c>
      <c r="P207" s="55">
        <f t="shared" si="38"/>
        <v>27.225000000000001</v>
      </c>
      <c r="Q207" s="55">
        <f t="shared" si="39"/>
        <v>28.611000000000001</v>
      </c>
      <c r="R207" s="243"/>
      <c r="S207" s="55">
        <f t="shared" si="43"/>
        <v>27.409554200700118</v>
      </c>
      <c r="T207" s="55">
        <f t="shared" si="40"/>
        <v>35.449583333333329</v>
      </c>
      <c r="U207" s="55">
        <f t="shared" si="41"/>
        <v>28.399477161358071</v>
      </c>
      <c r="V207" s="55">
        <f t="shared" si="42"/>
        <v>25.210471977077361</v>
      </c>
      <c r="Z207" s="55">
        <f t="shared" si="45"/>
        <v>2491.7776546091018</v>
      </c>
      <c r="AA207" s="55">
        <f>Z207</f>
        <v>2491.7776546091018</v>
      </c>
    </row>
    <row r="208" spans="1:27" s="4" customFormat="1">
      <c r="A208" s="5" t="s">
        <v>1160</v>
      </c>
      <c r="B208" s="5" t="s">
        <v>1290</v>
      </c>
      <c r="C208" s="56">
        <v>21</v>
      </c>
      <c r="D208" s="6">
        <v>6430</v>
      </c>
      <c r="E208" s="7" t="s">
        <v>1302</v>
      </c>
      <c r="F208" s="263" t="s">
        <v>1094</v>
      </c>
      <c r="G208" s="9" t="s">
        <v>677</v>
      </c>
      <c r="H208" s="55">
        <v>21428</v>
      </c>
      <c r="I208" s="55">
        <v>23710</v>
      </c>
      <c r="J208" s="55">
        <v>21365</v>
      </c>
      <c r="K208" s="55">
        <v>25527</v>
      </c>
      <c r="L208" s="66" t="s">
        <v>1226</v>
      </c>
      <c r="M208" s="261" t="s">
        <v>417</v>
      </c>
      <c r="N208" s="55">
        <f t="shared" si="34"/>
        <v>235.708</v>
      </c>
      <c r="O208" s="55">
        <f t="shared" si="37"/>
        <v>260.81</v>
      </c>
      <c r="P208" s="55">
        <f t="shared" si="38"/>
        <v>235.01499999999999</v>
      </c>
      <c r="Q208" s="55">
        <f t="shared" si="39"/>
        <v>280.79700000000003</v>
      </c>
      <c r="R208" s="243"/>
      <c r="S208" s="55">
        <f t="shared" si="43"/>
        <v>269.29478560871257</v>
      </c>
      <c r="T208" s="55">
        <f t="shared" si="40"/>
        <v>294.3991666666667</v>
      </c>
      <c r="U208" s="55">
        <f t="shared" si="41"/>
        <v>245.15346648582428</v>
      </c>
      <c r="V208" s="55">
        <f t="shared" si="42"/>
        <v>247.42319037249285</v>
      </c>
      <c r="Z208" s="55">
        <f t="shared" si="45"/>
        <v>24481.344146246596</v>
      </c>
      <c r="AA208" s="55">
        <f>Z208</f>
        <v>24481.344146246596</v>
      </c>
    </row>
    <row r="209" spans="1:27" s="4" customFormat="1" ht="13.5" customHeight="1">
      <c r="A209" s="5" t="s">
        <v>627</v>
      </c>
      <c r="B209" s="5" t="s">
        <v>715</v>
      </c>
      <c r="C209" s="56">
        <v>31</v>
      </c>
      <c r="D209" s="6">
        <v>6430</v>
      </c>
      <c r="E209" s="7" t="s">
        <v>1252</v>
      </c>
      <c r="F209" s="263" t="s">
        <v>1094</v>
      </c>
      <c r="G209" s="9" t="s">
        <v>437</v>
      </c>
      <c r="H209" s="55">
        <v>8356</v>
      </c>
      <c r="I209" s="55">
        <v>8356</v>
      </c>
      <c r="J209" s="55">
        <v>7296</v>
      </c>
      <c r="K209" s="55">
        <v>7681</v>
      </c>
      <c r="L209" s="66" t="s">
        <v>1226</v>
      </c>
      <c r="M209" s="261" t="s">
        <v>417</v>
      </c>
      <c r="N209" s="55">
        <f t="shared" si="34"/>
        <v>91.915999999999997</v>
      </c>
      <c r="O209" s="55">
        <f t="shared" si="37"/>
        <v>91.915999999999997</v>
      </c>
      <c r="P209" s="55">
        <f t="shared" si="38"/>
        <v>80.256</v>
      </c>
      <c r="Q209" s="55">
        <f t="shared" si="39"/>
        <v>84.491</v>
      </c>
      <c r="R209" s="243"/>
      <c r="S209" s="55">
        <f t="shared" si="43"/>
        <v>105.0134043562816</v>
      </c>
      <c r="T209" s="55">
        <f>S209</f>
        <v>105.0134043562816</v>
      </c>
      <c r="U209" s="55">
        <f t="shared" si="41"/>
        <v>83.718216310815549</v>
      </c>
      <c r="V209" s="55">
        <f t="shared" si="42"/>
        <v>74.448917822349571</v>
      </c>
      <c r="Z209" s="55">
        <f t="shared" si="45"/>
        <v>9546.6731232983275</v>
      </c>
      <c r="AA209" s="55">
        <f>0.85*I209*3002/2607+0.15*I209</f>
        <v>9432.1515151515141</v>
      </c>
    </row>
    <row r="210" spans="1:27" s="4" customFormat="1">
      <c r="A210" s="5" t="s">
        <v>1311</v>
      </c>
      <c r="B210" s="5" t="s">
        <v>764</v>
      </c>
      <c r="C210" s="56">
        <v>62</v>
      </c>
      <c r="D210" s="6">
        <v>6430</v>
      </c>
      <c r="E210" s="7" t="s">
        <v>1311</v>
      </c>
      <c r="F210" s="263" t="s">
        <v>1094</v>
      </c>
      <c r="G210" s="9" t="s">
        <v>677</v>
      </c>
      <c r="H210" s="55">
        <v>21960</v>
      </c>
      <c r="I210" s="55">
        <v>26276</v>
      </c>
      <c r="J210" s="55">
        <v>23143</v>
      </c>
      <c r="K210" s="55">
        <v>23972</v>
      </c>
      <c r="L210" s="66" t="s">
        <v>1226</v>
      </c>
      <c r="M210" s="261" t="s">
        <v>417</v>
      </c>
      <c r="N210" s="55">
        <f t="shared" si="34"/>
        <v>241.56</v>
      </c>
      <c r="O210" s="55">
        <f t="shared" si="37"/>
        <v>289.036</v>
      </c>
      <c r="P210" s="55">
        <f t="shared" si="38"/>
        <v>254.57300000000001</v>
      </c>
      <c r="Q210" s="55">
        <f t="shared" si="39"/>
        <v>263.69200000000001</v>
      </c>
      <c r="R210" s="243"/>
      <c r="S210" s="55">
        <f t="shared" si="43"/>
        <v>275.98065577596265</v>
      </c>
      <c r="T210" s="55">
        <f t="shared" si="40"/>
        <v>326.26033333333328</v>
      </c>
      <c r="U210" s="55">
        <f t="shared" si="41"/>
        <v>265.55519189709486</v>
      </c>
      <c r="V210" s="55">
        <f t="shared" si="42"/>
        <v>232.35118578796562</v>
      </c>
      <c r="Z210" s="55">
        <f t="shared" si="45"/>
        <v>25089.150525087516</v>
      </c>
      <c r="AA210" s="55">
        <f>Z210</f>
        <v>25089.150525087516</v>
      </c>
    </row>
    <row r="211" spans="1:27" s="4" customFormat="1">
      <c r="A211" s="5" t="s">
        <v>654</v>
      </c>
      <c r="B211" s="5" t="s">
        <v>1046</v>
      </c>
      <c r="C211" s="56">
        <v>32</v>
      </c>
      <c r="D211" s="6">
        <v>6440</v>
      </c>
      <c r="E211" s="7" t="s">
        <v>654</v>
      </c>
      <c r="F211" s="263" t="s">
        <v>1094</v>
      </c>
      <c r="G211" s="9" t="s">
        <v>673</v>
      </c>
      <c r="H211" s="55">
        <v>2584</v>
      </c>
      <c r="I211" s="55">
        <v>2845</v>
      </c>
      <c r="J211" s="55">
        <v>3356</v>
      </c>
      <c r="K211" s="55">
        <v>3370</v>
      </c>
      <c r="L211" s="66" t="s">
        <v>1226</v>
      </c>
      <c r="M211" s="261" t="s">
        <v>417</v>
      </c>
      <c r="N211" s="55">
        <f t="shared" si="34"/>
        <v>28.423999999999999</v>
      </c>
      <c r="O211" s="55">
        <f t="shared" si="37"/>
        <v>31.295000000000002</v>
      </c>
      <c r="P211" s="55">
        <f t="shared" si="38"/>
        <v>36.915999999999997</v>
      </c>
      <c r="Q211" s="55">
        <f t="shared" si="39"/>
        <v>37.07</v>
      </c>
      <c r="R211" s="243"/>
      <c r="S211" s="55">
        <f t="shared" si="43"/>
        <v>32.474226526643328</v>
      </c>
      <c r="T211" s="55">
        <f t="shared" si="40"/>
        <v>35.325416666666669</v>
      </c>
      <c r="U211" s="55">
        <f t="shared" si="41"/>
        <v>38.508543577178855</v>
      </c>
      <c r="V211" s="55">
        <f t="shared" si="42"/>
        <v>32.664087106017192</v>
      </c>
      <c r="Z211" s="55">
        <f t="shared" si="45"/>
        <v>2952.2024115130298</v>
      </c>
      <c r="AA211" s="55">
        <f>Z211</f>
        <v>2952.2024115130298</v>
      </c>
    </row>
    <row r="212" spans="1:27" s="4" customFormat="1">
      <c r="A212" s="5" t="s">
        <v>1359</v>
      </c>
      <c r="B212" s="5" t="s">
        <v>1293</v>
      </c>
      <c r="C212" s="56">
        <v>20</v>
      </c>
      <c r="D212" s="6">
        <v>6440</v>
      </c>
      <c r="E212" s="7" t="s">
        <v>1359</v>
      </c>
      <c r="F212" s="263" t="s">
        <v>1094</v>
      </c>
      <c r="G212" s="9" t="s">
        <v>682</v>
      </c>
      <c r="H212" s="55">
        <v>153</v>
      </c>
      <c r="I212" s="55">
        <v>157</v>
      </c>
      <c r="J212" s="55">
        <v>9277</v>
      </c>
      <c r="K212" s="55">
        <v>10826</v>
      </c>
      <c r="L212" s="66" t="s">
        <v>1226</v>
      </c>
      <c r="M212" s="261" t="s">
        <v>417</v>
      </c>
      <c r="N212" s="55">
        <f t="shared" si="34"/>
        <v>1.6830000000000001</v>
      </c>
      <c r="O212" s="55">
        <f t="shared" si="37"/>
        <v>1.7270000000000001</v>
      </c>
      <c r="P212" s="55">
        <f t="shared" si="38"/>
        <v>102.047</v>
      </c>
      <c r="Q212" s="55">
        <f t="shared" si="39"/>
        <v>119.086</v>
      </c>
      <c r="R212" s="243"/>
      <c r="S212" s="55">
        <f t="shared" si="43"/>
        <v>1.9228160443407234</v>
      </c>
      <c r="T212" s="55">
        <f t="shared" si="40"/>
        <v>1.9494166666666668</v>
      </c>
      <c r="U212" s="55">
        <f t="shared" si="41"/>
        <v>106.44927257612881</v>
      </c>
      <c r="V212" s="55">
        <f t="shared" si="42"/>
        <v>104.93216825214898</v>
      </c>
      <c r="Z212" s="55">
        <f t="shared" si="45"/>
        <v>174.80145857642938</v>
      </c>
      <c r="AA212" s="55">
        <f>0.85*I212*3002/2607+0.15*I212</f>
        <v>177.21969696969697</v>
      </c>
    </row>
    <row r="213" spans="1:27" s="4" customFormat="1">
      <c r="A213" s="5" t="s">
        <v>610</v>
      </c>
      <c r="B213" s="5" t="s">
        <v>778</v>
      </c>
      <c r="C213" s="56">
        <v>96</v>
      </c>
      <c r="D213" s="6">
        <v>6440</v>
      </c>
      <c r="E213" s="7" t="s">
        <v>610</v>
      </c>
      <c r="F213" s="263" t="s">
        <v>1094</v>
      </c>
      <c r="G213" s="9" t="s">
        <v>677</v>
      </c>
      <c r="H213" s="55">
        <v>77032</v>
      </c>
      <c r="I213" s="55">
        <v>77032</v>
      </c>
      <c r="J213" s="55">
        <f>3263+78864+1979</f>
        <v>84106</v>
      </c>
      <c r="K213" s="55">
        <f>3347+78864+1979</f>
        <v>84190</v>
      </c>
      <c r="L213" s="66" t="s">
        <v>1226</v>
      </c>
      <c r="M213" s="261" t="s">
        <v>417</v>
      </c>
      <c r="N213" s="55">
        <f t="shared" si="34"/>
        <v>847.35199999999998</v>
      </c>
      <c r="O213" s="55">
        <f t="shared" si="37"/>
        <v>847.35199999999998</v>
      </c>
      <c r="P213" s="55">
        <f t="shared" si="38"/>
        <v>925.16600000000005</v>
      </c>
      <c r="Q213" s="55">
        <f t="shared" si="39"/>
        <v>926.09</v>
      </c>
      <c r="R213" s="243"/>
      <c r="S213" s="55">
        <f t="shared" si="43"/>
        <v>968.09389233761181</v>
      </c>
      <c r="T213" s="55">
        <f>S213</f>
        <v>968.09389233761181</v>
      </c>
      <c r="U213" s="55">
        <f t="shared" si="41"/>
        <v>965.07734389219468</v>
      </c>
      <c r="V213" s="55">
        <f t="shared" si="42"/>
        <v>816.0206212034384</v>
      </c>
      <c r="Z213" s="55">
        <f t="shared" si="45"/>
        <v>88008.535667055621</v>
      </c>
      <c r="AA213" s="55">
        <f>Z213</f>
        <v>88008.535667055621</v>
      </c>
    </row>
    <row r="214" spans="1:27" s="4" customFormat="1">
      <c r="A214" s="5" t="s">
        <v>408</v>
      </c>
      <c r="B214" s="5" t="s">
        <v>778</v>
      </c>
      <c r="C214" s="56">
        <v>98</v>
      </c>
      <c r="D214" s="6">
        <v>6440</v>
      </c>
      <c r="E214" s="7" t="s">
        <v>608</v>
      </c>
      <c r="F214" s="263" t="s">
        <v>1094</v>
      </c>
      <c r="G214" s="9" t="s">
        <v>679</v>
      </c>
      <c r="H214" s="55">
        <v>2768</v>
      </c>
      <c r="I214" s="55">
        <v>2768</v>
      </c>
      <c r="J214" s="55">
        <v>2627</v>
      </c>
      <c r="K214" s="55">
        <v>3284</v>
      </c>
      <c r="L214" s="66" t="s">
        <v>1226</v>
      </c>
      <c r="M214" s="261" t="s">
        <v>417</v>
      </c>
      <c r="N214" s="55">
        <f t="shared" si="34"/>
        <v>30.448</v>
      </c>
      <c r="O214" s="55">
        <f t="shared" si="37"/>
        <v>30.448</v>
      </c>
      <c r="P214" s="55">
        <f t="shared" si="38"/>
        <v>28.896999999999998</v>
      </c>
      <c r="Q214" s="55">
        <f t="shared" si="39"/>
        <v>36.124000000000002</v>
      </c>
      <c r="R214" s="243"/>
      <c r="S214" s="55">
        <f t="shared" si="43"/>
        <v>34.786632749902765</v>
      </c>
      <c r="T214" s="55">
        <f>S214</f>
        <v>34.786632749902765</v>
      </c>
      <c r="U214" s="55">
        <f t="shared" si="41"/>
        <v>30.143606667833392</v>
      </c>
      <c r="V214" s="55">
        <f t="shared" si="42"/>
        <v>31.830522865329513</v>
      </c>
      <c r="Z214" s="55">
        <f t="shared" si="45"/>
        <v>3162.4211590820687</v>
      </c>
      <c r="AA214" s="55">
        <f>Z214</f>
        <v>3162.4211590820687</v>
      </c>
    </row>
    <row r="215" spans="1:27" s="4" customFormat="1">
      <c r="A215" s="5" t="s">
        <v>153</v>
      </c>
      <c r="B215" s="5" t="s">
        <v>778</v>
      </c>
      <c r="C215" s="56">
        <v>94</v>
      </c>
      <c r="D215" s="6">
        <v>6440</v>
      </c>
      <c r="E215" s="7" t="s">
        <v>153</v>
      </c>
      <c r="F215" s="263" t="s">
        <v>1094</v>
      </c>
      <c r="G215" s="9" t="s">
        <v>677</v>
      </c>
      <c r="H215" s="55">
        <v>1931</v>
      </c>
      <c r="I215" s="55">
        <v>1931</v>
      </c>
      <c r="J215" s="55">
        <v>2358</v>
      </c>
      <c r="K215" s="55">
        <v>2481</v>
      </c>
      <c r="L215" s="66" t="s">
        <v>1226</v>
      </c>
      <c r="M215" s="261" t="s">
        <v>417</v>
      </c>
      <c r="N215" s="55">
        <f t="shared" si="34"/>
        <v>21.241</v>
      </c>
      <c r="O215" s="55">
        <f t="shared" si="37"/>
        <v>21.241</v>
      </c>
      <c r="P215" s="55">
        <f t="shared" si="38"/>
        <v>25.937999999999999</v>
      </c>
      <c r="Q215" s="55">
        <f t="shared" si="39"/>
        <v>27.291</v>
      </c>
      <c r="R215" s="243"/>
      <c r="S215" s="55">
        <f t="shared" si="43"/>
        <v>24.267697919097628</v>
      </c>
      <c r="T215" s="55">
        <f>S215</f>
        <v>24.267697919097628</v>
      </c>
      <c r="U215" s="55">
        <f t="shared" si="41"/>
        <v>27.056956422821141</v>
      </c>
      <c r="V215" s="55">
        <f t="shared" si="42"/>
        <v>24.047359083094555</v>
      </c>
      <c r="Z215" s="55">
        <f t="shared" si="45"/>
        <v>2206.1543562816028</v>
      </c>
      <c r="AA215" s="55">
        <f>Z215</f>
        <v>2206.1543562816028</v>
      </c>
    </row>
    <row r="216" spans="1:27" s="4" customFormat="1">
      <c r="A216" s="5" t="s">
        <v>1373</v>
      </c>
      <c r="B216" s="5" t="s">
        <v>1340</v>
      </c>
      <c r="C216" s="56">
        <v>14</v>
      </c>
      <c r="D216" s="6">
        <v>6470</v>
      </c>
      <c r="E216" s="7" t="s">
        <v>1374</v>
      </c>
      <c r="F216" s="263" t="s">
        <v>1094</v>
      </c>
      <c r="G216" s="9" t="s">
        <v>676</v>
      </c>
      <c r="H216" s="55">
        <v>1031</v>
      </c>
      <c r="I216" s="55">
        <v>1031</v>
      </c>
      <c r="J216" s="55">
        <v>1925</v>
      </c>
      <c r="K216" s="55">
        <v>2806</v>
      </c>
      <c r="L216" s="66" t="s">
        <v>1226</v>
      </c>
      <c r="M216" s="261" t="s">
        <v>417</v>
      </c>
      <c r="N216" s="55">
        <f t="shared" si="34"/>
        <v>11.340999999999999</v>
      </c>
      <c r="O216" s="55">
        <f t="shared" si="37"/>
        <v>11.340999999999999</v>
      </c>
      <c r="P216" s="55">
        <f t="shared" si="38"/>
        <v>21.175000000000001</v>
      </c>
      <c r="Q216" s="55">
        <f t="shared" si="39"/>
        <v>30.866</v>
      </c>
      <c r="R216" s="243"/>
      <c r="S216" s="55">
        <f t="shared" si="43"/>
        <v>12.957015305328666</v>
      </c>
      <c r="T216" s="55">
        <f>S216</f>
        <v>12.957015305328666</v>
      </c>
      <c r="U216" s="55">
        <f t="shared" si="41"/>
        <v>22.088482236611831</v>
      </c>
      <c r="V216" s="55">
        <f t="shared" si="42"/>
        <v>27.197456504297993</v>
      </c>
      <c r="Z216" s="55">
        <f t="shared" si="45"/>
        <v>1177.9104823026062</v>
      </c>
      <c r="AA216" s="55">
        <f>Z216</f>
        <v>1177.9104823026062</v>
      </c>
    </row>
    <row r="217" spans="1:27" s="4" customFormat="1">
      <c r="A217" s="5" t="s">
        <v>644</v>
      </c>
      <c r="B217" s="5" t="s">
        <v>1049</v>
      </c>
      <c r="C217" s="139">
        <v>1</v>
      </c>
      <c r="D217" s="6">
        <v>6470</v>
      </c>
      <c r="E217" s="7"/>
      <c r="F217" s="263" t="s">
        <v>1094</v>
      </c>
      <c r="G217" s="9" t="s">
        <v>676</v>
      </c>
      <c r="H217" s="55"/>
      <c r="I217" s="55"/>
      <c r="J217" s="55">
        <v>8749</v>
      </c>
      <c r="K217" s="55">
        <v>12002</v>
      </c>
      <c r="L217" s="66" t="s">
        <v>1226</v>
      </c>
      <c r="M217" s="261" t="s">
        <v>417</v>
      </c>
      <c r="N217" s="55">
        <f t="shared" si="34"/>
        <v>0</v>
      </c>
      <c r="O217" s="55">
        <f t="shared" si="37"/>
        <v>0</v>
      </c>
      <c r="P217" s="55">
        <f t="shared" si="38"/>
        <v>96.239000000000004</v>
      </c>
      <c r="Q217" s="55">
        <f t="shared" si="39"/>
        <v>132.02199999999999</v>
      </c>
      <c r="R217" s="243"/>
      <c r="S217" s="55">
        <f t="shared" si="43"/>
        <v>0</v>
      </c>
      <c r="T217" s="55">
        <f t="shared" si="40"/>
        <v>0</v>
      </c>
      <c r="U217" s="55">
        <f t="shared" si="41"/>
        <v>100.39071744837243</v>
      </c>
      <c r="V217" s="55">
        <f t="shared" si="42"/>
        <v>116.33067461318049</v>
      </c>
      <c r="Z217" s="55">
        <v>7918</v>
      </c>
      <c r="AA217" s="55">
        <v>8036</v>
      </c>
    </row>
    <row r="218" spans="1:27" s="66" customFormat="1">
      <c r="A218" s="133" t="s">
        <v>641</v>
      </c>
      <c r="B218" s="133" t="s">
        <v>802</v>
      </c>
      <c r="C218" s="135">
        <v>21</v>
      </c>
      <c r="D218" s="136">
        <v>6430</v>
      </c>
      <c r="E218" s="137" t="s">
        <v>694</v>
      </c>
      <c r="F218" s="264" t="s">
        <v>1094</v>
      </c>
      <c r="G218" s="138" t="s">
        <v>437</v>
      </c>
      <c r="H218" s="140"/>
      <c r="I218" s="140"/>
      <c r="J218" s="140">
        <v>7245</v>
      </c>
      <c r="K218" s="140">
        <v>8838</v>
      </c>
      <c r="L218" s="66" t="s">
        <v>1226</v>
      </c>
      <c r="M218" s="261" t="s">
        <v>417</v>
      </c>
      <c r="N218" s="55">
        <f t="shared" si="34"/>
        <v>0</v>
      </c>
      <c r="O218" s="55">
        <f t="shared" si="37"/>
        <v>0</v>
      </c>
      <c r="P218" s="55">
        <f t="shared" si="38"/>
        <v>79.694999999999993</v>
      </c>
      <c r="Q218" s="55">
        <f t="shared" si="39"/>
        <v>97.218000000000004</v>
      </c>
      <c r="R218" s="243"/>
      <c r="S218" s="55">
        <f t="shared" si="43"/>
        <v>0</v>
      </c>
      <c r="T218" s="55">
        <f t="shared" si="40"/>
        <v>0</v>
      </c>
      <c r="U218" s="55">
        <f t="shared" si="41"/>
        <v>83.133014963248158</v>
      </c>
      <c r="V218" s="55">
        <f t="shared" si="42"/>
        <v>85.663264641833806</v>
      </c>
      <c r="Z218" s="140">
        <v>5484</v>
      </c>
      <c r="AA218" s="140">
        <v>6572</v>
      </c>
    </row>
    <row r="219" spans="1:27" s="4" customFormat="1">
      <c r="A219" s="5" t="s">
        <v>938</v>
      </c>
      <c r="B219" s="5" t="s">
        <v>1291</v>
      </c>
      <c r="C219" s="139">
        <v>1</v>
      </c>
      <c r="D219" s="6">
        <v>6440</v>
      </c>
      <c r="E219" s="7"/>
      <c r="F219" s="263" t="s">
        <v>1094</v>
      </c>
      <c r="G219" s="9" t="s">
        <v>676</v>
      </c>
      <c r="H219" s="55">
        <v>3115</v>
      </c>
      <c r="I219" s="55">
        <v>3595</v>
      </c>
      <c r="J219" s="55">
        <v>4135</v>
      </c>
      <c r="K219" s="55">
        <v>4741</v>
      </c>
      <c r="L219" s="66" t="s">
        <v>1226</v>
      </c>
      <c r="M219" s="261" t="s">
        <v>417</v>
      </c>
      <c r="N219" s="55">
        <f t="shared" ref="N219:N240" si="46">11*H219/1000</f>
        <v>34.265000000000001</v>
      </c>
      <c r="O219" s="55">
        <f t="shared" si="37"/>
        <v>39.545000000000002</v>
      </c>
      <c r="P219" s="55">
        <f t="shared" si="38"/>
        <v>45.484999999999999</v>
      </c>
      <c r="Q219" s="55">
        <f t="shared" si="39"/>
        <v>52.151000000000003</v>
      </c>
      <c r="R219" s="243"/>
      <c r="S219" s="55">
        <f t="shared" si="43"/>
        <v>39.147529268767016</v>
      </c>
      <c r="T219" s="55">
        <f t="shared" si="40"/>
        <v>44.637916666666669</v>
      </c>
      <c r="U219" s="55">
        <f t="shared" si="41"/>
        <v>47.447207297864892</v>
      </c>
      <c r="V219" s="55">
        <f t="shared" si="42"/>
        <v>45.952651919770773</v>
      </c>
      <c r="Z219" s="55">
        <v>2729</v>
      </c>
      <c r="AA219" s="55">
        <v>3329</v>
      </c>
    </row>
    <row r="220" spans="1:27" s="4" customFormat="1">
      <c r="A220" s="5" t="s">
        <v>964</v>
      </c>
      <c r="B220" s="5" t="s">
        <v>1340</v>
      </c>
      <c r="C220" s="139">
        <v>44</v>
      </c>
      <c r="D220" s="6">
        <v>6470</v>
      </c>
      <c r="E220" s="7"/>
      <c r="F220" s="263" t="s">
        <v>1094</v>
      </c>
      <c r="G220" s="9" t="s">
        <v>680</v>
      </c>
      <c r="H220" s="55">
        <v>206479</v>
      </c>
      <c r="I220" s="55">
        <v>206479</v>
      </c>
      <c r="J220" s="55">
        <v>205634</v>
      </c>
      <c r="K220" s="55">
        <v>211687</v>
      </c>
      <c r="L220" s="66" t="s">
        <v>1226</v>
      </c>
      <c r="M220" s="261" t="s">
        <v>417</v>
      </c>
      <c r="N220" s="55">
        <f t="shared" si="46"/>
        <v>2271.2689999999998</v>
      </c>
      <c r="O220" s="55">
        <f t="shared" si="37"/>
        <v>2271.2689999999998</v>
      </c>
      <c r="P220" s="55">
        <f t="shared" si="38"/>
        <v>2261.9740000000002</v>
      </c>
      <c r="Q220" s="55">
        <f t="shared" si="39"/>
        <v>2328.5569999999998</v>
      </c>
      <c r="R220" s="243"/>
      <c r="S220" s="55">
        <f t="shared" si="43"/>
        <v>2594.9093726760011</v>
      </c>
      <c r="T220" s="55">
        <f>S220</f>
        <v>2594.9093726760011</v>
      </c>
      <c r="U220" s="55">
        <f t="shared" si="41"/>
        <v>2359.5547824641235</v>
      </c>
      <c r="V220" s="55">
        <f t="shared" si="42"/>
        <v>2051.7989932378218</v>
      </c>
      <c r="Z220" s="55">
        <v>196774</v>
      </c>
      <c r="AA220" s="55">
        <v>206561</v>
      </c>
    </row>
    <row r="221" spans="1:27" s="4" customFormat="1">
      <c r="A221" s="5" t="s">
        <v>965</v>
      </c>
      <c r="B221" s="5" t="s">
        <v>640</v>
      </c>
      <c r="C221" s="139">
        <v>9</v>
      </c>
      <c r="D221" s="6"/>
      <c r="E221" s="7"/>
      <c r="F221" s="263" t="s">
        <v>1094</v>
      </c>
      <c r="G221" s="9" t="s">
        <v>436</v>
      </c>
      <c r="H221" s="55">
        <v>23730</v>
      </c>
      <c r="I221" s="55">
        <v>24904</v>
      </c>
      <c r="J221" s="55">
        <f>2643+23206</f>
        <v>25849</v>
      </c>
      <c r="K221" s="55">
        <f>2738+25966</f>
        <v>28704</v>
      </c>
      <c r="L221" s="66" t="s">
        <v>1226</v>
      </c>
      <c r="M221" s="261" t="s">
        <v>417</v>
      </c>
      <c r="N221" s="55">
        <f t="shared" si="46"/>
        <v>261.02999999999997</v>
      </c>
      <c r="O221" s="55">
        <f t="shared" si="37"/>
        <v>273.94400000000002</v>
      </c>
      <c r="P221" s="55">
        <f t="shared" si="38"/>
        <v>284.339</v>
      </c>
      <c r="Q221" s="55">
        <f t="shared" si="39"/>
        <v>315.74400000000003</v>
      </c>
      <c r="R221" s="243"/>
      <c r="S221" s="55">
        <f t="shared" si="43"/>
        <v>298.22499824970822</v>
      </c>
      <c r="T221" s="55">
        <f t="shared" si="40"/>
        <v>309.22466666666662</v>
      </c>
      <c r="U221" s="55">
        <f t="shared" si="41"/>
        <v>296.6052869268463</v>
      </c>
      <c r="V221" s="55">
        <f t="shared" si="42"/>
        <v>278.21660424068767</v>
      </c>
      <c r="Z221" s="55">
        <f>2157+18479</f>
        <v>20636</v>
      </c>
      <c r="AA221" s="55">
        <f>2875+24015</f>
        <v>26890</v>
      </c>
    </row>
    <row r="222" spans="1:27" s="4" customFormat="1">
      <c r="A222" s="5" t="s">
        <v>1422</v>
      </c>
      <c r="B222" s="5" t="s">
        <v>606</v>
      </c>
      <c r="C222" s="139">
        <v>12</v>
      </c>
      <c r="D222" s="6"/>
      <c r="E222" s="7"/>
      <c r="F222" s="263" t="s">
        <v>1094</v>
      </c>
      <c r="G222" s="9" t="s">
        <v>682</v>
      </c>
      <c r="H222" s="55">
        <v>20112</v>
      </c>
      <c r="I222" s="55">
        <v>16748</v>
      </c>
      <c r="J222" s="55">
        <f>15319+633</f>
        <v>15952</v>
      </c>
      <c r="K222" s="55">
        <f>17100+2068</f>
        <v>19168</v>
      </c>
      <c r="L222" s="66" t="s">
        <v>1226</v>
      </c>
      <c r="M222" s="261" t="s">
        <v>417</v>
      </c>
      <c r="N222" s="55">
        <f t="shared" si="46"/>
        <v>221.232</v>
      </c>
      <c r="O222" s="55">
        <f t="shared" si="37"/>
        <v>184.22800000000001</v>
      </c>
      <c r="P222" s="55">
        <f t="shared" si="38"/>
        <v>175.47200000000001</v>
      </c>
      <c r="Q222" s="55">
        <f t="shared" si="39"/>
        <v>210.84800000000001</v>
      </c>
      <c r="R222" s="243"/>
      <c r="S222" s="55">
        <f t="shared" si="43"/>
        <v>252.75605414235704</v>
      </c>
      <c r="T222" s="55">
        <f t="shared" si="40"/>
        <v>207.95433333333332</v>
      </c>
      <c r="U222" s="55">
        <f t="shared" si="41"/>
        <v>183.04180189009452</v>
      </c>
      <c r="V222" s="55">
        <f t="shared" si="42"/>
        <v>185.78789959885387</v>
      </c>
      <c r="Z222" s="55">
        <v>16084</v>
      </c>
      <c r="AA222" s="55">
        <v>20685</v>
      </c>
    </row>
    <row r="223" spans="1:27" s="4" customFormat="1">
      <c r="A223" s="5" t="s">
        <v>966</v>
      </c>
      <c r="B223" s="5" t="s">
        <v>449</v>
      </c>
      <c r="C223" s="139">
        <v>22</v>
      </c>
      <c r="D223" s="6"/>
      <c r="E223" s="7"/>
      <c r="F223" s="263" t="s">
        <v>1094</v>
      </c>
      <c r="G223" s="9" t="s">
        <v>676</v>
      </c>
      <c r="H223" s="55">
        <v>871</v>
      </c>
      <c r="I223" s="55">
        <v>951</v>
      </c>
      <c r="J223" s="55">
        <v>633</v>
      </c>
      <c r="K223" s="55">
        <v>2068</v>
      </c>
      <c r="L223" s="66" t="s">
        <v>1226</v>
      </c>
      <c r="M223" s="261" t="s">
        <v>417</v>
      </c>
      <c r="N223" s="55">
        <f t="shared" si="46"/>
        <v>9.5809999999999995</v>
      </c>
      <c r="O223" s="55">
        <f t="shared" si="37"/>
        <v>10.461</v>
      </c>
      <c r="P223" s="55">
        <f t="shared" si="38"/>
        <v>6.9630000000000001</v>
      </c>
      <c r="Q223" s="55">
        <f t="shared" si="39"/>
        <v>22.748000000000001</v>
      </c>
      <c r="R223" s="243"/>
      <c r="S223" s="55">
        <f t="shared" si="43"/>
        <v>10.94622728510307</v>
      </c>
      <c r="T223" s="55">
        <f t="shared" si="40"/>
        <v>11.808249999999999</v>
      </c>
      <c r="U223" s="55">
        <f t="shared" si="41"/>
        <v>7.2633814315715792</v>
      </c>
      <c r="V223" s="55">
        <f t="shared" si="42"/>
        <v>20.044312206303722</v>
      </c>
      <c r="Z223" s="55">
        <v>726</v>
      </c>
      <c r="AA223" s="55">
        <v>899</v>
      </c>
    </row>
    <row r="224" spans="1:27" s="4" customFormat="1">
      <c r="A224" s="5" t="s">
        <v>967</v>
      </c>
      <c r="B224" s="5" t="s">
        <v>1063</v>
      </c>
      <c r="C224" s="139">
        <v>4</v>
      </c>
      <c r="D224" s="6">
        <v>6430</v>
      </c>
      <c r="E224" s="7"/>
      <c r="F224" s="263" t="s">
        <v>1094</v>
      </c>
      <c r="G224" s="9" t="s">
        <v>437</v>
      </c>
      <c r="H224" s="55">
        <v>2941</v>
      </c>
      <c r="I224" s="55">
        <v>3279</v>
      </c>
      <c r="J224" s="55">
        <v>2988</v>
      </c>
      <c r="K224" s="55">
        <v>3568</v>
      </c>
      <c r="L224" s="66" t="s">
        <v>1226</v>
      </c>
      <c r="M224" s="261" t="s">
        <v>417</v>
      </c>
      <c r="N224" s="55">
        <f t="shared" si="46"/>
        <v>32.350999999999999</v>
      </c>
      <c r="O224" s="55">
        <f t="shared" si="37"/>
        <v>36.069000000000003</v>
      </c>
      <c r="P224" s="55">
        <f t="shared" si="38"/>
        <v>32.868000000000002</v>
      </c>
      <c r="Q224" s="55">
        <f t="shared" si="39"/>
        <v>39.247999999999998</v>
      </c>
      <c r="R224" s="243"/>
      <c r="S224" s="55">
        <f t="shared" si="43"/>
        <v>36.96079729677168</v>
      </c>
      <c r="T224" s="55">
        <f t="shared" si="40"/>
        <v>40.71425</v>
      </c>
      <c r="U224" s="55">
        <f t="shared" si="41"/>
        <v>34.285914245712284</v>
      </c>
      <c r="V224" s="55">
        <f t="shared" si="42"/>
        <v>34.583223381088821</v>
      </c>
      <c r="Z224" s="55">
        <v>2377</v>
      </c>
      <c r="AA224" s="55">
        <v>3078</v>
      </c>
    </row>
    <row r="225" spans="1:27" s="4" customFormat="1">
      <c r="A225" s="5" t="s">
        <v>968</v>
      </c>
      <c r="B225" s="5" t="s">
        <v>1271</v>
      </c>
      <c r="C225" s="139">
        <v>4</v>
      </c>
      <c r="D225" s="6">
        <v>6430</v>
      </c>
      <c r="E225" s="7" t="s">
        <v>969</v>
      </c>
      <c r="F225" s="263" t="s">
        <v>1094</v>
      </c>
      <c r="G225" s="9" t="s">
        <v>437</v>
      </c>
      <c r="H225" s="55">
        <v>4354</v>
      </c>
      <c r="I225" s="55">
        <v>4354</v>
      </c>
      <c r="J225" s="55">
        <v>3715</v>
      </c>
      <c r="K225" s="55">
        <v>3676</v>
      </c>
      <c r="L225" s="66" t="s">
        <v>1226</v>
      </c>
      <c r="M225" s="261" t="s">
        <v>417</v>
      </c>
      <c r="N225" s="55">
        <f t="shared" si="46"/>
        <v>47.893999999999998</v>
      </c>
      <c r="O225" s="55">
        <f t="shared" si="37"/>
        <v>47.893999999999998</v>
      </c>
      <c r="P225" s="55">
        <f t="shared" si="38"/>
        <v>40.865000000000002</v>
      </c>
      <c r="Q225" s="55">
        <f t="shared" si="39"/>
        <v>40.436</v>
      </c>
      <c r="R225" s="243"/>
      <c r="S225" s="55">
        <f t="shared" si="43"/>
        <v>54.718569000388953</v>
      </c>
      <c r="T225" s="55">
        <f t="shared" si="40"/>
        <v>54.062166666666663</v>
      </c>
      <c r="U225" s="55">
        <f t="shared" si="41"/>
        <v>42.62790208260413</v>
      </c>
      <c r="V225" s="55">
        <f t="shared" si="42"/>
        <v>35.630024985673344</v>
      </c>
      <c r="Z225" s="55">
        <v>2452</v>
      </c>
      <c r="AA225" s="55">
        <v>3472</v>
      </c>
    </row>
    <row r="226" spans="1:27" s="4" customFormat="1">
      <c r="A226" s="5" t="s">
        <v>970</v>
      </c>
      <c r="B226" s="5" t="s">
        <v>714</v>
      </c>
      <c r="C226" s="56" t="s">
        <v>1424</v>
      </c>
      <c r="D226" s="6">
        <v>6310</v>
      </c>
      <c r="E226" s="7" t="s">
        <v>917</v>
      </c>
      <c r="F226" s="263" t="s">
        <v>1094</v>
      </c>
      <c r="G226" s="9" t="s">
        <v>676</v>
      </c>
      <c r="H226" s="55">
        <v>7509</v>
      </c>
      <c r="I226" s="55">
        <v>7509</v>
      </c>
      <c r="J226" s="55">
        <v>7509</v>
      </c>
      <c r="K226" s="55">
        <v>9023</v>
      </c>
      <c r="L226" s="66" t="s">
        <v>1226</v>
      </c>
      <c r="M226" s="261" t="s">
        <v>417</v>
      </c>
      <c r="N226" s="55">
        <f t="shared" si="46"/>
        <v>82.599000000000004</v>
      </c>
      <c r="O226" s="55">
        <f t="shared" si="37"/>
        <v>82.599000000000004</v>
      </c>
      <c r="P226" s="55">
        <f t="shared" si="38"/>
        <v>82.599000000000004</v>
      </c>
      <c r="Q226" s="55">
        <f t="shared" si="39"/>
        <v>99.253</v>
      </c>
      <c r="R226" s="243"/>
      <c r="S226" s="55">
        <f t="shared" si="43"/>
        <v>94.368795274212374</v>
      </c>
      <c r="T226" s="55">
        <f>S226</f>
        <v>94.368795274212374</v>
      </c>
      <c r="U226" s="55">
        <f t="shared" si="41"/>
        <v>86.162292527126368</v>
      </c>
      <c r="V226" s="55">
        <f t="shared" si="42"/>
        <v>87.456397020057295</v>
      </c>
      <c r="Z226" s="55">
        <v>6273</v>
      </c>
      <c r="AA226" s="55">
        <v>7348</v>
      </c>
    </row>
    <row r="227" spans="1:27" s="4" customFormat="1">
      <c r="A227" s="5" t="s">
        <v>1394</v>
      </c>
      <c r="B227" s="5" t="s">
        <v>1448</v>
      </c>
      <c r="C227" s="139">
        <v>23</v>
      </c>
      <c r="D227" s="6">
        <v>6400</v>
      </c>
      <c r="E227" s="7"/>
      <c r="F227" s="263" t="s">
        <v>1094</v>
      </c>
      <c r="G227" s="9" t="s">
        <v>682</v>
      </c>
      <c r="H227" s="55">
        <v>2983</v>
      </c>
      <c r="I227" s="55">
        <v>2983</v>
      </c>
      <c r="J227" s="55">
        <v>2983</v>
      </c>
      <c r="K227" s="55">
        <v>3744</v>
      </c>
      <c r="L227" s="66" t="s">
        <v>1226</v>
      </c>
      <c r="M227" s="261" t="s">
        <v>417</v>
      </c>
      <c r="N227" s="55">
        <f t="shared" si="46"/>
        <v>32.813000000000002</v>
      </c>
      <c r="O227" s="55">
        <f t="shared" si="37"/>
        <v>32.813000000000002</v>
      </c>
      <c r="P227" s="55">
        <f t="shared" si="38"/>
        <v>32.813000000000002</v>
      </c>
      <c r="Q227" s="55">
        <f t="shared" si="39"/>
        <v>41.183999999999997</v>
      </c>
      <c r="R227" s="243"/>
      <c r="S227" s="55">
        <f t="shared" si="43"/>
        <v>37.488629152080904</v>
      </c>
      <c r="T227" s="55">
        <f>S227</f>
        <v>37.488629152080904</v>
      </c>
      <c r="U227" s="55">
        <f t="shared" si="41"/>
        <v>34.228541564578229</v>
      </c>
      <c r="V227" s="55">
        <f t="shared" si="42"/>
        <v>36.289122292263606</v>
      </c>
      <c r="Z227" s="55">
        <v>2959</v>
      </c>
      <c r="AA227" s="55">
        <v>3176</v>
      </c>
    </row>
    <row r="228" spans="1:27" s="4" customFormat="1">
      <c r="A228" s="5" t="s">
        <v>1423</v>
      </c>
      <c r="B228" s="5" t="s">
        <v>971</v>
      </c>
      <c r="C228" s="56" t="s">
        <v>972</v>
      </c>
      <c r="D228" s="6">
        <v>6400</v>
      </c>
      <c r="E228" s="7" t="s">
        <v>434</v>
      </c>
      <c r="F228" s="263" t="s">
        <v>1094</v>
      </c>
      <c r="G228" s="9" t="s">
        <v>681</v>
      </c>
      <c r="H228" s="55"/>
      <c r="I228" s="55"/>
      <c r="J228" s="55">
        <v>194</v>
      </c>
      <c r="K228" s="55">
        <v>25923</v>
      </c>
      <c r="L228" s="66" t="s">
        <v>1226</v>
      </c>
      <c r="M228" s="261" t="s">
        <v>417</v>
      </c>
      <c r="N228" s="55">
        <f t="shared" si="46"/>
        <v>0</v>
      </c>
      <c r="O228" s="55">
        <f t="shared" si="37"/>
        <v>0</v>
      </c>
      <c r="P228" s="55">
        <f t="shared" si="38"/>
        <v>2.1339999999999999</v>
      </c>
      <c r="Q228" s="55">
        <f t="shared" si="39"/>
        <v>285.15300000000002</v>
      </c>
      <c r="R228" s="243"/>
      <c r="S228" s="55">
        <f t="shared" si="43"/>
        <v>0</v>
      </c>
      <c r="T228" s="55">
        <f t="shared" si="40"/>
        <v>0</v>
      </c>
      <c r="U228" s="55">
        <f t="shared" si="41"/>
        <v>2.2260600280013998</v>
      </c>
      <c r="V228" s="55">
        <f t="shared" si="42"/>
        <v>251.2614629226361</v>
      </c>
      <c r="Z228" s="55">
        <v>0</v>
      </c>
      <c r="AA228" s="55">
        <v>264</v>
      </c>
    </row>
    <row r="229" spans="1:27" s="4" customFormat="1">
      <c r="A229" s="5" t="s">
        <v>973</v>
      </c>
      <c r="B229" s="5" t="s">
        <v>712</v>
      </c>
      <c r="C229" s="139">
        <v>10</v>
      </c>
      <c r="D229" s="6">
        <v>6430</v>
      </c>
      <c r="E229" s="7" t="s">
        <v>969</v>
      </c>
      <c r="F229" s="263" t="s">
        <v>1094</v>
      </c>
      <c r="G229" s="9" t="s">
        <v>437</v>
      </c>
      <c r="H229" s="55">
        <v>6992</v>
      </c>
      <c r="I229" s="55">
        <v>5793</v>
      </c>
      <c r="J229" s="55">
        <v>6236</v>
      </c>
      <c r="K229" s="55">
        <v>6959</v>
      </c>
      <c r="L229" s="66" t="s">
        <v>1226</v>
      </c>
      <c r="M229" s="261" t="s">
        <v>417</v>
      </c>
      <c r="N229" s="55">
        <f t="shared" si="46"/>
        <v>76.912000000000006</v>
      </c>
      <c r="O229" s="55">
        <f t="shared" si="37"/>
        <v>63.722999999999999</v>
      </c>
      <c r="P229" s="55">
        <f t="shared" si="38"/>
        <v>68.596000000000004</v>
      </c>
      <c r="Q229" s="55">
        <f t="shared" si="39"/>
        <v>76.549000000000007</v>
      </c>
      <c r="R229" s="243"/>
      <c r="S229" s="55">
        <f t="shared" si="43"/>
        <v>87.871436483858432</v>
      </c>
      <c r="T229" s="55">
        <f t="shared" si="40"/>
        <v>71.929749999999999</v>
      </c>
      <c r="U229" s="55">
        <f t="shared" si="41"/>
        <v>71.555207910395524</v>
      </c>
      <c r="V229" s="55">
        <f t="shared" si="42"/>
        <v>67.450855243553008</v>
      </c>
      <c r="Z229" s="55">
        <v>4905</v>
      </c>
      <c r="AA229" s="55">
        <v>5788</v>
      </c>
    </row>
    <row r="230" spans="1:27" s="4" customFormat="1">
      <c r="A230" s="5" t="s">
        <v>1229</v>
      </c>
      <c r="B230" s="5" t="s">
        <v>652</v>
      </c>
      <c r="C230" s="56" t="s">
        <v>974</v>
      </c>
      <c r="D230" s="6">
        <v>6400</v>
      </c>
      <c r="E230" s="7" t="s">
        <v>975</v>
      </c>
      <c r="F230" s="263" t="s">
        <v>1094</v>
      </c>
      <c r="G230" s="9" t="s">
        <v>681</v>
      </c>
      <c r="H230" s="55">
        <v>5155</v>
      </c>
      <c r="I230" s="55">
        <v>1981</v>
      </c>
      <c r="J230" s="55">
        <v>9451</v>
      </c>
      <c r="K230" s="55">
        <v>11359</v>
      </c>
      <c r="L230" s="66" t="s">
        <v>1226</v>
      </c>
      <c r="M230" s="261" t="s">
        <v>417</v>
      </c>
      <c r="N230" s="55">
        <f t="shared" si="46"/>
        <v>56.704999999999998</v>
      </c>
      <c r="O230" s="55">
        <f t="shared" si="37"/>
        <v>21.791</v>
      </c>
      <c r="P230" s="55">
        <f t="shared" si="38"/>
        <v>103.961</v>
      </c>
      <c r="Q230" s="55">
        <f t="shared" si="39"/>
        <v>124.949</v>
      </c>
      <c r="R230" s="243"/>
      <c r="S230" s="55">
        <f t="shared" si="43"/>
        <v>64.785076526643337</v>
      </c>
      <c r="T230" s="55">
        <f t="shared" si="40"/>
        <v>24.597416666666668</v>
      </c>
      <c r="U230" s="55">
        <f t="shared" si="41"/>
        <v>108.44584187959398</v>
      </c>
      <c r="V230" s="55">
        <f t="shared" si="42"/>
        <v>110.09832802292263</v>
      </c>
      <c r="Z230" s="55">
        <v>7502</v>
      </c>
      <c r="AA230" s="55">
        <v>8875</v>
      </c>
    </row>
    <row r="231" spans="1:27" s="4" customFormat="1">
      <c r="A231" s="5" t="s">
        <v>976</v>
      </c>
      <c r="B231" s="5" t="s">
        <v>977</v>
      </c>
      <c r="C231" s="139">
        <v>21</v>
      </c>
      <c r="D231" s="6">
        <v>6400</v>
      </c>
      <c r="E231" s="7" t="s">
        <v>975</v>
      </c>
      <c r="F231" s="263" t="s">
        <v>1094</v>
      </c>
      <c r="G231" s="9" t="s">
        <v>681</v>
      </c>
      <c r="H231" s="55">
        <v>5000</v>
      </c>
      <c r="I231" s="55">
        <v>5000</v>
      </c>
      <c r="J231" s="55">
        <v>5053</v>
      </c>
      <c r="K231" s="55">
        <v>6619</v>
      </c>
      <c r="L231" s="66" t="s">
        <v>1226</v>
      </c>
      <c r="M231" s="261" t="s">
        <v>417</v>
      </c>
      <c r="N231" s="55">
        <f t="shared" si="46"/>
        <v>55</v>
      </c>
      <c r="O231" s="55">
        <f t="shared" si="37"/>
        <v>55</v>
      </c>
      <c r="P231" s="55">
        <f t="shared" si="38"/>
        <v>55.582999999999998</v>
      </c>
      <c r="Q231" s="55">
        <f t="shared" si="39"/>
        <v>72.808999999999997</v>
      </c>
      <c r="R231" s="243"/>
      <c r="S231" s="55">
        <f t="shared" si="43"/>
        <v>62.837125632049784</v>
      </c>
      <c r="T231" s="55">
        <f>S231</f>
        <v>62.837125632049784</v>
      </c>
      <c r="U231" s="55">
        <f t="shared" si="41"/>
        <v>57.980831554077696</v>
      </c>
      <c r="V231" s="55">
        <f t="shared" si="42"/>
        <v>64.155368710601707</v>
      </c>
      <c r="Z231" s="55">
        <v>4542</v>
      </c>
      <c r="AA231" s="55">
        <v>4838</v>
      </c>
    </row>
    <row r="232" spans="1:27" s="4" customFormat="1">
      <c r="A232" s="5" t="s">
        <v>978</v>
      </c>
      <c r="B232" s="5" t="s">
        <v>1419</v>
      </c>
      <c r="C232" s="139">
        <v>20</v>
      </c>
      <c r="D232" s="6">
        <v>6400</v>
      </c>
      <c r="E232" s="7" t="s">
        <v>979</v>
      </c>
      <c r="F232" s="263" t="s">
        <v>1094</v>
      </c>
      <c r="G232" s="9" t="s">
        <v>680</v>
      </c>
      <c r="H232" s="55">
        <v>58572</v>
      </c>
      <c r="I232" s="55">
        <v>50574</v>
      </c>
      <c r="J232" s="55">
        <v>48464</v>
      </c>
      <c r="K232" s="55">
        <v>49861</v>
      </c>
      <c r="L232" s="66" t="s">
        <v>1226</v>
      </c>
      <c r="M232" s="261" t="s">
        <v>417</v>
      </c>
      <c r="N232" s="55">
        <f t="shared" si="46"/>
        <v>644.29200000000003</v>
      </c>
      <c r="O232" s="55">
        <f t="shared" si="37"/>
        <v>556.31399999999996</v>
      </c>
      <c r="P232" s="55">
        <f t="shared" si="38"/>
        <v>533.10400000000004</v>
      </c>
      <c r="Q232" s="55">
        <f t="shared" si="39"/>
        <v>548.471</v>
      </c>
      <c r="R232" s="243"/>
      <c r="S232" s="55">
        <f t="shared" si="43"/>
        <v>736.09922450408408</v>
      </c>
      <c r="T232" s="55">
        <f t="shared" si="40"/>
        <v>627.96049999999991</v>
      </c>
      <c r="U232" s="55">
        <f t="shared" si="41"/>
        <v>556.10192369618494</v>
      </c>
      <c r="V232" s="55">
        <f t="shared" si="42"/>
        <v>483.28310005730657</v>
      </c>
      <c r="Z232" s="55">
        <v>54725</v>
      </c>
      <c r="AA232" s="55">
        <v>52550</v>
      </c>
    </row>
    <row r="233" spans="1:27" s="4" customFormat="1">
      <c r="A233" s="5" t="s">
        <v>980</v>
      </c>
      <c r="B233" s="5" t="s">
        <v>1040</v>
      </c>
      <c r="C233" s="56" t="s">
        <v>981</v>
      </c>
      <c r="D233" s="6">
        <v>6400</v>
      </c>
      <c r="E233" s="7" t="s">
        <v>975</v>
      </c>
      <c r="F233" s="263" t="s">
        <v>1094</v>
      </c>
      <c r="G233" s="9" t="s">
        <v>435</v>
      </c>
      <c r="H233" s="55">
        <v>6453</v>
      </c>
      <c r="I233" s="55">
        <v>7299</v>
      </c>
      <c r="J233" s="55">
        <v>7440</v>
      </c>
      <c r="K233" s="55">
        <v>7070</v>
      </c>
      <c r="L233" s="66" t="s">
        <v>1226</v>
      </c>
      <c r="M233" s="261" t="s">
        <v>417</v>
      </c>
      <c r="N233" s="55">
        <f t="shared" si="46"/>
        <v>70.983000000000004</v>
      </c>
      <c r="O233" s="55">
        <f t="shared" si="37"/>
        <v>80.289000000000001</v>
      </c>
      <c r="P233" s="55">
        <f t="shared" si="38"/>
        <v>81.84</v>
      </c>
      <c r="Q233" s="55">
        <f t="shared" si="39"/>
        <v>77.77</v>
      </c>
      <c r="R233" s="243"/>
      <c r="S233" s="55">
        <f t="shared" si="43"/>
        <v>81.097594340723461</v>
      </c>
      <c r="T233" s="55">
        <f t="shared" si="40"/>
        <v>90.629249999999999</v>
      </c>
      <c r="U233" s="55">
        <f t="shared" si="41"/>
        <v>85.370549527476385</v>
      </c>
      <c r="V233" s="55">
        <f t="shared" si="42"/>
        <v>68.526734670487102</v>
      </c>
      <c r="Z233" s="55">
        <v>4876</v>
      </c>
      <c r="AA233" s="55">
        <v>6824</v>
      </c>
    </row>
    <row r="234" spans="1:27" s="4" customFormat="1">
      <c r="A234" s="5" t="s">
        <v>982</v>
      </c>
      <c r="B234" s="5" t="s">
        <v>1341</v>
      </c>
      <c r="C234" s="56">
        <v>28</v>
      </c>
      <c r="D234" s="6">
        <v>6300</v>
      </c>
      <c r="E234" s="7" t="s">
        <v>1170</v>
      </c>
      <c r="F234" s="263" t="s">
        <v>1094</v>
      </c>
      <c r="G234" s="9" t="s">
        <v>673</v>
      </c>
      <c r="H234" s="55">
        <v>7107</v>
      </c>
      <c r="I234" s="55">
        <v>6732</v>
      </c>
      <c r="J234" s="55">
        <v>6794</v>
      </c>
      <c r="K234" s="55">
        <v>7700</v>
      </c>
      <c r="L234" s="66" t="s">
        <v>1226</v>
      </c>
      <c r="M234" s="261" t="s">
        <v>417</v>
      </c>
      <c r="N234" s="55">
        <f t="shared" si="46"/>
        <v>78.177000000000007</v>
      </c>
      <c r="O234" s="55">
        <f t="shared" ref="O234:O240" si="47">11*I234/1000</f>
        <v>74.052000000000007</v>
      </c>
      <c r="P234" s="55">
        <f t="shared" ref="P234:P240" si="48">11*J234/1000</f>
        <v>74.733999999999995</v>
      </c>
      <c r="Q234" s="55">
        <f t="shared" ref="Q234:Q240" si="49">11*K234/1000</f>
        <v>84.7</v>
      </c>
      <c r="R234" s="243"/>
      <c r="S234" s="55">
        <f t="shared" si="43"/>
        <v>89.316690373395573</v>
      </c>
      <c r="T234" s="55">
        <f t="shared" si="40"/>
        <v>83.588999999999999</v>
      </c>
      <c r="U234" s="55">
        <f t="shared" si="41"/>
        <v>77.957999124956231</v>
      </c>
      <c r="V234" s="55">
        <f t="shared" si="42"/>
        <v>74.633077363896845</v>
      </c>
      <c r="Z234" s="55">
        <v>5086</v>
      </c>
      <c r="AA234" s="55">
        <v>5457</v>
      </c>
    </row>
    <row r="235" spans="1:27" s="4" customFormat="1">
      <c r="A235" s="5" t="s">
        <v>983</v>
      </c>
      <c r="B235" s="5" t="s">
        <v>984</v>
      </c>
      <c r="C235" s="56">
        <v>2</v>
      </c>
      <c r="D235" s="6"/>
      <c r="E235" s="7" t="s">
        <v>152</v>
      </c>
      <c r="F235" s="263" t="s">
        <v>1094</v>
      </c>
      <c r="G235" s="9" t="s">
        <v>673</v>
      </c>
      <c r="H235" s="55">
        <v>4181</v>
      </c>
      <c r="I235" s="55">
        <v>3448</v>
      </c>
      <c r="J235" s="55">
        <v>3695</v>
      </c>
      <c r="K235" s="55">
        <v>4337</v>
      </c>
      <c r="L235" s="66" t="s">
        <v>1226</v>
      </c>
      <c r="M235" s="261" t="s">
        <v>417</v>
      </c>
      <c r="N235" s="55">
        <f t="shared" si="46"/>
        <v>45.991</v>
      </c>
      <c r="O235" s="55">
        <f t="shared" si="47"/>
        <v>37.927999999999997</v>
      </c>
      <c r="P235" s="55">
        <f t="shared" si="48"/>
        <v>40.645000000000003</v>
      </c>
      <c r="Q235" s="55">
        <f t="shared" si="49"/>
        <v>47.707000000000001</v>
      </c>
      <c r="R235" s="243"/>
      <c r="S235" s="55">
        <f t="shared" si="43"/>
        <v>52.544404453520031</v>
      </c>
      <c r="T235" s="55">
        <f t="shared" si="40"/>
        <v>42.812666666666665</v>
      </c>
      <c r="U235" s="55">
        <f t="shared" si="41"/>
        <v>42.398411358067911</v>
      </c>
      <c r="V235" s="55">
        <f t="shared" si="42"/>
        <v>42.036838510028652</v>
      </c>
      <c r="Z235" s="55">
        <v>3302</v>
      </c>
      <c r="AA235" s="55">
        <v>3859</v>
      </c>
    </row>
    <row r="236" spans="1:27" s="4" customFormat="1">
      <c r="A236" s="5" t="s">
        <v>985</v>
      </c>
      <c r="B236" s="5" t="s">
        <v>1290</v>
      </c>
      <c r="C236" s="56">
        <v>23</v>
      </c>
      <c r="D236" s="6"/>
      <c r="E236" s="7" t="s">
        <v>969</v>
      </c>
      <c r="F236" s="263" t="s">
        <v>1094</v>
      </c>
      <c r="G236" s="9" t="s">
        <v>437</v>
      </c>
      <c r="H236" s="55">
        <v>39828</v>
      </c>
      <c r="I236" s="55">
        <v>42468</v>
      </c>
      <c r="J236" s="55">
        <v>42118</v>
      </c>
      <c r="K236" s="55">
        <v>47542</v>
      </c>
      <c r="L236" s="66" t="s">
        <v>1226</v>
      </c>
      <c r="M236" s="261" t="s">
        <v>417</v>
      </c>
      <c r="N236" s="55">
        <f t="shared" si="46"/>
        <v>438.108</v>
      </c>
      <c r="O236" s="55">
        <f t="shared" si="47"/>
        <v>467.14800000000002</v>
      </c>
      <c r="P236" s="55">
        <f t="shared" si="48"/>
        <v>463.298</v>
      </c>
      <c r="Q236" s="55">
        <f t="shared" si="49"/>
        <v>522.96199999999999</v>
      </c>
      <c r="R236" s="243"/>
      <c r="S236" s="55">
        <f t="shared" si="43"/>
        <v>500.53540793465578</v>
      </c>
      <c r="T236" s="55">
        <f t="shared" si="40"/>
        <v>527.31100000000004</v>
      </c>
      <c r="U236" s="55">
        <f t="shared" si="41"/>
        <v>483.28451680084004</v>
      </c>
      <c r="V236" s="55">
        <f t="shared" si="42"/>
        <v>460.80594338108881</v>
      </c>
      <c r="Z236" s="55">
        <v>32011</v>
      </c>
      <c r="AA236" s="55">
        <v>40677</v>
      </c>
    </row>
    <row r="237" spans="1:27" s="4" customFormat="1">
      <c r="A237" s="5" t="s">
        <v>988</v>
      </c>
      <c r="B237" s="5" t="s">
        <v>1048</v>
      </c>
      <c r="C237" s="56">
        <v>7</v>
      </c>
      <c r="D237" s="6"/>
      <c r="E237" s="7" t="s">
        <v>969</v>
      </c>
      <c r="F237" s="263" t="s">
        <v>1094</v>
      </c>
      <c r="G237" s="9" t="s">
        <v>437</v>
      </c>
      <c r="H237" s="55">
        <v>7270</v>
      </c>
      <c r="I237" s="55">
        <v>7693</v>
      </c>
      <c r="J237" s="55">
        <v>7915</v>
      </c>
      <c r="K237" s="55">
        <v>9196</v>
      </c>
      <c r="L237" s="66" t="s">
        <v>1226</v>
      </c>
      <c r="M237" s="261" t="s">
        <v>417</v>
      </c>
      <c r="N237" s="55">
        <f t="shared" si="46"/>
        <v>79.97</v>
      </c>
      <c r="O237" s="55">
        <f t="shared" si="47"/>
        <v>84.623000000000005</v>
      </c>
      <c r="P237" s="55">
        <f t="shared" si="48"/>
        <v>87.064999999999998</v>
      </c>
      <c r="Q237" s="55">
        <f t="shared" si="49"/>
        <v>101.15600000000001</v>
      </c>
      <c r="R237" s="243"/>
      <c r="S237" s="55">
        <f t="shared" si="43"/>
        <v>91.365180669000381</v>
      </c>
      <c r="T237" s="55">
        <f t="shared" si="40"/>
        <v>95.521416666666667</v>
      </c>
      <c r="U237" s="55">
        <f t="shared" si="41"/>
        <v>90.820954235211744</v>
      </c>
      <c r="V237" s="55">
        <f t="shared" si="42"/>
        <v>89.133218108882517</v>
      </c>
      <c r="Z237" s="55">
        <v>5761</v>
      </c>
      <c r="AA237" s="55">
        <v>7392</v>
      </c>
    </row>
    <row r="238" spans="1:27" s="4" customFormat="1">
      <c r="A238" s="5" t="s">
        <v>986</v>
      </c>
      <c r="B238" s="5" t="s">
        <v>784</v>
      </c>
      <c r="C238" s="139">
        <v>12</v>
      </c>
      <c r="D238" s="6"/>
      <c r="E238" s="7" t="s">
        <v>987</v>
      </c>
      <c r="F238" s="263" t="s">
        <v>1094</v>
      </c>
      <c r="G238" s="9" t="s">
        <v>676</v>
      </c>
      <c r="H238" s="55">
        <v>2196</v>
      </c>
      <c r="I238" s="55">
        <v>2577</v>
      </c>
      <c r="J238" s="55">
        <v>2586</v>
      </c>
      <c r="K238" s="55">
        <v>3127</v>
      </c>
      <c r="L238" s="66" t="s">
        <v>1226</v>
      </c>
      <c r="M238" s="261" t="s">
        <v>417</v>
      </c>
      <c r="N238" s="55">
        <f t="shared" si="46"/>
        <v>24.155999999999999</v>
      </c>
      <c r="O238" s="55">
        <f t="shared" si="47"/>
        <v>28.347000000000001</v>
      </c>
      <c r="P238" s="55">
        <f t="shared" si="48"/>
        <v>28.446000000000002</v>
      </c>
      <c r="Q238" s="55">
        <f t="shared" si="49"/>
        <v>34.396999999999998</v>
      </c>
      <c r="R238" s="243"/>
      <c r="S238" s="55">
        <f t="shared" si="43"/>
        <v>27.598065577596266</v>
      </c>
      <c r="T238" s="55">
        <f t="shared" si="40"/>
        <v>31.99775</v>
      </c>
      <c r="U238" s="55">
        <f t="shared" si="41"/>
        <v>29.673150682534128</v>
      </c>
      <c r="V238" s="55">
        <f t="shared" si="42"/>
        <v>30.308783495702002</v>
      </c>
      <c r="Z238" s="55">
        <v>1785</v>
      </c>
      <c r="AA238" s="55">
        <v>2373</v>
      </c>
    </row>
    <row r="239" spans="1:27" s="4" customFormat="1">
      <c r="A239" s="5" t="s">
        <v>643</v>
      </c>
      <c r="B239" s="5" t="s">
        <v>799</v>
      </c>
      <c r="C239" s="139">
        <v>2</v>
      </c>
      <c r="D239" s="6"/>
      <c r="E239" s="7" t="s">
        <v>969</v>
      </c>
      <c r="F239" s="263" t="s">
        <v>1094</v>
      </c>
      <c r="G239" s="9" t="s">
        <v>677</v>
      </c>
      <c r="H239" s="55">
        <v>66796</v>
      </c>
      <c r="I239" s="55">
        <v>85848</v>
      </c>
      <c r="J239" s="55">
        <v>88426</v>
      </c>
      <c r="K239" s="55">
        <v>92867</v>
      </c>
      <c r="L239" s="66" t="s">
        <v>1226</v>
      </c>
      <c r="M239" s="261" t="s">
        <v>417</v>
      </c>
      <c r="N239" s="55">
        <f t="shared" si="46"/>
        <v>734.75599999999997</v>
      </c>
      <c r="O239" s="55">
        <f t="shared" si="47"/>
        <v>944.32799999999997</v>
      </c>
      <c r="P239" s="55">
        <f t="shared" si="48"/>
        <v>972.68600000000004</v>
      </c>
      <c r="Q239" s="55">
        <f t="shared" si="49"/>
        <v>1021.537</v>
      </c>
      <c r="R239" s="243"/>
      <c r="S239" s="55">
        <f t="shared" si="43"/>
        <v>839.45372874367945</v>
      </c>
      <c r="T239" s="55">
        <f t="shared" si="40"/>
        <v>1065.9459999999999</v>
      </c>
      <c r="U239" s="55">
        <f t="shared" si="41"/>
        <v>1014.6473403920197</v>
      </c>
      <c r="V239" s="55">
        <f t="shared" si="42"/>
        <v>900.12337604584525</v>
      </c>
      <c r="Z239" s="55">
        <v>66796</v>
      </c>
      <c r="AA239" s="55">
        <v>85848</v>
      </c>
    </row>
    <row r="240" spans="1:27" s="4" customFormat="1">
      <c r="A240" s="191" t="s">
        <v>642</v>
      </c>
      <c r="B240" s="191" t="s">
        <v>1342</v>
      </c>
      <c r="C240" s="192">
        <v>67</v>
      </c>
      <c r="D240" s="193">
        <v>6430</v>
      </c>
      <c r="E240" s="150" t="s">
        <v>989</v>
      </c>
      <c r="F240" s="271" t="s">
        <v>1094</v>
      </c>
      <c r="G240" s="9" t="s">
        <v>673</v>
      </c>
      <c r="H240" s="55">
        <v>2469</v>
      </c>
      <c r="I240" s="55">
        <v>2469</v>
      </c>
      <c r="J240" s="55">
        <v>3363</v>
      </c>
      <c r="K240" s="55">
        <v>4131</v>
      </c>
      <c r="L240" s="66" t="s">
        <v>1226</v>
      </c>
      <c r="M240" s="261" t="s">
        <v>417</v>
      </c>
      <c r="N240" s="55">
        <f t="shared" si="46"/>
        <v>27.158999999999999</v>
      </c>
      <c r="O240" s="55">
        <f t="shared" si="47"/>
        <v>27.158999999999999</v>
      </c>
      <c r="P240" s="55">
        <f t="shared" si="48"/>
        <v>36.993000000000002</v>
      </c>
      <c r="Q240" s="55">
        <f t="shared" si="49"/>
        <v>45.441000000000003</v>
      </c>
      <c r="R240" s="243"/>
      <c r="S240" s="55">
        <f t="shared" si="43"/>
        <v>31.028972637106182</v>
      </c>
      <c r="T240" s="55">
        <f>S240</f>
        <v>31.028972637106182</v>
      </c>
      <c r="U240" s="55">
        <f>0.85*P240/$P$244+0.15*P240</f>
        <v>38.588865330766538</v>
      </c>
      <c r="V240" s="55">
        <f>0.85*Q240/$Q$244+0.15*Q240</f>
        <v>40.040161375358167</v>
      </c>
      <c r="Z240" s="55">
        <v>2250</v>
      </c>
      <c r="AA240" s="55">
        <v>3162</v>
      </c>
    </row>
    <row r="241" spans="1:22" s="200" customFormat="1" ht="13.5" thickBot="1">
      <c r="A241" s="198"/>
      <c r="B241" s="198"/>
      <c r="C241" s="199"/>
      <c r="E241" s="201" t="s">
        <v>1498</v>
      </c>
      <c r="F241" s="266"/>
      <c r="G241" s="198"/>
      <c r="H241" s="212">
        <f>SUM(H154:H240)</f>
        <v>1296630.8999999999</v>
      </c>
      <c r="I241" s="212">
        <f>SUM(I154:I240)</f>
        <v>1319031.8999999999</v>
      </c>
      <c r="J241" s="212">
        <f>SUM(J154:J240)</f>
        <v>1361777</v>
      </c>
      <c r="K241" s="212">
        <f>SUM(K154:K240)</f>
        <v>1541631</v>
      </c>
      <c r="L241" s="200" t="s">
        <v>1226</v>
      </c>
      <c r="M241" s="256"/>
      <c r="N241" s="212">
        <f>SUM(N154:N240)</f>
        <v>14262.939900000001</v>
      </c>
      <c r="O241" s="212">
        <f>SUM(O154:O240)</f>
        <v>14509.350899999998</v>
      </c>
      <c r="P241" s="212">
        <f>SUM(P154:P240)</f>
        <v>14979.547000000004</v>
      </c>
      <c r="Q241" s="212">
        <f>SUM(Q154:Q240)</f>
        <v>16957.941000000003</v>
      </c>
      <c r="R241" s="246"/>
      <c r="S241" s="212">
        <f>SUM(S154:S240)</f>
        <v>16599.180199916966</v>
      </c>
      <c r="T241" s="212">
        <f>SUM(T154:T240)</f>
        <v>16717.55933816154</v>
      </c>
      <c r="U241" s="212">
        <f>SUM(U154:U240)</f>
        <v>15717.057697226548</v>
      </c>
      <c r="V241" s="212">
        <f>SUM(V154:V240)</f>
        <v>15565.871285524792</v>
      </c>
    </row>
    <row r="242" spans="1:22" s="66" customFormat="1">
      <c r="A242" s="194"/>
      <c r="B242" s="194"/>
      <c r="C242" s="195"/>
      <c r="D242" s="196"/>
      <c r="E242" s="197"/>
      <c r="F242" s="269"/>
      <c r="G242" s="138"/>
      <c r="H242" s="140"/>
      <c r="I242" s="140"/>
      <c r="J242" s="140"/>
      <c r="K242" s="140"/>
      <c r="M242" s="255"/>
      <c r="N242" s="140"/>
      <c r="O242" s="140"/>
      <c r="P242" s="140"/>
      <c r="Q242" s="140"/>
      <c r="R242" s="245"/>
    </row>
    <row r="243" spans="1:22" s="66" customFormat="1">
      <c r="A243" s="133" t="s">
        <v>524</v>
      </c>
      <c r="B243" s="133" t="s">
        <v>1044</v>
      </c>
      <c r="C243" s="135">
        <v>13</v>
      </c>
      <c r="D243" s="136">
        <v>6310</v>
      </c>
      <c r="E243" s="137" t="s">
        <v>917</v>
      </c>
      <c r="F243" s="134" t="s">
        <v>1095</v>
      </c>
      <c r="G243" s="138" t="s">
        <v>676</v>
      </c>
      <c r="H243" s="140"/>
      <c r="I243" s="140"/>
      <c r="J243" s="140"/>
      <c r="K243" s="140"/>
      <c r="M243" s="260" t="s">
        <v>1524</v>
      </c>
      <c r="N243" s="67">
        <f>graddage!D23</f>
        <v>0.80819040952047605</v>
      </c>
      <c r="O243" s="67">
        <f>graddage!D24</f>
        <v>0.87075283144570281</v>
      </c>
      <c r="P243" s="67">
        <f>graddage!D25</f>
        <v>0.93371085942704868</v>
      </c>
      <c r="Q243" s="67">
        <f>graddage!D26</f>
        <v>1.0199866755496336</v>
      </c>
      <c r="R243" s="245"/>
    </row>
    <row r="244" spans="1:22" s="66" customFormat="1">
      <c r="A244" s="133" t="s">
        <v>689</v>
      </c>
      <c r="B244" s="133" t="s">
        <v>767</v>
      </c>
      <c r="C244" s="135">
        <v>1</v>
      </c>
      <c r="D244" s="136">
        <v>6310</v>
      </c>
      <c r="E244" s="137" t="s">
        <v>511</v>
      </c>
      <c r="F244" s="134" t="s">
        <v>1095</v>
      </c>
      <c r="G244" s="138" t="s">
        <v>679</v>
      </c>
      <c r="H244" s="140"/>
      <c r="I244" s="140"/>
      <c r="J244" s="140"/>
      <c r="K244" s="140"/>
      <c r="M244" s="260" t="s">
        <v>1525</v>
      </c>
      <c r="N244" s="67">
        <f>graddage!D32</f>
        <v>0.85642904730179881</v>
      </c>
      <c r="O244" s="67">
        <f>graddage!D33</f>
        <v>0.86842105263157898</v>
      </c>
      <c r="P244" s="67">
        <f>graddage!D34</f>
        <v>0.95169886742171883</v>
      </c>
      <c r="Q244" s="67">
        <f>graddage!D35</f>
        <v>1.1625582944703532</v>
      </c>
      <c r="R244" s="245"/>
    </row>
    <row r="245" spans="1:22" s="156" customFormat="1">
      <c r="A245" s="151" t="s">
        <v>692</v>
      </c>
      <c r="B245" s="151" t="s">
        <v>776</v>
      </c>
      <c r="C245" s="152">
        <v>1</v>
      </c>
      <c r="D245" s="153">
        <v>6400</v>
      </c>
      <c r="E245" s="154" t="s">
        <v>888</v>
      </c>
      <c r="F245" s="264" t="s">
        <v>1095</v>
      </c>
      <c r="G245" s="155" t="s">
        <v>673</v>
      </c>
      <c r="H245" s="206"/>
      <c r="I245" s="206"/>
      <c r="J245" s="206"/>
      <c r="K245" s="206"/>
      <c r="M245" s="255"/>
      <c r="N245" s="206"/>
      <c r="O245" s="206"/>
      <c r="P245" s="206"/>
      <c r="Q245" s="206"/>
      <c r="R245" s="245"/>
    </row>
    <row r="246" spans="1:22" s="156" customFormat="1">
      <c r="A246" s="151" t="s">
        <v>1152</v>
      </c>
      <c r="B246" s="151" t="s">
        <v>470</v>
      </c>
      <c r="C246" s="152">
        <v>5</v>
      </c>
      <c r="D246" s="153">
        <v>6400</v>
      </c>
      <c r="E246" s="154" t="s">
        <v>1173</v>
      </c>
      <c r="F246" s="264" t="s">
        <v>1095</v>
      </c>
      <c r="G246" s="155" t="s">
        <v>681</v>
      </c>
      <c r="H246" s="206">
        <v>1606</v>
      </c>
      <c r="I246" s="206">
        <v>1606</v>
      </c>
      <c r="J246" s="206">
        <v>1606</v>
      </c>
      <c r="K246" s="206">
        <v>1606</v>
      </c>
      <c r="L246" s="156" t="s">
        <v>416</v>
      </c>
      <c r="M246" s="255"/>
      <c r="N246" s="206">
        <f>H246*10/1000</f>
        <v>16.059999999999999</v>
      </c>
      <c r="O246" s="206">
        <f t="shared" ref="O246:Q261" si="50">I246*10/1000</f>
        <v>16.059999999999999</v>
      </c>
      <c r="P246" s="206">
        <f t="shared" si="50"/>
        <v>16.059999999999999</v>
      </c>
      <c r="Q246" s="206">
        <f t="shared" si="50"/>
        <v>16.059999999999999</v>
      </c>
      <c r="R246" s="245"/>
      <c r="S246" s="206">
        <f>0.15*N246/$N$244+0.85*N246</f>
        <v>16.463842473745622</v>
      </c>
      <c r="T246" s="206">
        <f t="shared" ref="T246:T262" si="51">0.15*O246/$N$244+0.85*O246</f>
        <v>16.463842473745622</v>
      </c>
      <c r="U246" s="206">
        <f t="shared" ref="U246:U262" si="52">0.15*P246/$N$244+0.85*P246</f>
        <v>16.463842473745622</v>
      </c>
      <c r="V246" s="206">
        <f t="shared" ref="V246:V262" si="53">0.15*Q246/$N$244+0.85*Q246</f>
        <v>16.463842473745622</v>
      </c>
    </row>
    <row r="247" spans="1:22" s="156" customFormat="1">
      <c r="A247" s="213" t="s">
        <v>949</v>
      </c>
      <c r="B247" s="151" t="s">
        <v>452</v>
      </c>
      <c r="C247" s="152">
        <v>82</v>
      </c>
      <c r="D247" s="153">
        <v>6400</v>
      </c>
      <c r="E247" s="154" t="s">
        <v>955</v>
      </c>
      <c r="F247" s="264" t="s">
        <v>1095</v>
      </c>
      <c r="G247" s="155" t="s">
        <v>681</v>
      </c>
      <c r="H247" s="206"/>
      <c r="I247" s="206"/>
      <c r="J247" s="206"/>
      <c r="K247" s="206"/>
      <c r="M247" s="255"/>
      <c r="N247" s="206">
        <f t="shared" ref="N247:N262" si="54">H247*10/1000</f>
        <v>0</v>
      </c>
      <c r="O247" s="206">
        <f t="shared" si="50"/>
        <v>0</v>
      </c>
      <c r="P247" s="206">
        <f t="shared" si="50"/>
        <v>0</v>
      </c>
      <c r="Q247" s="206">
        <f t="shared" si="50"/>
        <v>0</v>
      </c>
      <c r="R247" s="245"/>
      <c r="S247" s="206">
        <f t="shared" ref="S247:S262" si="55">0.15*N247/$N$244+0.85*N247</f>
        <v>0</v>
      </c>
      <c r="T247" s="206">
        <f t="shared" si="51"/>
        <v>0</v>
      </c>
      <c r="U247" s="206">
        <f t="shared" si="52"/>
        <v>0</v>
      </c>
      <c r="V247" s="206">
        <f t="shared" si="53"/>
        <v>0</v>
      </c>
    </row>
    <row r="248" spans="1:22" s="156" customFormat="1">
      <c r="A248" s="151" t="s">
        <v>952</v>
      </c>
      <c r="B248" s="151" t="s">
        <v>472</v>
      </c>
      <c r="C248" s="152">
        <v>48</v>
      </c>
      <c r="D248" s="153">
        <v>6400</v>
      </c>
      <c r="E248" s="154" t="s">
        <v>1011</v>
      </c>
      <c r="F248" s="264" t="s">
        <v>1095</v>
      </c>
      <c r="G248" s="155" t="s">
        <v>437</v>
      </c>
      <c r="H248" s="206"/>
      <c r="I248" s="206"/>
      <c r="J248" s="206"/>
      <c r="K248" s="206"/>
      <c r="M248" s="255"/>
      <c r="N248" s="206">
        <f t="shared" si="54"/>
        <v>0</v>
      </c>
      <c r="O248" s="206">
        <f t="shared" si="50"/>
        <v>0</v>
      </c>
      <c r="P248" s="206">
        <f t="shared" si="50"/>
        <v>0</v>
      </c>
      <c r="Q248" s="206">
        <f t="shared" si="50"/>
        <v>0</v>
      </c>
      <c r="R248" s="245"/>
      <c r="S248" s="206">
        <f t="shared" si="55"/>
        <v>0</v>
      </c>
      <c r="T248" s="206">
        <f t="shared" si="51"/>
        <v>0</v>
      </c>
      <c r="U248" s="206">
        <f t="shared" si="52"/>
        <v>0</v>
      </c>
      <c r="V248" s="206">
        <f t="shared" si="53"/>
        <v>0</v>
      </c>
    </row>
    <row r="249" spans="1:22" s="156" customFormat="1">
      <c r="A249" s="151" t="s">
        <v>953</v>
      </c>
      <c r="B249" s="151" t="s">
        <v>1058</v>
      </c>
      <c r="C249" s="152">
        <v>2</v>
      </c>
      <c r="D249" s="153">
        <v>6400</v>
      </c>
      <c r="E249" s="154" t="s">
        <v>1152</v>
      </c>
      <c r="F249" s="264" t="s">
        <v>1095</v>
      </c>
      <c r="G249" s="155"/>
      <c r="H249" s="206"/>
      <c r="I249" s="206"/>
      <c r="J249" s="206"/>
      <c r="K249" s="206"/>
      <c r="M249" s="255"/>
      <c r="N249" s="206">
        <f t="shared" si="54"/>
        <v>0</v>
      </c>
      <c r="O249" s="206">
        <f t="shared" si="50"/>
        <v>0</v>
      </c>
      <c r="P249" s="206">
        <f t="shared" si="50"/>
        <v>0</v>
      </c>
      <c r="Q249" s="206">
        <f t="shared" si="50"/>
        <v>0</v>
      </c>
      <c r="R249" s="245"/>
      <c r="S249" s="206">
        <f t="shared" si="55"/>
        <v>0</v>
      </c>
      <c r="T249" s="206">
        <f t="shared" si="51"/>
        <v>0</v>
      </c>
      <c r="U249" s="206">
        <f t="shared" si="52"/>
        <v>0</v>
      </c>
      <c r="V249" s="206">
        <f t="shared" si="53"/>
        <v>0</v>
      </c>
    </row>
    <row r="250" spans="1:22" s="156" customFormat="1">
      <c r="A250" s="151" t="s">
        <v>1495</v>
      </c>
      <c r="B250" s="151" t="s">
        <v>802</v>
      </c>
      <c r="C250" s="152">
        <v>21</v>
      </c>
      <c r="D250" s="153">
        <v>6430</v>
      </c>
      <c r="E250" s="154" t="s">
        <v>694</v>
      </c>
      <c r="F250" s="264" t="s">
        <v>1494</v>
      </c>
      <c r="G250" s="155" t="s">
        <v>437</v>
      </c>
      <c r="H250" s="206">
        <v>25882</v>
      </c>
      <c r="I250" s="206">
        <v>25882</v>
      </c>
      <c r="J250" s="206" t="s">
        <v>1493</v>
      </c>
      <c r="K250" s="206"/>
      <c r="M250" s="255"/>
      <c r="N250" s="206">
        <f t="shared" si="54"/>
        <v>258.82</v>
      </c>
      <c r="O250" s="206">
        <f t="shared" si="50"/>
        <v>258.82</v>
      </c>
      <c r="P250" s="206"/>
      <c r="Q250" s="206">
        <f t="shared" si="50"/>
        <v>0</v>
      </c>
      <c r="R250" s="245"/>
      <c r="S250" s="206">
        <f t="shared" si="55"/>
        <v>265.32825087514584</v>
      </c>
      <c r="T250" s="206">
        <f t="shared" si="51"/>
        <v>265.32825087514584</v>
      </c>
      <c r="U250" s="206">
        <f t="shared" si="52"/>
        <v>0</v>
      </c>
      <c r="V250" s="206">
        <f t="shared" si="53"/>
        <v>0</v>
      </c>
    </row>
    <row r="251" spans="1:22" s="156" customFormat="1" ht="13.5" customHeight="1">
      <c r="A251" s="151" t="s">
        <v>1452</v>
      </c>
      <c r="B251" s="151" t="s">
        <v>722</v>
      </c>
      <c r="C251" s="152">
        <v>20</v>
      </c>
      <c r="D251" s="153">
        <v>6430</v>
      </c>
      <c r="E251" s="154" t="s">
        <v>1452</v>
      </c>
      <c r="F251" s="264" t="s">
        <v>1095</v>
      </c>
      <c r="G251" s="155" t="s">
        <v>680</v>
      </c>
      <c r="H251" s="206">
        <v>38209</v>
      </c>
      <c r="I251" s="206">
        <v>38209</v>
      </c>
      <c r="J251" s="206">
        <v>38209</v>
      </c>
      <c r="K251" s="206">
        <v>38209</v>
      </c>
      <c r="M251" s="255"/>
      <c r="N251" s="206">
        <f t="shared" si="54"/>
        <v>382.09</v>
      </c>
      <c r="O251" s="206">
        <f t="shared" si="50"/>
        <v>382.09</v>
      </c>
      <c r="P251" s="206">
        <f t="shared" si="50"/>
        <v>382.09</v>
      </c>
      <c r="Q251" s="206">
        <f t="shared" si="50"/>
        <v>382.09</v>
      </c>
      <c r="R251" s="245"/>
      <c r="S251" s="206">
        <f t="shared" si="55"/>
        <v>391.69798074679113</v>
      </c>
      <c r="T251" s="206">
        <f t="shared" si="51"/>
        <v>391.69798074679113</v>
      </c>
      <c r="U251" s="206">
        <f t="shared" si="52"/>
        <v>391.69798074679113</v>
      </c>
      <c r="V251" s="206">
        <f t="shared" si="53"/>
        <v>391.69798074679113</v>
      </c>
    </row>
    <row r="252" spans="1:22" s="156" customFormat="1" ht="25.5">
      <c r="A252" s="151" t="s">
        <v>691</v>
      </c>
      <c r="B252" s="151" t="s">
        <v>1293</v>
      </c>
      <c r="C252" s="152">
        <v>36</v>
      </c>
      <c r="D252" s="153">
        <v>6430</v>
      </c>
      <c r="E252" s="154" t="s">
        <v>1454</v>
      </c>
      <c r="F252" s="264" t="s">
        <v>1095</v>
      </c>
      <c r="G252" s="155"/>
      <c r="H252" s="206"/>
      <c r="I252" s="206"/>
      <c r="J252" s="206"/>
      <c r="K252" s="206"/>
      <c r="M252" s="255"/>
      <c r="N252" s="206">
        <f t="shared" si="54"/>
        <v>0</v>
      </c>
      <c r="O252" s="206">
        <f t="shared" si="50"/>
        <v>0</v>
      </c>
      <c r="P252" s="206">
        <f t="shared" si="50"/>
        <v>0</v>
      </c>
      <c r="Q252" s="206">
        <f t="shared" si="50"/>
        <v>0</v>
      </c>
      <c r="R252" s="245"/>
      <c r="S252" s="206">
        <f t="shared" si="55"/>
        <v>0</v>
      </c>
      <c r="T252" s="206">
        <f t="shared" si="51"/>
        <v>0</v>
      </c>
      <c r="U252" s="206">
        <f t="shared" si="52"/>
        <v>0</v>
      </c>
      <c r="V252" s="206">
        <f t="shared" si="53"/>
        <v>0</v>
      </c>
    </row>
    <row r="253" spans="1:22" s="156" customFormat="1">
      <c r="A253" s="151" t="s">
        <v>615</v>
      </c>
      <c r="B253" s="151" t="s">
        <v>1450</v>
      </c>
      <c r="C253" s="152">
        <v>15</v>
      </c>
      <c r="D253" s="153">
        <v>6430</v>
      </c>
      <c r="E253" s="154" t="s">
        <v>615</v>
      </c>
      <c r="F253" s="264" t="s">
        <v>1095</v>
      </c>
      <c r="G253" s="155" t="s">
        <v>673</v>
      </c>
      <c r="H253" s="206">
        <v>4116</v>
      </c>
      <c r="I253" s="206">
        <v>3963</v>
      </c>
      <c r="J253" s="206">
        <v>3963</v>
      </c>
      <c r="K253" s="206">
        <v>3963</v>
      </c>
      <c r="L253" s="156" t="s">
        <v>416</v>
      </c>
      <c r="M253" s="255"/>
      <c r="N253" s="206">
        <f t="shared" si="54"/>
        <v>41.16</v>
      </c>
      <c r="O253" s="206">
        <f t="shared" si="50"/>
        <v>39.630000000000003</v>
      </c>
      <c r="P253" s="206">
        <f t="shared" si="50"/>
        <v>39.630000000000003</v>
      </c>
      <c r="Q253" s="206">
        <f t="shared" si="50"/>
        <v>39.630000000000003</v>
      </c>
      <c r="R253" s="245"/>
      <c r="S253" s="206">
        <f t="shared" si="55"/>
        <v>42.195003500583425</v>
      </c>
      <c r="T253" s="206">
        <f t="shared" si="51"/>
        <v>40.626530338389735</v>
      </c>
      <c r="U253" s="206">
        <f t="shared" si="52"/>
        <v>40.626530338389735</v>
      </c>
      <c r="V253" s="206">
        <f t="shared" si="53"/>
        <v>40.626530338389735</v>
      </c>
    </row>
    <row r="254" spans="1:22" s="156" customFormat="1">
      <c r="A254" s="151" t="s">
        <v>1304</v>
      </c>
      <c r="B254" s="151" t="s">
        <v>1274</v>
      </c>
      <c r="C254" s="152">
        <v>39</v>
      </c>
      <c r="D254" s="153">
        <v>6430</v>
      </c>
      <c r="E254" s="154" t="s">
        <v>1305</v>
      </c>
      <c r="F254" s="264" t="s">
        <v>1095</v>
      </c>
      <c r="G254" s="155" t="s">
        <v>437</v>
      </c>
      <c r="H254" s="206">
        <v>2784</v>
      </c>
      <c r="I254" s="206">
        <v>3547</v>
      </c>
      <c r="J254" s="206">
        <v>3547</v>
      </c>
      <c r="K254" s="206">
        <v>3547</v>
      </c>
      <c r="L254" s="156" t="s">
        <v>416</v>
      </c>
      <c r="M254" s="255"/>
      <c r="N254" s="206">
        <f t="shared" si="54"/>
        <v>27.84</v>
      </c>
      <c r="O254" s="206">
        <f t="shared" si="50"/>
        <v>35.47</v>
      </c>
      <c r="P254" s="206">
        <f t="shared" si="50"/>
        <v>35.47</v>
      </c>
      <c r="Q254" s="206">
        <f t="shared" si="50"/>
        <v>35.47</v>
      </c>
      <c r="R254" s="245"/>
      <c r="S254" s="206">
        <f t="shared" si="55"/>
        <v>28.540060676779461</v>
      </c>
      <c r="T254" s="206">
        <f t="shared" si="51"/>
        <v>36.361923570595096</v>
      </c>
      <c r="U254" s="206">
        <f t="shared" si="52"/>
        <v>36.361923570595096</v>
      </c>
      <c r="V254" s="206">
        <f t="shared" si="53"/>
        <v>36.361923570595096</v>
      </c>
    </row>
    <row r="255" spans="1:22" s="156" customFormat="1">
      <c r="A255" s="151" t="s">
        <v>950</v>
      </c>
      <c r="B255" s="151" t="s">
        <v>1289</v>
      </c>
      <c r="C255" s="152">
        <v>15</v>
      </c>
      <c r="D255" s="153">
        <v>6430</v>
      </c>
      <c r="E255" s="154" t="s">
        <v>1347</v>
      </c>
      <c r="F255" s="264" t="s">
        <v>1095</v>
      </c>
      <c r="G255" s="155"/>
      <c r="H255" s="206"/>
      <c r="I255" s="206"/>
      <c r="J255" s="206"/>
      <c r="K255" s="206"/>
      <c r="M255" s="255"/>
      <c r="N255" s="206">
        <f t="shared" si="54"/>
        <v>0</v>
      </c>
      <c r="O255" s="206">
        <f t="shared" si="50"/>
        <v>0</v>
      </c>
      <c r="P255" s="206">
        <f t="shared" si="50"/>
        <v>0</v>
      </c>
      <c r="Q255" s="206">
        <f t="shared" si="50"/>
        <v>0</v>
      </c>
      <c r="R255" s="245"/>
      <c r="S255" s="206">
        <f t="shared" si="55"/>
        <v>0</v>
      </c>
      <c r="T255" s="206">
        <f t="shared" si="51"/>
        <v>0</v>
      </c>
      <c r="U255" s="206">
        <f t="shared" si="52"/>
        <v>0</v>
      </c>
      <c r="V255" s="206">
        <f t="shared" si="53"/>
        <v>0</v>
      </c>
    </row>
    <row r="256" spans="1:22" s="156" customFormat="1">
      <c r="A256" s="153" t="s">
        <v>1327</v>
      </c>
      <c r="B256" s="151" t="s">
        <v>1274</v>
      </c>
      <c r="C256" s="152">
        <v>70</v>
      </c>
      <c r="D256" s="153">
        <v>6430</v>
      </c>
      <c r="E256" s="154" t="s">
        <v>1152</v>
      </c>
      <c r="F256" s="264" t="s">
        <v>1095</v>
      </c>
      <c r="G256" s="155"/>
      <c r="H256" s="206"/>
      <c r="I256" s="206"/>
      <c r="J256" s="206"/>
      <c r="K256" s="206"/>
      <c r="M256" s="255"/>
      <c r="N256" s="206">
        <f t="shared" si="54"/>
        <v>0</v>
      </c>
      <c r="O256" s="206">
        <f t="shared" si="50"/>
        <v>0</v>
      </c>
      <c r="P256" s="206">
        <f t="shared" si="50"/>
        <v>0</v>
      </c>
      <c r="Q256" s="206">
        <f t="shared" si="50"/>
        <v>0</v>
      </c>
      <c r="R256" s="245"/>
      <c r="S256" s="206">
        <f t="shared" si="55"/>
        <v>0</v>
      </c>
      <c r="T256" s="206">
        <f t="shared" si="51"/>
        <v>0</v>
      </c>
      <c r="U256" s="206">
        <f t="shared" si="52"/>
        <v>0</v>
      </c>
      <c r="V256" s="206">
        <f t="shared" si="53"/>
        <v>0</v>
      </c>
    </row>
    <row r="257" spans="1:22" s="156" customFormat="1">
      <c r="A257" s="151" t="s">
        <v>951</v>
      </c>
      <c r="B257" s="151" t="s">
        <v>762</v>
      </c>
      <c r="C257" s="152">
        <v>60</v>
      </c>
      <c r="D257" s="153">
        <v>6430</v>
      </c>
      <c r="E257" s="154" t="s">
        <v>612</v>
      </c>
      <c r="F257" s="264" t="s">
        <v>1095</v>
      </c>
      <c r="G257" s="155"/>
      <c r="H257" s="206"/>
      <c r="I257" s="206"/>
      <c r="J257" s="206"/>
      <c r="K257" s="206"/>
      <c r="M257" s="255"/>
      <c r="N257" s="206">
        <f t="shared" si="54"/>
        <v>0</v>
      </c>
      <c r="O257" s="206">
        <f t="shared" si="50"/>
        <v>0</v>
      </c>
      <c r="P257" s="206">
        <f t="shared" si="50"/>
        <v>0</v>
      </c>
      <c r="Q257" s="206">
        <f t="shared" si="50"/>
        <v>0</v>
      </c>
      <c r="R257" s="245"/>
      <c r="S257" s="206">
        <f t="shared" si="55"/>
        <v>0</v>
      </c>
      <c r="T257" s="206">
        <f t="shared" si="51"/>
        <v>0</v>
      </c>
      <c r="U257" s="206">
        <f t="shared" si="52"/>
        <v>0</v>
      </c>
      <c r="V257" s="206">
        <f t="shared" si="53"/>
        <v>0</v>
      </c>
    </row>
    <row r="258" spans="1:22" s="156" customFormat="1">
      <c r="A258" s="151" t="s">
        <v>690</v>
      </c>
      <c r="B258" s="151" t="s">
        <v>1446</v>
      </c>
      <c r="C258" s="152">
        <v>1</v>
      </c>
      <c r="D258" s="153">
        <v>6440</v>
      </c>
      <c r="E258" s="154" t="s">
        <v>1260</v>
      </c>
      <c r="F258" s="264" t="s">
        <v>1095</v>
      </c>
      <c r="G258" s="155"/>
      <c r="H258" s="206"/>
      <c r="I258" s="206"/>
      <c r="J258" s="206"/>
      <c r="K258" s="206"/>
      <c r="M258" s="255"/>
      <c r="N258" s="206">
        <f t="shared" si="54"/>
        <v>0</v>
      </c>
      <c r="O258" s="206">
        <f t="shared" si="50"/>
        <v>0</v>
      </c>
      <c r="P258" s="206">
        <f t="shared" si="50"/>
        <v>0</v>
      </c>
      <c r="Q258" s="206">
        <f t="shared" si="50"/>
        <v>0</v>
      </c>
      <c r="R258" s="245"/>
      <c r="S258" s="206">
        <f t="shared" si="55"/>
        <v>0</v>
      </c>
      <c r="T258" s="206">
        <f t="shared" si="51"/>
        <v>0</v>
      </c>
      <c r="U258" s="206">
        <f t="shared" si="52"/>
        <v>0</v>
      </c>
      <c r="V258" s="206">
        <f t="shared" si="53"/>
        <v>0</v>
      </c>
    </row>
    <row r="259" spans="1:22" s="156" customFormat="1">
      <c r="A259" s="151" t="s">
        <v>1152</v>
      </c>
      <c r="B259" s="151" t="s">
        <v>759</v>
      </c>
      <c r="C259" s="152">
        <v>4</v>
      </c>
      <c r="D259" s="153">
        <v>6440</v>
      </c>
      <c r="E259" s="154" t="s">
        <v>1363</v>
      </c>
      <c r="F259" s="264" t="s">
        <v>1095</v>
      </c>
      <c r="G259" s="155" t="s">
        <v>676</v>
      </c>
      <c r="H259" s="206"/>
      <c r="I259" s="206"/>
      <c r="J259" s="206"/>
      <c r="K259" s="206"/>
      <c r="M259" s="255"/>
      <c r="N259" s="206">
        <f t="shared" si="54"/>
        <v>0</v>
      </c>
      <c r="O259" s="206">
        <f t="shared" si="50"/>
        <v>0</v>
      </c>
      <c r="P259" s="206">
        <f t="shared" si="50"/>
        <v>0</v>
      </c>
      <c r="Q259" s="206">
        <f t="shared" si="50"/>
        <v>0</v>
      </c>
      <c r="R259" s="245"/>
      <c r="S259" s="206">
        <f t="shared" si="55"/>
        <v>0</v>
      </c>
      <c r="T259" s="206">
        <f t="shared" si="51"/>
        <v>0</v>
      </c>
      <c r="U259" s="206">
        <f t="shared" si="52"/>
        <v>0</v>
      </c>
      <c r="V259" s="206">
        <f t="shared" si="53"/>
        <v>0</v>
      </c>
    </row>
    <row r="260" spans="1:22" s="156" customFormat="1">
      <c r="A260" s="151" t="s">
        <v>409</v>
      </c>
      <c r="B260" s="151" t="s">
        <v>1049</v>
      </c>
      <c r="C260" s="152">
        <v>3</v>
      </c>
      <c r="D260" s="153">
        <v>6470</v>
      </c>
      <c r="E260" s="154" t="s">
        <v>921</v>
      </c>
      <c r="F260" s="264" t="s">
        <v>1095</v>
      </c>
      <c r="G260" s="155" t="s">
        <v>683</v>
      </c>
      <c r="H260" s="206">
        <v>8310</v>
      </c>
      <c r="I260" s="206">
        <v>8310</v>
      </c>
      <c r="J260" s="206" t="s">
        <v>1493</v>
      </c>
      <c r="K260" s="206" t="s">
        <v>1493</v>
      </c>
      <c r="M260" s="255"/>
      <c r="N260" s="206">
        <f t="shared" si="54"/>
        <v>83.1</v>
      </c>
      <c r="O260" s="206">
        <f t="shared" si="50"/>
        <v>83.1</v>
      </c>
      <c r="P260" s="206"/>
      <c r="Q260" s="206"/>
      <c r="R260" s="245"/>
      <c r="S260" s="206">
        <f t="shared" si="55"/>
        <v>85.189620770128343</v>
      </c>
      <c r="T260" s="206">
        <f t="shared" si="51"/>
        <v>85.189620770128343</v>
      </c>
      <c r="U260" s="206">
        <f t="shared" si="52"/>
        <v>0</v>
      </c>
      <c r="V260" s="206">
        <f t="shared" si="53"/>
        <v>0</v>
      </c>
    </row>
    <row r="261" spans="1:22" s="156" customFormat="1">
      <c r="A261" s="151" t="s">
        <v>1328</v>
      </c>
      <c r="B261" s="151" t="s">
        <v>705</v>
      </c>
      <c r="C261" s="152">
        <v>58</v>
      </c>
      <c r="D261" s="153">
        <v>6470</v>
      </c>
      <c r="E261" s="154" t="s">
        <v>516</v>
      </c>
      <c r="F261" s="264" t="s">
        <v>1095</v>
      </c>
      <c r="G261" s="155"/>
      <c r="H261" s="206"/>
      <c r="I261" s="206"/>
      <c r="J261" s="206"/>
      <c r="K261" s="206"/>
      <c r="M261" s="255"/>
      <c r="N261" s="206">
        <f t="shared" si="54"/>
        <v>0</v>
      </c>
      <c r="O261" s="206">
        <f t="shared" si="50"/>
        <v>0</v>
      </c>
      <c r="P261" s="206">
        <f t="shared" si="50"/>
        <v>0</v>
      </c>
      <c r="Q261" s="206">
        <f t="shared" si="50"/>
        <v>0</v>
      </c>
      <c r="R261" s="245"/>
      <c r="S261" s="206">
        <f t="shared" si="55"/>
        <v>0</v>
      </c>
      <c r="T261" s="206">
        <f t="shared" si="51"/>
        <v>0</v>
      </c>
      <c r="U261" s="206">
        <f t="shared" si="52"/>
        <v>0</v>
      </c>
      <c r="V261" s="206">
        <f t="shared" si="53"/>
        <v>0</v>
      </c>
    </row>
    <row r="262" spans="1:22" s="156" customFormat="1">
      <c r="A262" s="160" t="s">
        <v>954</v>
      </c>
      <c r="B262" s="160" t="s">
        <v>187</v>
      </c>
      <c r="C262" s="161">
        <v>10</v>
      </c>
      <c r="D262" s="162">
        <v>6470</v>
      </c>
      <c r="E262" s="163" t="s">
        <v>428</v>
      </c>
      <c r="F262" s="265" t="s">
        <v>154</v>
      </c>
      <c r="G262" s="155"/>
      <c r="H262" s="206"/>
      <c r="I262" s="206"/>
      <c r="J262" s="206"/>
      <c r="K262" s="206"/>
      <c r="M262" s="255"/>
      <c r="N262" s="206">
        <f t="shared" si="54"/>
        <v>0</v>
      </c>
      <c r="O262" s="206">
        <f>I262*10/1000</f>
        <v>0</v>
      </c>
      <c r="P262" s="206">
        <f>J262*10/1000</f>
        <v>0</v>
      </c>
      <c r="Q262" s="206">
        <f>K262*10/1000</f>
        <v>0</v>
      </c>
      <c r="R262" s="245"/>
      <c r="S262" s="206">
        <f t="shared" si="55"/>
        <v>0</v>
      </c>
      <c r="T262" s="206">
        <f t="shared" si="51"/>
        <v>0</v>
      </c>
      <c r="U262" s="206">
        <f t="shared" si="52"/>
        <v>0</v>
      </c>
      <c r="V262" s="206">
        <f t="shared" si="53"/>
        <v>0</v>
      </c>
    </row>
    <row r="263" spans="1:22" s="170" customFormat="1" ht="13.5" thickBot="1">
      <c r="A263" s="168"/>
      <c r="B263" s="168"/>
      <c r="C263" s="169"/>
      <c r="E263" s="171" t="s">
        <v>1505</v>
      </c>
      <c r="F263" s="266"/>
      <c r="G263" s="168" t="s">
        <v>674</v>
      </c>
      <c r="H263" s="218">
        <f>SUM(H243:H262)</f>
        <v>80907</v>
      </c>
      <c r="I263" s="218">
        <f>SUM(I243:I262)</f>
        <v>81517</v>
      </c>
      <c r="J263" s="218">
        <f>SUM(J243:J262)</f>
        <v>47325</v>
      </c>
      <c r="K263" s="218">
        <f>SUM(K243:K262)</f>
        <v>47325</v>
      </c>
      <c r="M263" s="256"/>
      <c r="N263" s="218">
        <f>SUM(N246:N262)</f>
        <v>809.07</v>
      </c>
      <c r="O263" s="218">
        <f>SUM(O246:O262)</f>
        <v>815.17000000000007</v>
      </c>
      <c r="P263" s="218">
        <f>SUM(P246:P262)</f>
        <v>473.25</v>
      </c>
      <c r="Q263" s="218">
        <f>SUM(Q246:Q262)</f>
        <v>473.25</v>
      </c>
      <c r="R263" s="246"/>
      <c r="S263" s="218">
        <f>SUM(S246:S262)</f>
        <v>829.41475904317383</v>
      </c>
      <c r="T263" s="218">
        <f>SUM(T246:T262)</f>
        <v>835.66814877479578</v>
      </c>
      <c r="U263" s="218">
        <f>SUM(U246:U262)</f>
        <v>485.15027712952156</v>
      </c>
      <c r="V263" s="218">
        <f>SUM(V246:V262)</f>
        <v>485.15027712952156</v>
      </c>
    </row>
    <row r="264" spans="1:22" s="4" customFormat="1">
      <c r="A264" s="146"/>
      <c r="B264" s="146"/>
      <c r="C264" s="38"/>
      <c r="E264" s="147"/>
      <c r="F264" s="272"/>
      <c r="G264" s="9"/>
      <c r="H264" s="55"/>
      <c r="I264" s="55"/>
      <c r="J264" s="55"/>
      <c r="K264" s="55"/>
      <c r="M264" s="253"/>
      <c r="N264" s="55"/>
      <c r="O264" s="55"/>
      <c r="P264" s="55"/>
      <c r="Q264" s="55"/>
      <c r="R264" s="243"/>
      <c r="S264" s="66" t="s">
        <v>1527</v>
      </c>
    </row>
    <row r="265" spans="1:22" s="4" customFormat="1">
      <c r="C265" s="38"/>
      <c r="E265" s="148"/>
      <c r="F265" s="273"/>
      <c r="G265" s="149"/>
      <c r="H265" s="55"/>
      <c r="I265" s="55"/>
      <c r="J265" s="55"/>
      <c r="K265" s="55"/>
      <c r="M265" s="253"/>
      <c r="N265" s="55"/>
      <c r="O265" s="55"/>
      <c r="P265" s="55"/>
      <c r="Q265" s="55"/>
      <c r="R265" s="243"/>
    </row>
    <row r="266" spans="1:22" s="4" customFormat="1">
      <c r="C266" s="38"/>
      <c r="E266" s="148"/>
      <c r="F266" s="273"/>
      <c r="G266" s="149"/>
      <c r="K266" s="54"/>
      <c r="M266" s="253"/>
      <c r="R266" s="253"/>
    </row>
    <row r="267" spans="1:22" s="4" customFormat="1">
      <c r="C267" s="38"/>
      <c r="E267" s="148"/>
      <c r="F267" s="273"/>
      <c r="G267" s="149"/>
      <c r="K267" s="54"/>
      <c r="M267" s="253"/>
      <c r="R267" s="253"/>
    </row>
    <row r="268" spans="1:22" s="4" customFormat="1">
      <c r="C268" s="38"/>
      <c r="E268" s="148"/>
      <c r="F268" s="273"/>
      <c r="G268" s="149"/>
      <c r="K268" s="54"/>
      <c r="M268" s="253"/>
      <c r="R268" s="253"/>
    </row>
    <row r="269" spans="1:22" s="4" customFormat="1">
      <c r="C269" s="38"/>
      <c r="E269" s="148"/>
      <c r="F269" s="273"/>
      <c r="G269" s="149"/>
      <c r="K269" s="54"/>
      <c r="M269" s="253"/>
      <c r="R269" s="253"/>
    </row>
    <row r="270" spans="1:22" s="4" customFormat="1">
      <c r="C270" s="38"/>
      <c r="E270" s="148"/>
      <c r="F270" s="273"/>
      <c r="G270" s="149"/>
      <c r="K270" s="54"/>
      <c r="M270" s="253"/>
      <c r="R270" s="253"/>
    </row>
    <row r="271" spans="1:22" s="4" customFormat="1">
      <c r="C271" s="38"/>
      <c r="E271" s="148"/>
      <c r="F271" s="273"/>
      <c r="G271" s="149"/>
      <c r="K271" s="54"/>
      <c r="M271" s="253"/>
      <c r="R271" s="253"/>
    </row>
    <row r="272" spans="1:22" s="4" customFormat="1">
      <c r="C272" s="38"/>
      <c r="E272" s="148"/>
      <c r="F272" s="273"/>
      <c r="G272" s="149"/>
      <c r="K272" s="54"/>
      <c r="M272" s="253"/>
      <c r="R272" s="253"/>
    </row>
    <row r="273" spans="3:18" s="4" customFormat="1">
      <c r="C273" s="38"/>
      <c r="E273" s="148"/>
      <c r="F273" s="273"/>
      <c r="G273" s="149"/>
      <c r="K273" s="54"/>
      <c r="M273" s="253"/>
      <c r="R273" s="253"/>
    </row>
    <row r="274" spans="3:18" s="4" customFormat="1">
      <c r="C274" s="38"/>
      <c r="E274" s="148"/>
      <c r="F274" s="273"/>
      <c r="G274" s="149"/>
      <c r="K274" s="54"/>
      <c r="M274" s="253"/>
      <c r="R274" s="253"/>
    </row>
    <row r="275" spans="3:18" s="4" customFormat="1">
      <c r="C275" s="38"/>
      <c r="E275" s="148"/>
      <c r="F275" s="273"/>
      <c r="G275" s="149"/>
      <c r="K275" s="54"/>
      <c r="M275" s="253"/>
      <c r="R275" s="253"/>
    </row>
    <row r="276" spans="3:18" s="4" customFormat="1">
      <c r="C276" s="38"/>
      <c r="E276" s="148"/>
      <c r="F276" s="273"/>
      <c r="G276" s="149"/>
      <c r="K276" s="54"/>
      <c r="M276" s="253"/>
      <c r="R276" s="253"/>
    </row>
    <row r="277" spans="3:18" s="4" customFormat="1">
      <c r="C277" s="38"/>
      <c r="E277" s="148"/>
      <c r="F277" s="273"/>
      <c r="G277" s="149"/>
      <c r="K277" s="54"/>
      <c r="M277" s="253"/>
      <c r="R277" s="253"/>
    </row>
    <row r="278" spans="3:18" s="4" customFormat="1">
      <c r="C278" s="38"/>
      <c r="E278" s="148"/>
      <c r="F278" s="273"/>
      <c r="G278" s="149"/>
      <c r="K278" s="54"/>
      <c r="M278" s="253"/>
      <c r="R278" s="253"/>
    </row>
    <row r="279" spans="3:18" s="4" customFormat="1">
      <c r="C279" s="38"/>
      <c r="E279" s="148"/>
      <c r="F279" s="273"/>
      <c r="G279" s="149"/>
      <c r="K279" s="54"/>
      <c r="M279" s="253"/>
      <c r="R279" s="253"/>
    </row>
    <row r="280" spans="3:18" s="4" customFormat="1">
      <c r="C280" s="38"/>
      <c r="E280" s="148"/>
      <c r="F280" s="273"/>
      <c r="G280" s="149"/>
      <c r="K280" s="54"/>
      <c r="M280" s="253"/>
      <c r="R280" s="253"/>
    </row>
    <row r="281" spans="3:18" s="4" customFormat="1">
      <c r="C281" s="38"/>
      <c r="E281" s="148"/>
      <c r="F281" s="273"/>
      <c r="G281" s="149"/>
      <c r="K281" s="54"/>
      <c r="M281" s="253"/>
      <c r="R281" s="253"/>
    </row>
    <row r="282" spans="3:18" s="4" customFormat="1">
      <c r="C282" s="38"/>
      <c r="E282" s="148"/>
      <c r="F282" s="273"/>
      <c r="G282" s="149"/>
      <c r="K282" s="54"/>
      <c r="M282" s="253"/>
      <c r="R282" s="253"/>
    </row>
    <row r="283" spans="3:18" s="4" customFormat="1">
      <c r="C283" s="38"/>
      <c r="E283" s="148"/>
      <c r="F283" s="273"/>
      <c r="G283" s="149"/>
      <c r="K283" s="54"/>
      <c r="M283" s="253"/>
      <c r="R283" s="253"/>
    </row>
    <row r="284" spans="3:18" s="4" customFormat="1">
      <c r="C284" s="38"/>
      <c r="E284" s="148"/>
      <c r="F284" s="273"/>
      <c r="G284" s="149"/>
      <c r="K284" s="54"/>
      <c r="M284" s="253"/>
      <c r="R284" s="253"/>
    </row>
    <row r="285" spans="3:18" s="4" customFormat="1">
      <c r="C285" s="38"/>
      <c r="E285" s="148"/>
      <c r="F285" s="273"/>
      <c r="G285" s="149"/>
      <c r="K285" s="54"/>
      <c r="M285" s="253"/>
      <c r="R285" s="253"/>
    </row>
    <row r="286" spans="3:18" s="4" customFormat="1">
      <c r="C286" s="38"/>
      <c r="E286" s="148"/>
      <c r="F286" s="273"/>
      <c r="G286" s="149"/>
      <c r="K286" s="54"/>
      <c r="M286" s="253"/>
      <c r="R286" s="253"/>
    </row>
    <row r="287" spans="3:18" s="4" customFormat="1">
      <c r="C287" s="38"/>
      <c r="E287" s="148"/>
      <c r="F287" s="273"/>
      <c r="G287" s="149"/>
      <c r="K287" s="54"/>
      <c r="M287" s="253"/>
      <c r="R287" s="253"/>
    </row>
    <row r="288" spans="3:18" s="4" customFormat="1">
      <c r="C288" s="38"/>
      <c r="E288" s="148"/>
      <c r="F288" s="273"/>
      <c r="G288" s="149"/>
      <c r="K288" s="54"/>
      <c r="M288" s="253"/>
      <c r="R288" s="253"/>
    </row>
    <row r="289" spans="3:18" s="4" customFormat="1">
      <c r="C289" s="38"/>
      <c r="E289" s="148"/>
      <c r="F289" s="273"/>
      <c r="G289" s="149"/>
      <c r="K289" s="54"/>
      <c r="M289" s="253"/>
      <c r="R289" s="253"/>
    </row>
    <row r="290" spans="3:18" s="4" customFormat="1">
      <c r="C290" s="38"/>
      <c r="E290" s="148"/>
      <c r="F290" s="273"/>
      <c r="G290" s="149"/>
      <c r="K290" s="54"/>
      <c r="M290" s="253"/>
      <c r="R290" s="253"/>
    </row>
    <row r="291" spans="3:18" s="4" customFormat="1">
      <c r="C291" s="38"/>
      <c r="E291" s="148"/>
      <c r="F291" s="273"/>
      <c r="G291" s="149"/>
      <c r="K291" s="54"/>
      <c r="M291" s="253"/>
      <c r="R291" s="253"/>
    </row>
    <row r="292" spans="3:18" s="4" customFormat="1">
      <c r="C292" s="38"/>
      <c r="E292" s="148"/>
      <c r="F292" s="273"/>
      <c r="G292" s="149"/>
      <c r="K292" s="54"/>
      <c r="M292" s="253"/>
      <c r="R292" s="253"/>
    </row>
    <row r="293" spans="3:18" s="4" customFormat="1">
      <c r="C293" s="38"/>
      <c r="E293" s="148"/>
      <c r="F293" s="273"/>
      <c r="G293" s="149"/>
      <c r="K293" s="54"/>
      <c r="M293" s="253"/>
      <c r="R293" s="253"/>
    </row>
    <row r="294" spans="3:18" s="4" customFormat="1">
      <c r="C294" s="38"/>
      <c r="E294" s="148"/>
      <c r="F294" s="273"/>
      <c r="G294" s="149"/>
      <c r="K294" s="54"/>
      <c r="M294" s="253"/>
      <c r="R294" s="253"/>
    </row>
    <row r="295" spans="3:18" s="4" customFormat="1">
      <c r="C295" s="38"/>
      <c r="E295" s="148"/>
      <c r="F295" s="273"/>
      <c r="G295" s="149"/>
      <c r="K295" s="54"/>
      <c r="M295" s="253"/>
      <c r="R295" s="253"/>
    </row>
    <row r="296" spans="3:18" s="4" customFormat="1">
      <c r="C296" s="38"/>
      <c r="E296" s="148"/>
      <c r="F296" s="273"/>
      <c r="G296" s="149"/>
      <c r="K296" s="54"/>
      <c r="M296" s="253"/>
      <c r="R296" s="253"/>
    </row>
    <row r="297" spans="3:18" s="4" customFormat="1">
      <c r="C297" s="38"/>
      <c r="E297" s="148"/>
      <c r="F297" s="273"/>
      <c r="G297" s="149"/>
      <c r="K297" s="54"/>
      <c r="M297" s="253"/>
      <c r="R297" s="253"/>
    </row>
    <row r="298" spans="3:18" s="4" customFormat="1">
      <c r="C298" s="38"/>
      <c r="E298" s="148"/>
      <c r="F298" s="273"/>
      <c r="G298" s="149"/>
      <c r="K298" s="54"/>
      <c r="M298" s="253"/>
      <c r="R298" s="253"/>
    </row>
    <row r="299" spans="3:18" s="4" customFormat="1">
      <c r="C299" s="38"/>
      <c r="E299" s="148"/>
      <c r="F299" s="273"/>
      <c r="G299" s="149"/>
      <c r="K299" s="54"/>
      <c r="M299" s="253"/>
      <c r="R299" s="253"/>
    </row>
    <row r="300" spans="3:18" s="4" customFormat="1">
      <c r="C300" s="38"/>
      <c r="E300" s="148"/>
      <c r="F300" s="273"/>
      <c r="G300" s="149"/>
      <c r="K300" s="54"/>
      <c r="M300" s="253"/>
      <c r="R300" s="253"/>
    </row>
    <row r="301" spans="3:18" s="4" customFormat="1">
      <c r="C301" s="38"/>
      <c r="E301" s="148"/>
      <c r="F301" s="273"/>
      <c r="G301" s="149"/>
      <c r="K301" s="54"/>
      <c r="M301" s="253"/>
      <c r="R301" s="253"/>
    </row>
    <row r="302" spans="3:18" s="4" customFormat="1">
      <c r="C302" s="38"/>
      <c r="E302" s="148"/>
      <c r="F302" s="273"/>
      <c r="G302" s="149"/>
      <c r="K302" s="54"/>
      <c r="M302" s="253"/>
      <c r="R302" s="253"/>
    </row>
    <row r="303" spans="3:18" s="4" customFormat="1">
      <c r="C303" s="38"/>
      <c r="E303" s="148"/>
      <c r="F303" s="273"/>
      <c r="G303" s="149"/>
      <c r="K303" s="54"/>
      <c r="M303" s="253"/>
      <c r="R303" s="253"/>
    </row>
    <row r="304" spans="3:18" s="4" customFormat="1">
      <c r="C304" s="38"/>
      <c r="E304" s="148"/>
      <c r="F304" s="273"/>
      <c r="G304" s="149"/>
      <c r="K304" s="54"/>
      <c r="M304" s="253"/>
      <c r="R304" s="253"/>
    </row>
    <row r="305" spans="3:18" s="4" customFormat="1">
      <c r="C305" s="38"/>
      <c r="E305" s="148"/>
      <c r="F305" s="273"/>
      <c r="G305" s="149"/>
      <c r="K305" s="54"/>
      <c r="M305" s="253"/>
      <c r="R305" s="253"/>
    </row>
    <row r="306" spans="3:18" s="4" customFormat="1">
      <c r="C306" s="38"/>
      <c r="E306" s="148"/>
      <c r="F306" s="273"/>
      <c r="G306" s="149"/>
      <c r="K306" s="54"/>
      <c r="M306" s="253"/>
      <c r="R306" s="253"/>
    </row>
    <row r="307" spans="3:18" s="4" customFormat="1">
      <c r="C307" s="38"/>
      <c r="E307" s="148"/>
      <c r="F307" s="273"/>
      <c r="G307" s="149"/>
      <c r="K307" s="54"/>
      <c r="M307" s="253"/>
      <c r="R307" s="253"/>
    </row>
    <row r="308" spans="3:18" s="4" customFormat="1">
      <c r="C308" s="38"/>
      <c r="E308" s="148"/>
      <c r="F308" s="273"/>
      <c r="G308" s="149"/>
      <c r="K308" s="54"/>
      <c r="M308" s="253"/>
      <c r="R308" s="253"/>
    </row>
    <row r="309" spans="3:18" s="4" customFormat="1">
      <c r="C309" s="38"/>
      <c r="E309" s="148"/>
      <c r="F309" s="273"/>
      <c r="G309" s="149"/>
      <c r="K309" s="54"/>
      <c r="M309" s="253"/>
      <c r="R309" s="253"/>
    </row>
    <row r="310" spans="3:18" s="4" customFormat="1">
      <c r="C310" s="38"/>
      <c r="E310" s="148"/>
      <c r="F310" s="273"/>
      <c r="G310" s="149"/>
      <c r="K310" s="54"/>
      <c r="M310" s="253"/>
      <c r="R310" s="253"/>
    </row>
    <row r="311" spans="3:18" s="4" customFormat="1">
      <c r="C311" s="38"/>
      <c r="E311" s="148"/>
      <c r="F311" s="273"/>
      <c r="G311" s="149"/>
      <c r="K311" s="54"/>
      <c r="M311" s="253"/>
      <c r="R311" s="253"/>
    </row>
    <row r="312" spans="3:18" s="4" customFormat="1">
      <c r="C312" s="38"/>
      <c r="E312" s="148"/>
      <c r="F312" s="273"/>
      <c r="G312" s="149"/>
      <c r="K312" s="54"/>
      <c r="M312" s="253"/>
      <c r="R312" s="253"/>
    </row>
    <row r="313" spans="3:18" s="4" customFormat="1">
      <c r="C313" s="38"/>
      <c r="E313" s="148"/>
      <c r="F313" s="273"/>
      <c r="G313" s="149"/>
      <c r="K313" s="54"/>
      <c r="M313" s="253"/>
      <c r="R313" s="253"/>
    </row>
    <row r="314" spans="3:18" s="4" customFormat="1">
      <c r="C314" s="38"/>
      <c r="E314" s="148"/>
      <c r="F314" s="273"/>
      <c r="G314" s="149"/>
      <c r="K314" s="54"/>
      <c r="M314" s="253"/>
      <c r="R314" s="253"/>
    </row>
    <row r="315" spans="3:18" s="4" customFormat="1">
      <c r="C315" s="38"/>
      <c r="E315" s="148"/>
      <c r="F315" s="273"/>
      <c r="G315" s="149"/>
      <c r="K315" s="54"/>
      <c r="M315" s="253"/>
      <c r="R315" s="253"/>
    </row>
    <row r="316" spans="3:18" s="4" customFormat="1">
      <c r="C316" s="38"/>
      <c r="E316" s="148"/>
      <c r="F316" s="273"/>
      <c r="G316" s="149"/>
      <c r="K316" s="54"/>
      <c r="M316" s="253"/>
      <c r="R316" s="253"/>
    </row>
    <row r="317" spans="3:18" s="4" customFormat="1">
      <c r="C317" s="38"/>
      <c r="E317" s="148"/>
      <c r="F317" s="273"/>
      <c r="G317" s="149"/>
      <c r="K317" s="54"/>
      <c r="M317" s="253"/>
      <c r="R317" s="253"/>
    </row>
    <row r="318" spans="3:18" s="4" customFormat="1">
      <c r="C318" s="38"/>
      <c r="E318" s="148"/>
      <c r="F318" s="273"/>
      <c r="G318" s="149"/>
      <c r="K318" s="54"/>
      <c r="M318" s="253"/>
      <c r="R318" s="253"/>
    </row>
    <row r="319" spans="3:18" s="4" customFormat="1">
      <c r="C319" s="38"/>
      <c r="E319" s="148"/>
      <c r="F319" s="273"/>
      <c r="G319" s="149"/>
      <c r="K319" s="54"/>
      <c r="M319" s="253"/>
      <c r="R319" s="253"/>
    </row>
    <row r="320" spans="3:18" s="4" customFormat="1">
      <c r="C320" s="38"/>
      <c r="E320" s="148"/>
      <c r="F320" s="273"/>
      <c r="G320" s="149"/>
      <c r="K320" s="54"/>
      <c r="M320" s="253"/>
      <c r="R320" s="253"/>
    </row>
    <row r="321" spans="3:18" s="4" customFormat="1">
      <c r="C321" s="38"/>
      <c r="E321" s="148"/>
      <c r="F321" s="273"/>
      <c r="G321" s="149"/>
      <c r="K321" s="54"/>
      <c r="M321" s="253"/>
      <c r="R321" s="253"/>
    </row>
    <row r="322" spans="3:18" s="4" customFormat="1">
      <c r="C322" s="38"/>
      <c r="E322" s="148"/>
      <c r="F322" s="273"/>
      <c r="G322" s="149"/>
      <c r="K322" s="54"/>
      <c r="M322" s="253"/>
      <c r="R322" s="253"/>
    </row>
    <row r="323" spans="3:18" s="4" customFormat="1">
      <c r="C323" s="38"/>
      <c r="E323" s="148"/>
      <c r="F323" s="273"/>
      <c r="G323" s="149"/>
      <c r="K323" s="54"/>
      <c r="M323" s="253"/>
      <c r="R323" s="253"/>
    </row>
    <row r="324" spans="3:18" s="4" customFormat="1">
      <c r="C324" s="38"/>
      <c r="E324" s="148"/>
      <c r="F324" s="273"/>
      <c r="G324" s="149"/>
      <c r="K324" s="54"/>
      <c r="M324" s="253"/>
      <c r="R324" s="253"/>
    </row>
    <row r="325" spans="3:18" s="4" customFormat="1">
      <c r="C325" s="38"/>
      <c r="E325" s="148"/>
      <c r="F325" s="273"/>
      <c r="G325" s="149"/>
      <c r="K325" s="54"/>
      <c r="M325" s="253"/>
      <c r="R325" s="253"/>
    </row>
    <row r="326" spans="3:18" s="4" customFormat="1">
      <c r="C326" s="38"/>
      <c r="E326" s="148"/>
      <c r="F326" s="273"/>
      <c r="G326" s="149"/>
      <c r="K326" s="54"/>
      <c r="M326" s="253"/>
      <c r="R326" s="253"/>
    </row>
    <row r="327" spans="3:18" s="4" customFormat="1">
      <c r="C327" s="38"/>
      <c r="E327" s="148"/>
      <c r="F327" s="273"/>
      <c r="G327" s="149"/>
      <c r="K327" s="54"/>
      <c r="M327" s="253"/>
      <c r="R327" s="253"/>
    </row>
    <row r="328" spans="3:18" s="4" customFormat="1">
      <c r="C328" s="38"/>
      <c r="E328" s="148"/>
      <c r="F328" s="273"/>
      <c r="G328" s="149"/>
      <c r="K328" s="54"/>
      <c r="M328" s="253"/>
      <c r="R328" s="253"/>
    </row>
    <row r="329" spans="3:18" s="4" customFormat="1">
      <c r="C329" s="38"/>
      <c r="E329" s="148"/>
      <c r="F329" s="273"/>
      <c r="G329" s="149"/>
      <c r="K329" s="54"/>
      <c r="M329" s="253"/>
      <c r="R329" s="253"/>
    </row>
    <row r="330" spans="3:18" s="4" customFormat="1">
      <c r="C330" s="38"/>
      <c r="E330" s="148"/>
      <c r="F330" s="273"/>
      <c r="G330" s="149"/>
      <c r="K330" s="54"/>
      <c r="M330" s="253"/>
      <c r="R330" s="253"/>
    </row>
    <row r="331" spans="3:18" s="4" customFormat="1">
      <c r="C331" s="38"/>
      <c r="E331" s="148"/>
      <c r="F331" s="273"/>
      <c r="G331" s="149"/>
      <c r="K331" s="54"/>
      <c r="M331" s="253"/>
      <c r="R331" s="253"/>
    </row>
    <row r="332" spans="3:18" s="4" customFormat="1">
      <c r="C332" s="38"/>
      <c r="E332" s="148"/>
      <c r="F332" s="273"/>
      <c r="G332" s="149"/>
      <c r="K332" s="54"/>
      <c r="M332" s="253"/>
      <c r="R332" s="253"/>
    </row>
    <row r="333" spans="3:18" s="4" customFormat="1">
      <c r="C333" s="38"/>
      <c r="E333" s="148"/>
      <c r="F333" s="273"/>
      <c r="G333" s="149"/>
      <c r="K333" s="54"/>
      <c r="M333" s="253"/>
      <c r="R333" s="253"/>
    </row>
    <row r="334" spans="3:18" s="4" customFormat="1">
      <c r="C334" s="38"/>
      <c r="E334" s="148"/>
      <c r="F334" s="273"/>
      <c r="G334" s="149"/>
      <c r="K334" s="54"/>
      <c r="M334" s="253"/>
      <c r="R334" s="253"/>
    </row>
    <row r="335" spans="3:18" s="4" customFormat="1">
      <c r="C335" s="38"/>
      <c r="E335" s="148"/>
      <c r="F335" s="273"/>
      <c r="G335" s="149"/>
      <c r="K335" s="54"/>
      <c r="M335" s="253"/>
      <c r="R335" s="253"/>
    </row>
    <row r="336" spans="3:18" s="4" customFormat="1">
      <c r="C336" s="38"/>
      <c r="E336" s="148"/>
      <c r="F336" s="273"/>
      <c r="G336" s="149"/>
      <c r="K336" s="54"/>
      <c r="M336" s="253"/>
      <c r="R336" s="253"/>
    </row>
    <row r="337" spans="3:18" s="4" customFormat="1">
      <c r="C337" s="38"/>
      <c r="E337" s="148"/>
      <c r="F337" s="273"/>
      <c r="G337" s="149"/>
      <c r="K337" s="54"/>
      <c r="M337" s="253"/>
      <c r="R337" s="253"/>
    </row>
    <row r="338" spans="3:18" s="4" customFormat="1">
      <c r="C338" s="38"/>
      <c r="E338" s="148"/>
      <c r="F338" s="273"/>
      <c r="G338" s="149"/>
      <c r="K338" s="54"/>
      <c r="M338" s="253"/>
      <c r="R338" s="253"/>
    </row>
    <row r="339" spans="3:18" s="4" customFormat="1">
      <c r="C339" s="38"/>
      <c r="E339" s="148"/>
      <c r="F339" s="273"/>
      <c r="G339" s="149"/>
      <c r="K339" s="54"/>
      <c r="M339" s="253"/>
      <c r="R339" s="253"/>
    </row>
    <row r="340" spans="3:18" s="4" customFormat="1">
      <c r="C340" s="38"/>
      <c r="E340" s="148"/>
      <c r="F340" s="273"/>
      <c r="G340" s="149"/>
      <c r="K340" s="54"/>
      <c r="M340" s="253"/>
      <c r="R340" s="253"/>
    </row>
    <row r="341" spans="3:18" s="4" customFormat="1">
      <c r="C341" s="38"/>
      <c r="E341" s="148"/>
      <c r="F341" s="273"/>
      <c r="G341" s="149"/>
      <c r="K341" s="54"/>
      <c r="M341" s="253"/>
      <c r="R341" s="253"/>
    </row>
    <row r="342" spans="3:18" s="4" customFormat="1">
      <c r="C342" s="38"/>
      <c r="E342" s="148"/>
      <c r="F342" s="273"/>
      <c r="G342" s="149"/>
      <c r="K342" s="54"/>
      <c r="M342" s="253"/>
      <c r="R342" s="253"/>
    </row>
    <row r="343" spans="3:18" s="4" customFormat="1">
      <c r="C343" s="38"/>
      <c r="E343" s="148"/>
      <c r="F343" s="273"/>
      <c r="G343" s="149"/>
      <c r="K343" s="54"/>
      <c r="M343" s="253"/>
      <c r="R343" s="253"/>
    </row>
    <row r="344" spans="3:18" s="4" customFormat="1">
      <c r="C344" s="38"/>
      <c r="E344" s="148"/>
      <c r="F344" s="273"/>
      <c r="G344" s="149"/>
      <c r="K344" s="54"/>
      <c r="M344" s="253"/>
      <c r="R344" s="253"/>
    </row>
    <row r="345" spans="3:18" s="4" customFormat="1">
      <c r="C345" s="38"/>
      <c r="E345" s="148"/>
      <c r="F345" s="273"/>
      <c r="G345" s="149"/>
      <c r="K345" s="54"/>
      <c r="M345" s="253"/>
      <c r="R345" s="253"/>
    </row>
    <row r="346" spans="3:18" s="4" customFormat="1">
      <c r="C346" s="38"/>
      <c r="E346" s="148"/>
      <c r="F346" s="273"/>
      <c r="G346" s="149"/>
      <c r="K346" s="54"/>
      <c r="M346" s="253"/>
      <c r="R346" s="253"/>
    </row>
    <row r="347" spans="3:18" s="4" customFormat="1">
      <c r="C347" s="38"/>
      <c r="E347" s="148"/>
      <c r="F347" s="273"/>
      <c r="G347" s="149"/>
      <c r="K347" s="54"/>
      <c r="M347" s="253"/>
      <c r="R347" s="253"/>
    </row>
    <row r="348" spans="3:18" s="4" customFormat="1">
      <c r="C348" s="38"/>
      <c r="E348" s="148"/>
      <c r="F348" s="273"/>
      <c r="G348" s="149"/>
      <c r="K348" s="54"/>
      <c r="M348" s="253"/>
      <c r="R348" s="253"/>
    </row>
    <row r="349" spans="3:18" s="4" customFormat="1">
      <c r="C349" s="38"/>
      <c r="E349" s="148"/>
      <c r="F349" s="273"/>
      <c r="G349" s="149"/>
      <c r="K349" s="54"/>
      <c r="M349" s="253"/>
      <c r="R349" s="253"/>
    </row>
    <row r="350" spans="3:18" s="4" customFormat="1">
      <c r="C350" s="38"/>
      <c r="E350" s="148"/>
      <c r="F350" s="273"/>
      <c r="G350" s="149"/>
      <c r="K350" s="54"/>
      <c r="M350" s="253"/>
      <c r="R350" s="253"/>
    </row>
    <row r="351" spans="3:18" s="4" customFormat="1">
      <c r="C351" s="38"/>
      <c r="E351" s="148"/>
      <c r="F351" s="273"/>
      <c r="G351" s="149"/>
      <c r="K351" s="54"/>
      <c r="M351" s="253"/>
      <c r="R351" s="253"/>
    </row>
    <row r="352" spans="3:18" s="4" customFormat="1">
      <c r="C352" s="38"/>
      <c r="E352" s="148"/>
      <c r="F352" s="273"/>
      <c r="G352" s="149"/>
      <c r="K352" s="54"/>
      <c r="M352" s="253"/>
      <c r="R352" s="253"/>
    </row>
    <row r="353" spans="3:18" s="4" customFormat="1">
      <c r="C353" s="38"/>
      <c r="E353" s="148"/>
      <c r="F353" s="273"/>
      <c r="G353" s="149"/>
      <c r="K353" s="54"/>
      <c r="M353" s="253"/>
      <c r="R353" s="253"/>
    </row>
    <row r="354" spans="3:18" s="4" customFormat="1">
      <c r="C354" s="38"/>
      <c r="E354" s="148"/>
      <c r="F354" s="273"/>
      <c r="G354" s="149"/>
      <c r="K354" s="54"/>
      <c r="M354" s="253"/>
      <c r="R354" s="253"/>
    </row>
    <row r="355" spans="3:18" s="4" customFormat="1">
      <c r="C355" s="38"/>
      <c r="E355" s="148"/>
      <c r="F355" s="273"/>
      <c r="G355" s="149"/>
      <c r="K355" s="54"/>
      <c r="M355" s="253"/>
      <c r="R355" s="253"/>
    </row>
    <row r="356" spans="3:18" s="4" customFormat="1">
      <c r="C356" s="38"/>
      <c r="E356" s="148"/>
      <c r="F356" s="273"/>
      <c r="G356" s="149"/>
      <c r="K356" s="54"/>
      <c r="M356" s="253"/>
      <c r="R356" s="253"/>
    </row>
    <row r="357" spans="3:18" s="4" customFormat="1">
      <c r="C357" s="38"/>
      <c r="E357" s="148"/>
      <c r="F357" s="273"/>
      <c r="G357" s="149"/>
      <c r="K357" s="54"/>
      <c r="M357" s="253"/>
      <c r="R357" s="253"/>
    </row>
    <row r="358" spans="3:18" s="4" customFormat="1">
      <c r="C358" s="38"/>
      <c r="E358" s="148"/>
      <c r="F358" s="273"/>
      <c r="G358" s="149"/>
      <c r="K358" s="54"/>
      <c r="M358" s="253"/>
      <c r="R358" s="253"/>
    </row>
    <row r="359" spans="3:18" s="4" customFormat="1">
      <c r="C359" s="38"/>
      <c r="E359" s="148"/>
      <c r="F359" s="273"/>
      <c r="G359" s="149"/>
      <c r="K359" s="54"/>
      <c r="M359" s="253"/>
      <c r="R359" s="253"/>
    </row>
    <row r="360" spans="3:18" s="4" customFormat="1">
      <c r="C360" s="38"/>
      <c r="E360" s="148"/>
      <c r="F360" s="273"/>
      <c r="G360" s="149"/>
      <c r="K360" s="54"/>
      <c r="M360" s="253"/>
      <c r="R360" s="253"/>
    </row>
    <row r="361" spans="3:18" s="4" customFormat="1">
      <c r="C361" s="38"/>
      <c r="E361" s="148"/>
      <c r="F361" s="273"/>
      <c r="G361" s="149"/>
      <c r="K361" s="54"/>
      <c r="M361" s="253"/>
      <c r="R361" s="253"/>
    </row>
    <row r="362" spans="3:18" s="4" customFormat="1">
      <c r="C362" s="38"/>
      <c r="E362" s="148"/>
      <c r="F362" s="273"/>
      <c r="G362" s="149"/>
      <c r="K362" s="54"/>
      <c r="M362" s="253"/>
      <c r="R362" s="253"/>
    </row>
    <row r="363" spans="3:18" s="4" customFormat="1">
      <c r="C363" s="38"/>
      <c r="E363" s="148"/>
      <c r="F363" s="273"/>
      <c r="G363" s="149"/>
      <c r="K363" s="54"/>
      <c r="M363" s="253"/>
      <c r="R363" s="253"/>
    </row>
    <row r="364" spans="3:18" s="4" customFormat="1">
      <c r="C364" s="38"/>
      <c r="E364" s="148"/>
      <c r="F364" s="273"/>
      <c r="G364" s="149"/>
      <c r="K364" s="54"/>
      <c r="M364" s="253"/>
      <c r="R364" s="253"/>
    </row>
    <row r="365" spans="3:18" s="4" customFormat="1">
      <c r="C365" s="38"/>
      <c r="E365" s="148"/>
      <c r="F365" s="273"/>
      <c r="G365" s="149"/>
      <c r="K365" s="54"/>
      <c r="M365" s="253"/>
      <c r="R365" s="253"/>
    </row>
    <row r="366" spans="3:18" s="4" customFormat="1">
      <c r="C366" s="38"/>
      <c r="E366" s="148"/>
      <c r="F366" s="273"/>
      <c r="G366" s="149"/>
      <c r="K366" s="54"/>
      <c r="M366" s="253"/>
      <c r="R366" s="253"/>
    </row>
    <row r="367" spans="3:18" s="4" customFormat="1">
      <c r="C367" s="38"/>
      <c r="E367" s="148"/>
      <c r="F367" s="273"/>
      <c r="G367" s="149"/>
      <c r="K367" s="54"/>
      <c r="M367" s="253"/>
      <c r="R367" s="253"/>
    </row>
    <row r="368" spans="3:18" s="4" customFormat="1">
      <c r="C368" s="38"/>
      <c r="E368" s="148"/>
      <c r="F368" s="273"/>
      <c r="G368" s="149"/>
      <c r="K368" s="54"/>
      <c r="M368" s="253"/>
      <c r="R368" s="253"/>
    </row>
    <row r="369" spans="3:18" s="4" customFormat="1">
      <c r="C369" s="38"/>
      <c r="E369" s="148"/>
      <c r="F369" s="273"/>
      <c r="G369" s="149"/>
      <c r="K369" s="54"/>
      <c r="M369" s="253"/>
      <c r="R369" s="253"/>
    </row>
    <row r="370" spans="3:18" s="4" customFormat="1">
      <c r="C370" s="38"/>
      <c r="E370" s="148"/>
      <c r="F370" s="273"/>
      <c r="G370" s="149"/>
      <c r="K370" s="54"/>
      <c r="M370" s="253"/>
      <c r="R370" s="253"/>
    </row>
    <row r="371" spans="3:18" s="4" customFormat="1">
      <c r="C371" s="38"/>
      <c r="E371" s="148"/>
      <c r="F371" s="273"/>
      <c r="G371" s="149"/>
      <c r="K371" s="54"/>
      <c r="M371" s="253"/>
      <c r="R371" s="253"/>
    </row>
    <row r="372" spans="3:18" s="4" customFormat="1">
      <c r="C372" s="38"/>
      <c r="E372" s="148"/>
      <c r="F372" s="273"/>
      <c r="G372" s="149"/>
      <c r="K372" s="54"/>
      <c r="M372" s="253"/>
      <c r="R372" s="253"/>
    </row>
    <row r="373" spans="3:18" s="4" customFormat="1">
      <c r="C373" s="38"/>
      <c r="E373" s="148"/>
      <c r="F373" s="273"/>
      <c r="G373" s="149"/>
      <c r="K373" s="54"/>
      <c r="M373" s="253"/>
      <c r="R373" s="253"/>
    </row>
    <row r="374" spans="3:18" s="4" customFormat="1">
      <c r="C374" s="38"/>
      <c r="E374" s="148"/>
      <c r="F374" s="273"/>
      <c r="G374" s="149"/>
      <c r="K374" s="54"/>
      <c r="M374" s="253"/>
      <c r="R374" s="253"/>
    </row>
    <row r="375" spans="3:18" s="4" customFormat="1">
      <c r="C375" s="38"/>
      <c r="E375" s="148"/>
      <c r="F375" s="273"/>
      <c r="G375" s="149"/>
      <c r="K375" s="54"/>
      <c r="M375" s="253"/>
      <c r="R375" s="253"/>
    </row>
    <row r="376" spans="3:18" s="4" customFormat="1">
      <c r="C376" s="38"/>
      <c r="E376" s="148"/>
      <c r="F376" s="273"/>
      <c r="G376" s="149"/>
      <c r="K376" s="54"/>
      <c r="M376" s="253"/>
      <c r="R376" s="253"/>
    </row>
    <row r="377" spans="3:18" s="4" customFormat="1">
      <c r="C377" s="38"/>
      <c r="E377" s="148"/>
      <c r="F377" s="273"/>
      <c r="G377" s="149"/>
      <c r="K377" s="54"/>
      <c r="M377" s="253"/>
      <c r="R377" s="253"/>
    </row>
    <row r="378" spans="3:18" s="4" customFormat="1">
      <c r="C378" s="38"/>
      <c r="E378" s="148"/>
      <c r="F378" s="273"/>
      <c r="G378" s="149"/>
      <c r="K378" s="54"/>
      <c r="M378" s="253"/>
      <c r="R378" s="253"/>
    </row>
    <row r="379" spans="3:18" s="4" customFormat="1">
      <c r="C379" s="38"/>
      <c r="E379" s="148"/>
      <c r="F379" s="273"/>
      <c r="G379" s="149"/>
      <c r="K379" s="54"/>
      <c r="M379" s="253"/>
      <c r="R379" s="253"/>
    </row>
    <row r="380" spans="3:18" s="4" customFormat="1">
      <c r="C380" s="38"/>
      <c r="E380" s="148"/>
      <c r="F380" s="273"/>
      <c r="G380" s="149"/>
      <c r="K380" s="54"/>
      <c r="M380" s="253"/>
      <c r="R380" s="253"/>
    </row>
    <row r="381" spans="3:18" s="4" customFormat="1">
      <c r="C381" s="38"/>
      <c r="E381" s="148"/>
      <c r="F381" s="273"/>
      <c r="G381" s="149"/>
      <c r="K381" s="54"/>
      <c r="M381" s="253"/>
      <c r="R381" s="253"/>
    </row>
    <row r="382" spans="3:18" s="4" customFormat="1">
      <c r="C382" s="38"/>
      <c r="E382" s="148"/>
      <c r="F382" s="273"/>
      <c r="G382" s="149"/>
      <c r="K382" s="54"/>
      <c r="M382" s="253"/>
      <c r="R382" s="253"/>
    </row>
    <row r="383" spans="3:18" s="4" customFormat="1">
      <c r="C383" s="38"/>
      <c r="E383" s="148"/>
      <c r="F383" s="273"/>
      <c r="G383" s="149"/>
      <c r="K383" s="54"/>
      <c r="M383" s="253"/>
      <c r="R383" s="253"/>
    </row>
    <row r="384" spans="3:18" s="4" customFormat="1">
      <c r="C384" s="38"/>
      <c r="E384" s="148"/>
      <c r="F384" s="273"/>
      <c r="G384" s="149"/>
      <c r="K384" s="54"/>
      <c r="M384" s="253"/>
      <c r="R384" s="253"/>
    </row>
    <row r="385" spans="3:18" s="4" customFormat="1">
      <c r="C385" s="38"/>
      <c r="E385" s="148"/>
      <c r="F385" s="273"/>
      <c r="G385" s="149"/>
      <c r="K385" s="54"/>
      <c r="M385" s="253"/>
      <c r="R385" s="253"/>
    </row>
    <row r="386" spans="3:18" s="4" customFormat="1">
      <c r="C386" s="38"/>
      <c r="E386" s="148"/>
      <c r="F386" s="273"/>
      <c r="G386" s="149"/>
      <c r="K386" s="54"/>
      <c r="M386" s="253"/>
      <c r="R386" s="253"/>
    </row>
    <row r="387" spans="3:18" s="4" customFormat="1">
      <c r="C387" s="38"/>
      <c r="E387" s="148"/>
      <c r="F387" s="273"/>
      <c r="G387" s="149"/>
      <c r="K387" s="54"/>
      <c r="M387" s="253"/>
      <c r="R387" s="253"/>
    </row>
    <row r="388" spans="3:18" s="4" customFormat="1">
      <c r="C388" s="38"/>
      <c r="E388" s="148"/>
      <c r="F388" s="273"/>
      <c r="G388" s="149"/>
      <c r="K388" s="54"/>
      <c r="M388" s="253"/>
      <c r="R388" s="253"/>
    </row>
    <row r="389" spans="3:18" s="4" customFormat="1">
      <c r="C389" s="38"/>
      <c r="E389" s="148"/>
      <c r="F389" s="273"/>
      <c r="G389" s="149"/>
      <c r="K389" s="54"/>
      <c r="M389" s="253"/>
      <c r="R389" s="253"/>
    </row>
    <row r="390" spans="3:18" s="4" customFormat="1">
      <c r="C390" s="38"/>
      <c r="E390" s="148"/>
      <c r="F390" s="273"/>
      <c r="G390" s="149"/>
      <c r="K390" s="54"/>
      <c r="M390" s="253"/>
      <c r="R390" s="253"/>
    </row>
    <row r="391" spans="3:18" s="4" customFormat="1">
      <c r="C391" s="38"/>
      <c r="E391" s="148"/>
      <c r="F391" s="273"/>
      <c r="G391" s="149"/>
      <c r="K391" s="54"/>
      <c r="M391" s="253"/>
      <c r="R391" s="253"/>
    </row>
    <row r="392" spans="3:18" s="4" customFormat="1">
      <c r="C392" s="38"/>
      <c r="E392" s="148"/>
      <c r="F392" s="273"/>
      <c r="G392" s="149"/>
      <c r="K392" s="54"/>
      <c r="M392" s="253"/>
      <c r="R392" s="253"/>
    </row>
    <row r="393" spans="3:18" s="4" customFormat="1">
      <c r="C393" s="38"/>
      <c r="E393" s="148"/>
      <c r="F393" s="273"/>
      <c r="G393" s="149"/>
      <c r="K393" s="54"/>
      <c r="M393" s="253"/>
      <c r="R393" s="253"/>
    </row>
    <row r="394" spans="3:18" s="4" customFormat="1">
      <c r="C394" s="38"/>
      <c r="E394" s="148"/>
      <c r="F394" s="273"/>
      <c r="G394" s="149"/>
      <c r="K394" s="54"/>
      <c r="M394" s="253"/>
      <c r="R394" s="253"/>
    </row>
    <row r="395" spans="3:18" s="4" customFormat="1">
      <c r="C395" s="38"/>
      <c r="E395" s="148"/>
      <c r="F395" s="273"/>
      <c r="G395" s="149"/>
      <c r="K395" s="54"/>
      <c r="M395" s="253"/>
      <c r="R395" s="253"/>
    </row>
    <row r="396" spans="3:18" s="4" customFormat="1">
      <c r="C396" s="38"/>
      <c r="E396" s="148"/>
      <c r="F396" s="273"/>
      <c r="G396" s="149"/>
      <c r="K396" s="54"/>
      <c r="M396" s="253"/>
      <c r="R396" s="253"/>
    </row>
    <row r="397" spans="3:18" s="4" customFormat="1">
      <c r="C397" s="38"/>
      <c r="E397" s="148"/>
      <c r="F397" s="273"/>
      <c r="G397" s="149"/>
      <c r="K397" s="54"/>
      <c r="M397" s="253"/>
      <c r="R397" s="253"/>
    </row>
    <row r="398" spans="3:18" s="4" customFormat="1">
      <c r="C398" s="38"/>
      <c r="E398" s="148"/>
      <c r="F398" s="273"/>
      <c r="G398" s="149"/>
      <c r="K398" s="54"/>
      <c r="M398" s="253"/>
      <c r="R398" s="253"/>
    </row>
    <row r="399" spans="3:18" s="4" customFormat="1">
      <c r="C399" s="38"/>
      <c r="E399" s="148"/>
      <c r="F399" s="273"/>
      <c r="G399" s="149"/>
      <c r="K399" s="54"/>
      <c r="M399" s="253"/>
      <c r="R399" s="253"/>
    </row>
    <row r="400" spans="3:18" s="4" customFormat="1">
      <c r="C400" s="38"/>
      <c r="E400" s="148"/>
      <c r="F400" s="273"/>
      <c r="G400" s="149"/>
      <c r="K400" s="54"/>
      <c r="M400" s="253"/>
      <c r="R400" s="253"/>
    </row>
    <row r="401" spans="3:18" s="4" customFormat="1">
      <c r="C401" s="38"/>
      <c r="E401" s="148"/>
      <c r="F401" s="273"/>
      <c r="G401" s="149"/>
      <c r="K401" s="54"/>
      <c r="M401" s="253"/>
      <c r="R401" s="253"/>
    </row>
    <row r="402" spans="3:18" s="4" customFormat="1">
      <c r="C402" s="38"/>
      <c r="E402" s="148"/>
      <c r="F402" s="273"/>
      <c r="G402" s="149"/>
      <c r="K402" s="54"/>
      <c r="M402" s="253"/>
      <c r="R402" s="253"/>
    </row>
    <row r="403" spans="3:18" s="4" customFormat="1">
      <c r="C403" s="38"/>
      <c r="E403" s="148"/>
      <c r="F403" s="273"/>
      <c r="G403" s="149"/>
      <c r="K403" s="54"/>
      <c r="M403" s="253"/>
      <c r="R403" s="253"/>
    </row>
    <row r="404" spans="3:18" s="4" customFormat="1">
      <c r="C404" s="38"/>
      <c r="E404" s="148"/>
      <c r="F404" s="273"/>
      <c r="G404" s="149"/>
      <c r="K404" s="54"/>
      <c r="M404" s="253"/>
      <c r="R404" s="253"/>
    </row>
    <row r="405" spans="3:18" s="4" customFormat="1">
      <c r="C405" s="38"/>
      <c r="E405" s="148"/>
      <c r="F405" s="273"/>
      <c r="G405" s="149"/>
      <c r="K405" s="54"/>
      <c r="M405" s="253"/>
      <c r="R405" s="253"/>
    </row>
    <row r="406" spans="3:18" s="4" customFormat="1">
      <c r="C406" s="38"/>
      <c r="E406" s="148"/>
      <c r="F406" s="273"/>
      <c r="G406" s="149"/>
      <c r="K406" s="54"/>
      <c r="M406" s="253"/>
      <c r="R406" s="253"/>
    </row>
    <row r="407" spans="3:18" s="4" customFormat="1">
      <c r="C407" s="38"/>
      <c r="E407" s="148"/>
      <c r="F407" s="273"/>
      <c r="G407" s="149"/>
      <c r="K407" s="54"/>
      <c r="M407" s="253"/>
      <c r="R407" s="253"/>
    </row>
    <row r="408" spans="3:18" s="4" customFormat="1">
      <c r="C408" s="38"/>
      <c r="E408" s="148"/>
      <c r="F408" s="273"/>
      <c r="G408" s="149"/>
      <c r="K408" s="54"/>
      <c r="M408" s="253"/>
      <c r="R408" s="253"/>
    </row>
    <row r="409" spans="3:18" s="4" customFormat="1">
      <c r="C409" s="38"/>
      <c r="E409" s="148"/>
      <c r="F409" s="273"/>
      <c r="G409" s="149"/>
      <c r="K409" s="54"/>
      <c r="M409" s="253"/>
      <c r="R409" s="253"/>
    </row>
    <row r="410" spans="3:18" s="4" customFormat="1">
      <c r="C410" s="38"/>
      <c r="E410" s="148"/>
      <c r="F410" s="273"/>
      <c r="G410" s="149"/>
      <c r="K410" s="54"/>
      <c r="M410" s="253"/>
      <c r="R410" s="253"/>
    </row>
    <row r="411" spans="3:18" s="4" customFormat="1">
      <c r="C411" s="38"/>
      <c r="E411" s="148"/>
      <c r="F411" s="273"/>
      <c r="G411" s="149"/>
      <c r="K411" s="54"/>
      <c r="M411" s="253"/>
      <c r="R411" s="253"/>
    </row>
    <row r="412" spans="3:18" s="4" customFormat="1">
      <c r="C412" s="38"/>
      <c r="E412" s="148"/>
      <c r="F412" s="273"/>
      <c r="G412" s="149"/>
      <c r="K412" s="54"/>
      <c r="M412" s="253"/>
      <c r="R412" s="253"/>
    </row>
    <row r="413" spans="3:18" s="4" customFormat="1">
      <c r="C413" s="38"/>
      <c r="E413" s="148"/>
      <c r="F413" s="273"/>
      <c r="G413" s="149"/>
      <c r="K413" s="54"/>
      <c r="M413" s="253"/>
      <c r="R413" s="253"/>
    </row>
    <row r="414" spans="3:18" s="4" customFormat="1">
      <c r="C414" s="38"/>
      <c r="E414" s="148"/>
      <c r="F414" s="273"/>
      <c r="G414" s="149"/>
      <c r="K414" s="54"/>
      <c r="M414" s="253"/>
      <c r="R414" s="253"/>
    </row>
    <row r="415" spans="3:18" s="4" customFormat="1">
      <c r="C415" s="38"/>
      <c r="E415" s="148"/>
      <c r="F415" s="273"/>
      <c r="G415" s="149"/>
      <c r="K415" s="54"/>
      <c r="M415" s="253"/>
      <c r="R415" s="253"/>
    </row>
    <row r="416" spans="3:18" s="4" customFormat="1">
      <c r="C416" s="38"/>
      <c r="E416" s="148"/>
      <c r="F416" s="273"/>
      <c r="G416" s="149"/>
      <c r="K416" s="54"/>
      <c r="M416" s="253"/>
      <c r="R416" s="253"/>
    </row>
    <row r="417" spans="3:18" s="4" customFormat="1">
      <c r="C417" s="38"/>
      <c r="E417" s="148"/>
      <c r="F417" s="273"/>
      <c r="G417" s="149"/>
      <c r="K417" s="54"/>
      <c r="M417" s="253"/>
      <c r="R417" s="253"/>
    </row>
    <row r="418" spans="3:18" s="4" customFormat="1">
      <c r="C418" s="38"/>
      <c r="E418" s="148"/>
      <c r="F418" s="273"/>
      <c r="G418" s="149"/>
      <c r="K418" s="54"/>
      <c r="M418" s="253"/>
      <c r="R418" s="253"/>
    </row>
    <row r="419" spans="3:18" s="4" customFormat="1">
      <c r="C419" s="38"/>
      <c r="E419" s="148"/>
      <c r="F419" s="273"/>
      <c r="G419" s="149"/>
      <c r="K419" s="54"/>
      <c r="M419" s="253"/>
      <c r="R419" s="253"/>
    </row>
    <row r="420" spans="3:18" s="4" customFormat="1">
      <c r="C420" s="38"/>
      <c r="E420" s="148"/>
      <c r="F420" s="273"/>
      <c r="G420" s="149"/>
      <c r="K420" s="54"/>
      <c r="M420" s="253"/>
      <c r="R420" s="253"/>
    </row>
    <row r="421" spans="3:18" s="4" customFormat="1">
      <c r="C421" s="38"/>
      <c r="E421" s="148"/>
      <c r="F421" s="273"/>
      <c r="G421" s="149"/>
      <c r="K421" s="54"/>
      <c r="M421" s="253"/>
      <c r="R421" s="253"/>
    </row>
    <row r="422" spans="3:18" s="4" customFormat="1">
      <c r="C422" s="38"/>
      <c r="E422" s="148"/>
      <c r="F422" s="273"/>
      <c r="G422" s="149"/>
      <c r="K422" s="54"/>
      <c r="M422" s="253"/>
      <c r="R422" s="253"/>
    </row>
    <row r="423" spans="3:18" s="4" customFormat="1">
      <c r="C423" s="38"/>
      <c r="E423" s="148"/>
      <c r="F423" s="273"/>
      <c r="G423" s="149"/>
      <c r="K423" s="54"/>
      <c r="M423" s="253"/>
      <c r="R423" s="253"/>
    </row>
    <row r="424" spans="3:18" s="4" customFormat="1">
      <c r="C424" s="38"/>
      <c r="E424" s="148"/>
      <c r="F424" s="273"/>
      <c r="G424" s="149"/>
      <c r="K424" s="54"/>
      <c r="M424" s="253"/>
      <c r="R424" s="253"/>
    </row>
    <row r="425" spans="3:18" s="4" customFormat="1">
      <c r="C425" s="38"/>
      <c r="E425" s="148"/>
      <c r="F425" s="273"/>
      <c r="G425" s="149"/>
      <c r="K425" s="54"/>
      <c r="M425" s="253"/>
      <c r="R425" s="253"/>
    </row>
    <row r="426" spans="3:18" s="4" customFormat="1">
      <c r="C426" s="38"/>
      <c r="E426" s="148"/>
      <c r="F426" s="273"/>
      <c r="G426" s="149"/>
      <c r="K426" s="54"/>
      <c r="M426" s="253"/>
      <c r="R426" s="253"/>
    </row>
    <row r="427" spans="3:18" s="4" customFormat="1">
      <c r="C427" s="38"/>
      <c r="E427" s="148"/>
      <c r="F427" s="273"/>
      <c r="G427" s="149"/>
      <c r="K427" s="54"/>
      <c r="M427" s="253"/>
      <c r="R427" s="253"/>
    </row>
    <row r="428" spans="3:18" s="4" customFormat="1">
      <c r="C428" s="38"/>
      <c r="E428" s="148"/>
      <c r="F428" s="273"/>
      <c r="G428" s="149"/>
      <c r="K428" s="54"/>
      <c r="M428" s="253"/>
      <c r="R428" s="253"/>
    </row>
    <row r="429" spans="3:18" s="4" customFormat="1">
      <c r="C429" s="38"/>
      <c r="E429" s="148"/>
      <c r="F429" s="273"/>
      <c r="G429" s="149"/>
      <c r="K429" s="54"/>
      <c r="M429" s="253"/>
      <c r="R429" s="253"/>
    </row>
    <row r="430" spans="3:18" s="4" customFormat="1">
      <c r="C430" s="38"/>
      <c r="E430" s="148"/>
      <c r="F430" s="273"/>
      <c r="G430" s="149"/>
      <c r="K430" s="54"/>
      <c r="M430" s="253"/>
      <c r="R430" s="253"/>
    </row>
    <row r="431" spans="3:18" s="4" customFormat="1">
      <c r="C431" s="38"/>
      <c r="E431" s="148"/>
      <c r="F431" s="273"/>
      <c r="G431" s="149"/>
      <c r="K431" s="54"/>
      <c r="M431" s="253"/>
      <c r="R431" s="253"/>
    </row>
    <row r="432" spans="3:18" s="4" customFormat="1">
      <c r="C432" s="38"/>
      <c r="E432" s="148"/>
      <c r="F432" s="273"/>
      <c r="G432" s="149"/>
      <c r="K432" s="54"/>
      <c r="M432" s="253"/>
      <c r="R432" s="253"/>
    </row>
    <row r="433" spans="3:18" s="4" customFormat="1">
      <c r="C433" s="38"/>
      <c r="E433" s="148"/>
      <c r="F433" s="273"/>
      <c r="G433" s="149"/>
      <c r="K433" s="54"/>
      <c r="M433" s="253"/>
      <c r="R433" s="253"/>
    </row>
    <row r="434" spans="3:18" s="4" customFormat="1">
      <c r="C434" s="38"/>
      <c r="E434" s="148"/>
      <c r="F434" s="273"/>
      <c r="G434" s="149"/>
      <c r="K434" s="54"/>
      <c r="M434" s="253"/>
      <c r="R434" s="253"/>
    </row>
    <row r="435" spans="3:18" s="4" customFormat="1">
      <c r="C435" s="38"/>
      <c r="E435" s="148"/>
      <c r="F435" s="273"/>
      <c r="G435" s="149"/>
      <c r="K435" s="54"/>
      <c r="M435" s="253"/>
      <c r="R435" s="253"/>
    </row>
    <row r="436" spans="3:18" s="4" customFormat="1">
      <c r="C436" s="38"/>
      <c r="E436" s="148"/>
      <c r="F436" s="273"/>
      <c r="G436" s="149"/>
      <c r="K436" s="54"/>
      <c r="M436" s="253"/>
      <c r="R436" s="253"/>
    </row>
    <row r="437" spans="3:18" s="4" customFormat="1">
      <c r="C437" s="38"/>
      <c r="E437" s="148"/>
      <c r="F437" s="273"/>
      <c r="G437" s="149"/>
      <c r="K437" s="54"/>
      <c r="M437" s="253"/>
      <c r="R437" s="253"/>
    </row>
    <row r="438" spans="3:18" s="4" customFormat="1">
      <c r="C438" s="38"/>
      <c r="E438" s="148"/>
      <c r="F438" s="273"/>
      <c r="G438" s="149"/>
      <c r="K438" s="54"/>
      <c r="M438" s="253"/>
      <c r="R438" s="253"/>
    </row>
    <row r="439" spans="3:18" s="4" customFormat="1">
      <c r="C439" s="38"/>
      <c r="E439" s="148"/>
      <c r="F439" s="273"/>
      <c r="G439" s="149"/>
      <c r="K439" s="54"/>
      <c r="M439" s="253"/>
      <c r="R439" s="253"/>
    </row>
    <row r="440" spans="3:18" s="4" customFormat="1">
      <c r="C440" s="38"/>
      <c r="E440" s="148"/>
      <c r="F440" s="273"/>
      <c r="G440" s="149"/>
      <c r="K440" s="54"/>
      <c r="M440" s="253"/>
      <c r="R440" s="253"/>
    </row>
    <row r="441" spans="3:18" s="4" customFormat="1">
      <c r="C441" s="38"/>
      <c r="E441" s="148"/>
      <c r="F441" s="273"/>
      <c r="G441" s="149"/>
      <c r="K441" s="54"/>
      <c r="M441" s="253"/>
      <c r="R441" s="253"/>
    </row>
    <row r="442" spans="3:18" s="4" customFormat="1">
      <c r="C442" s="38"/>
      <c r="E442" s="148"/>
      <c r="F442" s="273"/>
      <c r="G442" s="149"/>
      <c r="K442" s="54"/>
      <c r="M442" s="253"/>
      <c r="R442" s="253"/>
    </row>
    <row r="443" spans="3:18" s="4" customFormat="1">
      <c r="C443" s="38"/>
      <c r="E443" s="148"/>
      <c r="F443" s="273"/>
      <c r="G443" s="149"/>
      <c r="K443" s="54"/>
      <c r="M443" s="253"/>
      <c r="R443" s="253"/>
    </row>
    <row r="444" spans="3:18" s="4" customFormat="1">
      <c r="C444" s="38"/>
      <c r="E444" s="148"/>
      <c r="F444" s="273"/>
      <c r="G444" s="149"/>
      <c r="K444" s="54"/>
      <c r="M444" s="253"/>
      <c r="R444" s="253"/>
    </row>
    <row r="445" spans="3:18" s="4" customFormat="1">
      <c r="C445" s="38"/>
      <c r="E445" s="148"/>
      <c r="F445" s="273"/>
      <c r="G445" s="149"/>
      <c r="K445" s="54"/>
      <c r="M445" s="253"/>
      <c r="R445" s="253"/>
    </row>
    <row r="446" spans="3:18" s="4" customFormat="1">
      <c r="C446" s="38"/>
      <c r="E446" s="148"/>
      <c r="F446" s="273"/>
      <c r="G446" s="149"/>
      <c r="K446" s="54"/>
      <c r="M446" s="253"/>
      <c r="R446" s="253"/>
    </row>
    <row r="447" spans="3:18" s="4" customFormat="1">
      <c r="C447" s="38"/>
      <c r="E447" s="148"/>
      <c r="F447" s="273"/>
      <c r="G447" s="149"/>
      <c r="K447" s="54"/>
      <c r="M447" s="253"/>
      <c r="R447" s="253"/>
    </row>
    <row r="448" spans="3:18" s="4" customFormat="1">
      <c r="C448" s="38"/>
      <c r="E448" s="148"/>
      <c r="F448" s="273"/>
      <c r="G448" s="149"/>
      <c r="K448" s="54"/>
      <c r="M448" s="253"/>
      <c r="R448" s="253"/>
    </row>
    <row r="449" spans="3:18" s="4" customFormat="1">
      <c r="C449" s="38"/>
      <c r="E449" s="148"/>
      <c r="F449" s="273"/>
      <c r="G449" s="149"/>
      <c r="K449" s="54"/>
      <c r="M449" s="253"/>
      <c r="R449" s="253"/>
    </row>
    <row r="450" spans="3:18" s="4" customFormat="1">
      <c r="C450" s="38"/>
      <c r="E450" s="148"/>
      <c r="F450" s="273"/>
      <c r="G450" s="149"/>
      <c r="K450" s="54"/>
      <c r="M450" s="253"/>
      <c r="R450" s="253"/>
    </row>
    <row r="451" spans="3:18" s="4" customFormat="1">
      <c r="C451" s="38"/>
      <c r="E451" s="148"/>
      <c r="F451" s="273"/>
      <c r="G451" s="149"/>
      <c r="K451" s="54"/>
      <c r="M451" s="253"/>
      <c r="R451" s="253"/>
    </row>
    <row r="452" spans="3:18" s="4" customFormat="1">
      <c r="C452" s="38"/>
      <c r="E452" s="148"/>
      <c r="F452" s="273"/>
      <c r="G452" s="149"/>
      <c r="K452" s="54"/>
      <c r="M452" s="253"/>
      <c r="R452" s="253"/>
    </row>
    <row r="453" spans="3:18" s="4" customFormat="1">
      <c r="C453" s="38"/>
      <c r="E453" s="148"/>
      <c r="F453" s="273"/>
      <c r="G453" s="149"/>
      <c r="K453" s="54"/>
      <c r="M453" s="253"/>
      <c r="R453" s="253"/>
    </row>
    <row r="454" spans="3:18" s="4" customFormat="1">
      <c r="C454" s="38"/>
      <c r="E454" s="148"/>
      <c r="F454" s="273"/>
      <c r="G454" s="149"/>
      <c r="K454" s="54"/>
      <c r="M454" s="253"/>
      <c r="R454" s="253"/>
    </row>
    <row r="455" spans="3:18" s="4" customFormat="1">
      <c r="C455" s="38"/>
      <c r="E455" s="148"/>
      <c r="F455" s="273"/>
      <c r="G455" s="149"/>
      <c r="K455" s="54"/>
      <c r="M455" s="253"/>
      <c r="R455" s="253"/>
    </row>
    <row r="456" spans="3:18" s="4" customFormat="1">
      <c r="C456" s="38"/>
      <c r="E456" s="148"/>
      <c r="F456" s="273"/>
      <c r="G456" s="149"/>
      <c r="K456" s="54"/>
      <c r="M456" s="253"/>
      <c r="R456" s="253"/>
    </row>
    <row r="457" spans="3:18" s="4" customFormat="1">
      <c r="C457" s="38"/>
      <c r="E457" s="148"/>
      <c r="F457" s="273"/>
      <c r="G457" s="149"/>
      <c r="K457" s="54"/>
      <c r="M457" s="253"/>
      <c r="R457" s="253"/>
    </row>
    <row r="458" spans="3:18" s="4" customFormat="1">
      <c r="C458" s="38"/>
      <c r="E458" s="148"/>
      <c r="F458" s="273"/>
      <c r="G458" s="149"/>
      <c r="K458" s="54"/>
      <c r="M458" s="253"/>
      <c r="R458" s="253"/>
    </row>
    <row r="459" spans="3:18" s="4" customFormat="1">
      <c r="C459" s="38"/>
      <c r="E459" s="148"/>
      <c r="F459" s="273"/>
      <c r="G459" s="149"/>
      <c r="K459" s="54"/>
      <c r="M459" s="253"/>
      <c r="R459" s="253"/>
    </row>
    <row r="460" spans="3:18" s="4" customFormat="1">
      <c r="C460" s="38"/>
      <c r="E460" s="148"/>
      <c r="F460" s="273"/>
      <c r="G460" s="149"/>
      <c r="K460" s="54"/>
      <c r="M460" s="253"/>
      <c r="R460" s="253"/>
    </row>
    <row r="461" spans="3:18" s="4" customFormat="1">
      <c r="C461" s="38"/>
      <c r="E461" s="148"/>
      <c r="F461" s="273"/>
      <c r="G461" s="149"/>
      <c r="K461" s="54"/>
      <c r="M461" s="253"/>
      <c r="R461" s="253"/>
    </row>
    <row r="462" spans="3:18" s="4" customFormat="1">
      <c r="C462" s="38"/>
      <c r="E462" s="148"/>
      <c r="F462" s="273"/>
      <c r="G462" s="149"/>
      <c r="K462" s="54"/>
      <c r="M462" s="253"/>
      <c r="R462" s="253"/>
    </row>
    <row r="463" spans="3:18" s="4" customFormat="1">
      <c r="C463" s="38"/>
      <c r="E463" s="148"/>
      <c r="F463" s="273"/>
      <c r="G463" s="149"/>
      <c r="K463" s="54"/>
      <c r="M463" s="253"/>
      <c r="R463" s="253"/>
    </row>
    <row r="464" spans="3:18" s="4" customFormat="1">
      <c r="C464" s="38"/>
      <c r="E464" s="148"/>
      <c r="F464" s="273"/>
      <c r="G464" s="149"/>
      <c r="K464" s="54"/>
      <c r="M464" s="253"/>
      <c r="R464" s="253"/>
    </row>
    <row r="465" spans="3:18" s="4" customFormat="1">
      <c r="C465" s="38"/>
      <c r="E465" s="148"/>
      <c r="F465" s="273"/>
      <c r="G465" s="149"/>
      <c r="K465" s="54"/>
      <c r="M465" s="253"/>
      <c r="R465" s="253"/>
    </row>
    <row r="466" spans="3:18" s="4" customFormat="1">
      <c r="C466" s="38"/>
      <c r="E466" s="148"/>
      <c r="F466" s="273"/>
      <c r="G466" s="149"/>
      <c r="K466" s="54"/>
      <c r="M466" s="253"/>
      <c r="R466" s="253"/>
    </row>
    <row r="467" spans="3:18" s="4" customFormat="1">
      <c r="C467" s="38"/>
      <c r="E467" s="148"/>
      <c r="F467" s="273"/>
      <c r="G467" s="149"/>
      <c r="K467" s="54"/>
      <c r="M467" s="253"/>
      <c r="R467" s="253"/>
    </row>
    <row r="468" spans="3:18" s="4" customFormat="1">
      <c r="C468" s="38"/>
      <c r="E468" s="148"/>
      <c r="F468" s="273"/>
      <c r="G468" s="149"/>
      <c r="K468" s="54"/>
      <c r="M468" s="253"/>
      <c r="R468" s="253"/>
    </row>
    <row r="469" spans="3:18" s="4" customFormat="1">
      <c r="C469" s="38"/>
      <c r="E469" s="148"/>
      <c r="F469" s="273"/>
      <c r="G469" s="149"/>
      <c r="K469" s="54"/>
      <c r="M469" s="253"/>
      <c r="R469" s="253"/>
    </row>
    <row r="470" spans="3:18" s="4" customFormat="1">
      <c r="C470" s="38"/>
      <c r="E470" s="148"/>
      <c r="F470" s="273"/>
      <c r="G470" s="149"/>
      <c r="K470" s="54"/>
      <c r="M470" s="253"/>
      <c r="R470" s="253"/>
    </row>
    <row r="471" spans="3:18" s="4" customFormat="1">
      <c r="C471" s="38"/>
      <c r="E471" s="148"/>
      <c r="F471" s="273"/>
      <c r="G471" s="149"/>
      <c r="K471" s="54"/>
      <c r="M471" s="253"/>
      <c r="R471" s="253"/>
    </row>
    <row r="472" spans="3:18" s="4" customFormat="1">
      <c r="C472" s="38"/>
      <c r="E472" s="148"/>
      <c r="F472" s="273"/>
      <c r="G472" s="149"/>
      <c r="K472" s="54"/>
      <c r="M472" s="253"/>
      <c r="R472" s="253"/>
    </row>
    <row r="473" spans="3:18" s="4" customFormat="1">
      <c r="C473" s="38"/>
      <c r="E473" s="148"/>
      <c r="F473" s="273"/>
      <c r="G473" s="149"/>
      <c r="K473" s="54"/>
      <c r="M473" s="253"/>
      <c r="R473" s="253"/>
    </row>
    <row r="474" spans="3:18" s="4" customFormat="1">
      <c r="C474" s="38"/>
      <c r="E474" s="148"/>
      <c r="F474" s="273"/>
      <c r="G474" s="149"/>
      <c r="K474" s="54"/>
      <c r="M474" s="253"/>
      <c r="R474" s="253"/>
    </row>
    <row r="475" spans="3:18" s="4" customFormat="1">
      <c r="C475" s="38"/>
      <c r="E475" s="148"/>
      <c r="F475" s="273"/>
      <c r="G475" s="149"/>
      <c r="K475" s="54"/>
      <c r="M475" s="253"/>
      <c r="R475" s="253"/>
    </row>
    <row r="476" spans="3:18" s="4" customFormat="1">
      <c r="C476" s="38"/>
      <c r="E476" s="148"/>
      <c r="F476" s="273"/>
      <c r="G476" s="149"/>
      <c r="K476" s="54"/>
      <c r="M476" s="253"/>
      <c r="R476" s="253"/>
    </row>
    <row r="477" spans="3:18" s="4" customFormat="1">
      <c r="C477" s="38"/>
      <c r="E477" s="148"/>
      <c r="F477" s="273"/>
      <c r="G477" s="149"/>
      <c r="K477" s="54"/>
      <c r="M477" s="253"/>
      <c r="R477" s="253"/>
    </row>
    <row r="478" spans="3:18" s="4" customFormat="1">
      <c r="C478" s="38"/>
      <c r="E478" s="148"/>
      <c r="F478" s="273"/>
      <c r="G478" s="149"/>
      <c r="K478" s="54"/>
      <c r="M478" s="253"/>
      <c r="R478" s="253"/>
    </row>
    <row r="479" spans="3:18" s="4" customFormat="1">
      <c r="C479" s="38"/>
      <c r="E479" s="148"/>
      <c r="F479" s="273"/>
      <c r="G479" s="149"/>
      <c r="K479" s="54"/>
      <c r="M479" s="253"/>
      <c r="R479" s="253"/>
    </row>
    <row r="480" spans="3:18" s="4" customFormat="1">
      <c r="C480" s="38"/>
      <c r="E480" s="148"/>
      <c r="F480" s="273"/>
      <c r="G480" s="149"/>
      <c r="K480" s="54"/>
      <c r="M480" s="253"/>
      <c r="R480" s="253"/>
    </row>
    <row r="481" spans="3:18" s="4" customFormat="1">
      <c r="C481" s="38"/>
      <c r="E481" s="148"/>
      <c r="F481" s="273"/>
      <c r="G481" s="149"/>
      <c r="K481" s="54"/>
      <c r="M481" s="253"/>
      <c r="R481" s="253"/>
    </row>
    <row r="482" spans="3:18" s="4" customFormat="1">
      <c r="C482" s="38"/>
      <c r="E482" s="148"/>
      <c r="F482" s="273"/>
      <c r="G482" s="149"/>
      <c r="K482" s="54"/>
      <c r="M482" s="253"/>
      <c r="R482" s="253"/>
    </row>
    <row r="483" spans="3:18" s="4" customFormat="1">
      <c r="C483" s="38"/>
      <c r="E483" s="148"/>
      <c r="F483" s="273"/>
      <c r="G483" s="149"/>
      <c r="K483" s="54"/>
      <c r="M483" s="253"/>
      <c r="R483" s="253"/>
    </row>
    <row r="484" spans="3:18" s="4" customFormat="1">
      <c r="C484" s="38"/>
      <c r="E484" s="148"/>
      <c r="F484" s="273"/>
      <c r="G484" s="149"/>
      <c r="K484" s="54"/>
      <c r="M484" s="253"/>
      <c r="R484" s="253"/>
    </row>
    <row r="485" spans="3:18" s="4" customFormat="1">
      <c r="C485" s="38"/>
      <c r="E485" s="148"/>
      <c r="F485" s="273"/>
      <c r="G485" s="149"/>
      <c r="K485" s="54"/>
      <c r="M485" s="253"/>
      <c r="R485" s="253"/>
    </row>
    <row r="486" spans="3:18" s="4" customFormat="1">
      <c r="C486" s="38"/>
      <c r="E486" s="148"/>
      <c r="F486" s="273"/>
      <c r="G486" s="149"/>
      <c r="K486" s="54"/>
      <c r="M486" s="253"/>
      <c r="R486" s="253"/>
    </row>
    <row r="487" spans="3:18" s="4" customFormat="1">
      <c r="C487" s="38"/>
      <c r="E487" s="148"/>
      <c r="F487" s="273"/>
      <c r="G487" s="149"/>
      <c r="K487" s="54"/>
      <c r="M487" s="253"/>
      <c r="R487" s="253"/>
    </row>
    <row r="488" spans="3:18" s="4" customFormat="1">
      <c r="C488" s="38"/>
      <c r="E488" s="148"/>
      <c r="F488" s="273"/>
      <c r="G488" s="149"/>
      <c r="K488" s="54"/>
      <c r="M488" s="253"/>
      <c r="R488" s="253"/>
    </row>
    <row r="489" spans="3:18" s="4" customFormat="1">
      <c r="C489" s="38"/>
      <c r="E489" s="148"/>
      <c r="F489" s="273"/>
      <c r="G489" s="149"/>
      <c r="K489" s="54"/>
      <c r="M489" s="253"/>
      <c r="R489" s="253"/>
    </row>
    <row r="490" spans="3:18" s="4" customFormat="1">
      <c r="C490" s="38"/>
      <c r="E490" s="148"/>
      <c r="F490" s="273"/>
      <c r="G490" s="149"/>
      <c r="K490" s="54"/>
      <c r="M490" s="253"/>
      <c r="R490" s="253"/>
    </row>
    <row r="491" spans="3:18" s="4" customFormat="1">
      <c r="C491" s="38"/>
      <c r="E491" s="148"/>
      <c r="F491" s="273"/>
      <c r="G491" s="149"/>
      <c r="K491" s="54"/>
      <c r="M491" s="253"/>
      <c r="R491" s="253"/>
    </row>
    <row r="492" spans="3:18" s="4" customFormat="1">
      <c r="C492" s="38"/>
      <c r="E492" s="148"/>
      <c r="F492" s="273"/>
      <c r="G492" s="149"/>
      <c r="K492" s="54"/>
      <c r="M492" s="253"/>
      <c r="R492" s="253"/>
    </row>
    <row r="493" spans="3:18" s="4" customFormat="1">
      <c r="C493" s="38"/>
      <c r="E493" s="148"/>
      <c r="F493" s="273"/>
      <c r="G493" s="149"/>
      <c r="K493" s="54"/>
      <c r="M493" s="253"/>
      <c r="R493" s="253"/>
    </row>
    <row r="494" spans="3:18" s="4" customFormat="1">
      <c r="C494" s="38"/>
      <c r="E494" s="148"/>
      <c r="F494" s="273"/>
      <c r="G494" s="149"/>
      <c r="K494" s="54"/>
      <c r="M494" s="253"/>
      <c r="R494" s="253"/>
    </row>
    <row r="495" spans="3:18" s="4" customFormat="1">
      <c r="C495" s="38"/>
      <c r="E495" s="148"/>
      <c r="F495" s="273"/>
      <c r="G495" s="149"/>
      <c r="K495" s="54"/>
      <c r="M495" s="253"/>
      <c r="R495" s="253"/>
    </row>
    <row r="496" spans="3:18" s="4" customFormat="1">
      <c r="C496" s="38"/>
      <c r="E496" s="148"/>
      <c r="F496" s="273"/>
      <c r="G496" s="149"/>
      <c r="K496" s="54"/>
      <c r="M496" s="253"/>
      <c r="R496" s="253"/>
    </row>
    <row r="497" spans="3:18" s="4" customFormat="1">
      <c r="C497" s="38"/>
      <c r="E497" s="148"/>
      <c r="F497" s="273"/>
      <c r="G497" s="149"/>
      <c r="K497" s="54"/>
      <c r="M497" s="253"/>
      <c r="R497" s="253"/>
    </row>
    <row r="498" spans="3:18" s="4" customFormat="1">
      <c r="C498" s="38"/>
      <c r="E498" s="148"/>
      <c r="F498" s="273"/>
      <c r="G498" s="149"/>
      <c r="K498" s="54"/>
      <c r="M498" s="253"/>
      <c r="R498" s="253"/>
    </row>
    <row r="499" spans="3:18" s="4" customFormat="1">
      <c r="C499" s="38"/>
      <c r="E499" s="148"/>
      <c r="F499" s="273"/>
      <c r="G499" s="149"/>
      <c r="K499" s="54"/>
      <c r="M499" s="253"/>
      <c r="R499" s="253"/>
    </row>
    <row r="500" spans="3:18" s="4" customFormat="1">
      <c r="C500" s="38"/>
      <c r="E500" s="148"/>
      <c r="F500" s="273"/>
      <c r="G500" s="149"/>
      <c r="K500" s="54"/>
      <c r="M500" s="253"/>
      <c r="R500" s="253"/>
    </row>
    <row r="501" spans="3:18" s="4" customFormat="1">
      <c r="C501" s="38"/>
      <c r="E501" s="148"/>
      <c r="F501" s="273"/>
      <c r="G501" s="149"/>
      <c r="K501" s="54"/>
      <c r="M501" s="253"/>
      <c r="R501" s="253"/>
    </row>
    <row r="502" spans="3:18" s="4" customFormat="1">
      <c r="C502" s="38"/>
      <c r="E502" s="148"/>
      <c r="F502" s="273"/>
      <c r="G502" s="149"/>
      <c r="K502" s="54"/>
      <c r="M502" s="253"/>
      <c r="R502" s="253"/>
    </row>
    <row r="503" spans="3:18" s="4" customFormat="1">
      <c r="C503" s="38"/>
      <c r="E503" s="148"/>
      <c r="F503" s="273"/>
      <c r="G503" s="149"/>
      <c r="K503" s="54"/>
      <c r="M503" s="253"/>
      <c r="R503" s="253"/>
    </row>
    <row r="504" spans="3:18" s="4" customFormat="1">
      <c r="C504" s="38"/>
      <c r="E504" s="148"/>
      <c r="F504" s="273"/>
      <c r="G504" s="149"/>
      <c r="K504" s="54"/>
      <c r="M504" s="253"/>
      <c r="R504" s="253"/>
    </row>
    <row r="505" spans="3:18" s="4" customFormat="1">
      <c r="C505" s="38"/>
      <c r="E505" s="148"/>
      <c r="F505" s="273"/>
      <c r="G505" s="149"/>
      <c r="K505" s="54"/>
      <c r="M505" s="253"/>
      <c r="R505" s="253"/>
    </row>
    <row r="506" spans="3:18" s="4" customFormat="1">
      <c r="C506" s="38"/>
      <c r="E506" s="148"/>
      <c r="F506" s="273"/>
      <c r="G506" s="149"/>
      <c r="K506" s="54"/>
      <c r="M506" s="253"/>
      <c r="R506" s="253"/>
    </row>
    <row r="507" spans="3:18" s="4" customFormat="1">
      <c r="C507" s="38"/>
      <c r="E507" s="148"/>
      <c r="F507" s="273"/>
      <c r="G507" s="149"/>
      <c r="K507" s="54"/>
      <c r="M507" s="253"/>
      <c r="R507" s="253"/>
    </row>
    <row r="508" spans="3:18" s="4" customFormat="1">
      <c r="C508" s="38"/>
      <c r="E508" s="148"/>
      <c r="F508" s="273"/>
      <c r="G508" s="149"/>
      <c r="K508" s="54"/>
      <c r="M508" s="253"/>
      <c r="R508" s="253"/>
    </row>
    <row r="509" spans="3:18" s="4" customFormat="1">
      <c r="C509" s="38"/>
      <c r="E509" s="148"/>
      <c r="F509" s="273"/>
      <c r="G509" s="149"/>
      <c r="K509" s="54"/>
      <c r="M509" s="253"/>
      <c r="R509" s="253"/>
    </row>
    <row r="510" spans="3:18" s="4" customFormat="1">
      <c r="C510" s="38"/>
      <c r="E510" s="148"/>
      <c r="F510" s="273"/>
      <c r="G510" s="149"/>
      <c r="K510" s="54"/>
      <c r="M510" s="253"/>
      <c r="R510" s="253"/>
    </row>
    <row r="511" spans="3:18" s="4" customFormat="1">
      <c r="C511" s="38"/>
      <c r="E511" s="148"/>
      <c r="F511" s="273"/>
      <c r="G511" s="149"/>
      <c r="K511" s="54"/>
      <c r="M511" s="253"/>
      <c r="R511" s="253"/>
    </row>
    <row r="512" spans="3:18" s="4" customFormat="1">
      <c r="C512" s="38"/>
      <c r="E512" s="148"/>
      <c r="F512" s="273"/>
      <c r="G512" s="149"/>
      <c r="K512" s="54"/>
      <c r="M512" s="253"/>
      <c r="R512" s="253"/>
    </row>
    <row r="513" spans="3:18" s="4" customFormat="1">
      <c r="C513" s="38"/>
      <c r="E513" s="148"/>
      <c r="F513" s="273"/>
      <c r="G513" s="149"/>
      <c r="K513" s="54"/>
      <c r="M513" s="253"/>
      <c r="R513" s="253"/>
    </row>
    <row r="514" spans="3:18" s="4" customFormat="1">
      <c r="C514" s="38"/>
      <c r="E514" s="148"/>
      <c r="F514" s="273"/>
      <c r="G514" s="149"/>
      <c r="K514" s="54"/>
      <c r="M514" s="253"/>
      <c r="R514" s="253"/>
    </row>
    <row r="515" spans="3:18" s="4" customFormat="1">
      <c r="C515" s="38"/>
      <c r="E515" s="148"/>
      <c r="F515" s="273"/>
      <c r="G515" s="149"/>
      <c r="K515" s="54"/>
      <c r="M515" s="253"/>
      <c r="R515" s="253"/>
    </row>
    <row r="516" spans="3:18" s="4" customFormat="1">
      <c r="C516" s="38"/>
      <c r="E516" s="148"/>
      <c r="F516" s="273"/>
      <c r="G516" s="149"/>
      <c r="K516" s="54"/>
      <c r="M516" s="253"/>
      <c r="R516" s="253"/>
    </row>
    <row r="517" spans="3:18" s="4" customFormat="1">
      <c r="C517" s="38"/>
      <c r="E517" s="148"/>
      <c r="F517" s="273"/>
      <c r="G517" s="149"/>
      <c r="K517" s="54"/>
      <c r="M517" s="253"/>
      <c r="R517" s="253"/>
    </row>
    <row r="518" spans="3:18" s="4" customFormat="1">
      <c r="C518" s="38"/>
      <c r="E518" s="148"/>
      <c r="F518" s="273"/>
      <c r="G518" s="149"/>
      <c r="K518" s="54"/>
      <c r="M518" s="253"/>
      <c r="R518" s="253"/>
    </row>
    <row r="519" spans="3:18" s="4" customFormat="1">
      <c r="C519" s="38"/>
      <c r="E519" s="148"/>
      <c r="F519" s="273"/>
      <c r="G519" s="149"/>
      <c r="K519" s="54"/>
      <c r="M519" s="253"/>
      <c r="R519" s="253"/>
    </row>
    <row r="520" spans="3:18" s="4" customFormat="1">
      <c r="C520" s="38"/>
      <c r="E520" s="148"/>
      <c r="F520" s="273"/>
      <c r="G520" s="149"/>
      <c r="K520" s="54"/>
      <c r="M520" s="253"/>
      <c r="R520" s="253"/>
    </row>
    <row r="521" spans="3:18" s="4" customFormat="1">
      <c r="C521" s="38"/>
      <c r="E521" s="148"/>
      <c r="F521" s="273"/>
      <c r="G521" s="149"/>
      <c r="K521" s="54"/>
      <c r="M521" s="253"/>
      <c r="R521" s="253"/>
    </row>
    <row r="522" spans="3:18" s="4" customFormat="1">
      <c r="C522" s="38"/>
      <c r="E522" s="148"/>
      <c r="F522" s="273"/>
      <c r="G522" s="149"/>
      <c r="K522" s="54"/>
      <c r="M522" s="253"/>
      <c r="R522" s="253"/>
    </row>
    <row r="523" spans="3:18" s="4" customFormat="1">
      <c r="C523" s="38"/>
      <c r="E523" s="148"/>
      <c r="F523" s="273"/>
      <c r="G523" s="149"/>
      <c r="K523" s="54"/>
      <c r="M523" s="253"/>
      <c r="R523" s="253"/>
    </row>
    <row r="524" spans="3:18" s="4" customFormat="1">
      <c r="C524" s="38"/>
      <c r="E524" s="148"/>
      <c r="F524" s="273"/>
      <c r="G524" s="149"/>
      <c r="K524" s="54"/>
      <c r="M524" s="253"/>
      <c r="R524" s="253"/>
    </row>
    <row r="525" spans="3:18" s="4" customFormat="1">
      <c r="C525" s="38"/>
      <c r="E525" s="148"/>
      <c r="F525" s="273"/>
      <c r="G525" s="149"/>
      <c r="K525" s="54"/>
      <c r="M525" s="253"/>
      <c r="R525" s="253"/>
    </row>
    <row r="526" spans="3:18" s="4" customFormat="1">
      <c r="C526" s="38"/>
      <c r="E526" s="148"/>
      <c r="F526" s="273"/>
      <c r="G526" s="149"/>
      <c r="K526" s="54"/>
      <c r="M526" s="253"/>
      <c r="R526" s="253"/>
    </row>
    <row r="527" spans="3:18" s="4" customFormat="1">
      <c r="C527" s="38"/>
      <c r="E527" s="148"/>
      <c r="F527" s="273"/>
      <c r="G527" s="149"/>
      <c r="K527" s="54"/>
      <c r="M527" s="253"/>
      <c r="R527" s="253"/>
    </row>
    <row r="528" spans="3:18" s="4" customFormat="1">
      <c r="C528" s="38"/>
      <c r="E528" s="148"/>
      <c r="F528" s="273"/>
      <c r="G528" s="149"/>
      <c r="K528" s="54"/>
      <c r="M528" s="253"/>
      <c r="R528" s="253"/>
    </row>
    <row r="529" spans="3:18" s="4" customFormat="1">
      <c r="C529" s="38"/>
      <c r="E529" s="148"/>
      <c r="F529" s="273"/>
      <c r="G529" s="149"/>
      <c r="K529" s="54"/>
      <c r="M529" s="253"/>
      <c r="R529" s="253"/>
    </row>
    <row r="530" spans="3:18" s="4" customFormat="1">
      <c r="C530" s="38"/>
      <c r="E530" s="148"/>
      <c r="F530" s="273"/>
      <c r="G530" s="149"/>
      <c r="K530" s="54"/>
      <c r="M530" s="253"/>
      <c r="R530" s="253"/>
    </row>
    <row r="531" spans="3:18" s="4" customFormat="1">
      <c r="C531" s="38"/>
      <c r="E531" s="148"/>
      <c r="F531" s="273"/>
      <c r="G531" s="149"/>
      <c r="K531" s="54"/>
      <c r="M531" s="253"/>
      <c r="R531" s="253"/>
    </row>
    <row r="532" spans="3:18" s="4" customFormat="1">
      <c r="C532" s="38"/>
      <c r="E532" s="148"/>
      <c r="F532" s="273"/>
      <c r="G532" s="149"/>
      <c r="K532" s="54"/>
      <c r="M532" s="253"/>
      <c r="R532" s="253"/>
    </row>
    <row r="533" spans="3:18" s="4" customFormat="1">
      <c r="C533" s="38"/>
      <c r="E533" s="148"/>
      <c r="F533" s="273"/>
      <c r="G533" s="149"/>
      <c r="K533" s="54"/>
      <c r="M533" s="253"/>
      <c r="R533" s="253"/>
    </row>
    <row r="534" spans="3:18" s="4" customFormat="1">
      <c r="C534" s="38"/>
      <c r="E534" s="148"/>
      <c r="F534" s="273"/>
      <c r="G534" s="149"/>
      <c r="K534" s="54"/>
      <c r="M534" s="253"/>
      <c r="R534" s="253"/>
    </row>
    <row r="535" spans="3:18" s="4" customFormat="1">
      <c r="C535" s="38"/>
      <c r="E535" s="148"/>
      <c r="F535" s="273"/>
      <c r="G535" s="149"/>
      <c r="K535" s="54"/>
      <c r="M535" s="253"/>
      <c r="R535" s="253"/>
    </row>
    <row r="536" spans="3:18" s="4" customFormat="1">
      <c r="C536" s="38"/>
      <c r="E536" s="148"/>
      <c r="F536" s="273"/>
      <c r="G536" s="149"/>
      <c r="K536" s="54"/>
      <c r="M536" s="253"/>
      <c r="R536" s="253"/>
    </row>
    <row r="537" spans="3:18" s="4" customFormat="1">
      <c r="C537" s="38"/>
      <c r="E537" s="148"/>
      <c r="F537" s="273"/>
      <c r="G537" s="149"/>
      <c r="K537" s="54"/>
      <c r="M537" s="253"/>
      <c r="R537" s="253"/>
    </row>
    <row r="538" spans="3:18" s="4" customFormat="1">
      <c r="C538" s="38"/>
      <c r="E538" s="148"/>
      <c r="F538" s="273"/>
      <c r="G538" s="149"/>
      <c r="K538" s="54"/>
      <c r="M538" s="253"/>
      <c r="R538" s="253"/>
    </row>
    <row r="539" spans="3:18" s="4" customFormat="1">
      <c r="C539" s="38"/>
      <c r="E539" s="148"/>
      <c r="F539" s="273"/>
      <c r="G539" s="149"/>
      <c r="K539" s="54"/>
      <c r="M539" s="253"/>
      <c r="R539" s="253"/>
    </row>
    <row r="540" spans="3:18" s="4" customFormat="1">
      <c r="C540" s="38"/>
      <c r="E540" s="148"/>
      <c r="F540" s="273"/>
      <c r="G540" s="149"/>
      <c r="K540" s="54"/>
      <c r="M540" s="253"/>
      <c r="R540" s="253"/>
    </row>
    <row r="541" spans="3:18" s="4" customFormat="1">
      <c r="C541" s="38"/>
      <c r="E541" s="148"/>
      <c r="F541" s="273"/>
      <c r="G541" s="149"/>
      <c r="K541" s="54"/>
      <c r="M541" s="253"/>
      <c r="R541" s="253"/>
    </row>
    <row r="542" spans="3:18" s="4" customFormat="1">
      <c r="C542" s="38"/>
      <c r="E542" s="148"/>
      <c r="F542" s="273"/>
      <c r="G542" s="149"/>
      <c r="K542" s="54"/>
      <c r="M542" s="253"/>
      <c r="R542" s="253"/>
    </row>
    <row r="543" spans="3:18" s="4" customFormat="1">
      <c r="C543" s="38"/>
      <c r="E543" s="148"/>
      <c r="F543" s="273"/>
      <c r="G543" s="149"/>
      <c r="K543" s="54"/>
      <c r="M543" s="253"/>
      <c r="R543" s="253"/>
    </row>
    <row r="544" spans="3:18" s="4" customFormat="1">
      <c r="C544" s="38"/>
      <c r="E544" s="148"/>
      <c r="F544" s="273"/>
      <c r="G544" s="149"/>
      <c r="K544" s="54"/>
      <c r="M544" s="253"/>
      <c r="R544" s="253"/>
    </row>
    <row r="545" spans="3:18" s="4" customFormat="1">
      <c r="C545" s="38"/>
      <c r="E545" s="148"/>
      <c r="F545" s="273"/>
      <c r="G545" s="149"/>
      <c r="K545" s="54"/>
      <c r="M545" s="253"/>
      <c r="R545" s="253"/>
    </row>
    <row r="546" spans="3:18" s="4" customFormat="1">
      <c r="C546" s="38"/>
      <c r="E546" s="148"/>
      <c r="F546" s="273"/>
      <c r="G546" s="149"/>
      <c r="K546" s="54"/>
      <c r="M546" s="253"/>
      <c r="R546" s="253"/>
    </row>
    <row r="547" spans="3:18" s="4" customFormat="1">
      <c r="C547" s="38"/>
      <c r="E547" s="148"/>
      <c r="F547" s="273"/>
      <c r="G547" s="149"/>
      <c r="K547" s="54"/>
      <c r="M547" s="253"/>
      <c r="R547" s="253"/>
    </row>
    <row r="548" spans="3:18" s="4" customFormat="1">
      <c r="C548" s="38"/>
      <c r="E548" s="148"/>
      <c r="F548" s="273"/>
      <c r="G548" s="149"/>
      <c r="K548" s="54"/>
      <c r="M548" s="253"/>
      <c r="R548" s="253"/>
    </row>
    <row r="549" spans="3:18" s="4" customFormat="1">
      <c r="C549" s="38"/>
      <c r="E549" s="148"/>
      <c r="F549" s="273"/>
      <c r="G549" s="149"/>
      <c r="K549" s="54"/>
      <c r="M549" s="253"/>
      <c r="R549" s="253"/>
    </row>
    <row r="550" spans="3:18" s="4" customFormat="1">
      <c r="C550" s="38"/>
      <c r="E550" s="148"/>
      <c r="F550" s="273"/>
      <c r="G550" s="149"/>
      <c r="K550" s="54"/>
      <c r="M550" s="253"/>
      <c r="R550" s="253"/>
    </row>
    <row r="551" spans="3:18" s="4" customFormat="1">
      <c r="C551" s="38"/>
      <c r="E551" s="148"/>
      <c r="F551" s="273"/>
      <c r="G551" s="149"/>
      <c r="K551" s="54"/>
      <c r="M551" s="253"/>
      <c r="R551" s="253"/>
    </row>
    <row r="552" spans="3:18" s="4" customFormat="1">
      <c r="C552" s="38"/>
      <c r="E552" s="148"/>
      <c r="F552" s="273"/>
      <c r="G552" s="149"/>
      <c r="K552" s="54"/>
      <c r="M552" s="253"/>
      <c r="R552" s="253"/>
    </row>
    <row r="553" spans="3:18" s="4" customFormat="1">
      <c r="C553" s="38"/>
      <c r="E553" s="148"/>
      <c r="F553" s="273"/>
      <c r="G553" s="149"/>
      <c r="K553" s="54"/>
      <c r="M553" s="253"/>
      <c r="R553" s="253"/>
    </row>
    <row r="554" spans="3:18" s="4" customFormat="1">
      <c r="C554" s="38"/>
      <c r="E554" s="148"/>
      <c r="F554" s="273"/>
      <c r="G554" s="149"/>
      <c r="K554" s="54"/>
      <c r="M554" s="253"/>
      <c r="R554" s="253"/>
    </row>
    <row r="555" spans="3:18" s="4" customFormat="1">
      <c r="C555" s="38"/>
      <c r="E555" s="148"/>
      <c r="F555" s="273"/>
      <c r="G555" s="149"/>
      <c r="K555" s="54"/>
      <c r="M555" s="253"/>
      <c r="R555" s="253"/>
    </row>
    <row r="556" spans="3:18" s="4" customFormat="1">
      <c r="C556" s="38"/>
      <c r="E556" s="148"/>
      <c r="F556" s="273"/>
      <c r="G556" s="149"/>
      <c r="K556" s="54"/>
      <c r="M556" s="253"/>
      <c r="R556" s="253"/>
    </row>
    <row r="557" spans="3:18" s="4" customFormat="1">
      <c r="C557" s="38"/>
      <c r="E557" s="148"/>
      <c r="F557" s="273"/>
      <c r="G557" s="149"/>
      <c r="K557" s="54"/>
      <c r="M557" s="253"/>
      <c r="R557" s="253"/>
    </row>
    <row r="558" spans="3:18" s="4" customFormat="1">
      <c r="C558" s="38"/>
      <c r="E558" s="148"/>
      <c r="F558" s="273"/>
      <c r="G558" s="149"/>
      <c r="K558" s="54"/>
      <c r="M558" s="253"/>
      <c r="R558" s="253"/>
    </row>
    <row r="559" spans="3:18" s="4" customFormat="1">
      <c r="C559" s="38"/>
      <c r="E559" s="148"/>
      <c r="F559" s="273"/>
      <c r="G559" s="149"/>
      <c r="K559" s="54"/>
      <c r="M559" s="253"/>
      <c r="R559" s="253"/>
    </row>
    <row r="560" spans="3:18" s="4" customFormat="1">
      <c r="C560" s="38"/>
      <c r="E560" s="148"/>
      <c r="F560" s="273"/>
      <c r="G560" s="149"/>
      <c r="K560" s="54"/>
      <c r="M560" s="253"/>
      <c r="R560" s="253"/>
    </row>
    <row r="561" spans="3:18" s="4" customFormat="1">
      <c r="C561" s="38"/>
      <c r="E561" s="148"/>
      <c r="F561" s="273"/>
      <c r="G561" s="149"/>
      <c r="K561" s="54"/>
      <c r="M561" s="253"/>
      <c r="R561" s="253"/>
    </row>
    <row r="562" spans="3:18" s="4" customFormat="1">
      <c r="C562" s="38"/>
      <c r="E562" s="148"/>
      <c r="F562" s="273"/>
      <c r="G562" s="149"/>
      <c r="K562" s="54"/>
      <c r="M562" s="253"/>
      <c r="R562" s="253"/>
    </row>
    <row r="563" spans="3:18" s="4" customFormat="1">
      <c r="C563" s="38"/>
      <c r="E563" s="148"/>
      <c r="F563" s="273"/>
      <c r="G563" s="149"/>
      <c r="K563" s="54"/>
      <c r="M563" s="253"/>
      <c r="R563" s="253"/>
    </row>
    <row r="564" spans="3:18" s="4" customFormat="1">
      <c r="C564" s="38"/>
      <c r="E564" s="148"/>
      <c r="F564" s="273"/>
      <c r="G564" s="149"/>
      <c r="K564" s="54"/>
      <c r="M564" s="253"/>
      <c r="R564" s="253"/>
    </row>
    <row r="565" spans="3:18" s="4" customFormat="1">
      <c r="C565" s="38"/>
      <c r="E565" s="148"/>
      <c r="F565" s="273"/>
      <c r="G565" s="149"/>
      <c r="K565" s="54"/>
      <c r="M565" s="253"/>
      <c r="R565" s="253"/>
    </row>
    <row r="566" spans="3:18" s="4" customFormat="1">
      <c r="C566" s="38"/>
      <c r="E566" s="148"/>
      <c r="F566" s="273"/>
      <c r="G566" s="149"/>
      <c r="K566" s="54"/>
      <c r="M566" s="253"/>
      <c r="R566" s="253"/>
    </row>
    <row r="567" spans="3:18" s="4" customFormat="1">
      <c r="C567" s="38"/>
      <c r="E567" s="148"/>
      <c r="F567" s="273"/>
      <c r="G567" s="149"/>
      <c r="K567" s="54"/>
      <c r="M567" s="253"/>
      <c r="R567" s="253"/>
    </row>
    <row r="568" spans="3:18" s="4" customFormat="1">
      <c r="C568" s="38"/>
      <c r="E568" s="148"/>
      <c r="F568" s="273"/>
      <c r="G568" s="149"/>
      <c r="K568" s="54"/>
      <c r="M568" s="253"/>
      <c r="R568" s="253"/>
    </row>
    <row r="569" spans="3:18" s="4" customFormat="1">
      <c r="C569" s="38"/>
      <c r="E569" s="148"/>
      <c r="F569" s="273"/>
      <c r="G569" s="149"/>
      <c r="K569" s="54"/>
      <c r="M569" s="253"/>
      <c r="R569" s="253"/>
    </row>
    <row r="570" spans="3:18" s="4" customFormat="1">
      <c r="C570" s="38"/>
      <c r="E570" s="148"/>
      <c r="F570" s="273"/>
      <c r="G570" s="149"/>
      <c r="K570" s="54"/>
      <c r="M570" s="253"/>
      <c r="R570" s="253"/>
    </row>
    <row r="571" spans="3:18" s="4" customFormat="1">
      <c r="C571" s="38"/>
      <c r="E571" s="148"/>
      <c r="F571" s="273"/>
      <c r="G571" s="149"/>
      <c r="K571" s="54"/>
      <c r="M571" s="253"/>
      <c r="R571" s="253"/>
    </row>
    <row r="572" spans="3:18" s="4" customFormat="1">
      <c r="C572" s="38"/>
      <c r="E572" s="148"/>
      <c r="F572" s="273"/>
      <c r="G572" s="149"/>
      <c r="K572" s="54"/>
      <c r="M572" s="253"/>
      <c r="R572" s="253"/>
    </row>
    <row r="573" spans="3:18" s="4" customFormat="1">
      <c r="C573" s="38"/>
      <c r="E573" s="148"/>
      <c r="F573" s="273"/>
      <c r="G573" s="149"/>
      <c r="K573" s="54"/>
      <c r="M573" s="253"/>
      <c r="R573" s="253"/>
    </row>
    <row r="574" spans="3:18" s="4" customFormat="1">
      <c r="C574" s="38"/>
      <c r="E574" s="148"/>
      <c r="F574" s="273"/>
      <c r="G574" s="149"/>
      <c r="K574" s="54"/>
      <c r="M574" s="253"/>
      <c r="R574" s="253"/>
    </row>
    <row r="575" spans="3:18" s="4" customFormat="1">
      <c r="C575" s="38"/>
      <c r="E575" s="148"/>
      <c r="F575" s="273"/>
      <c r="G575" s="149"/>
      <c r="K575" s="54"/>
      <c r="M575" s="253"/>
      <c r="R575" s="253"/>
    </row>
    <row r="576" spans="3:18" s="4" customFormat="1">
      <c r="C576" s="38"/>
      <c r="E576" s="148"/>
      <c r="F576" s="273"/>
      <c r="G576" s="149"/>
      <c r="K576" s="54"/>
      <c r="M576" s="253"/>
      <c r="R576" s="253"/>
    </row>
    <row r="577" spans="3:18" s="4" customFormat="1">
      <c r="C577" s="38"/>
      <c r="E577" s="148"/>
      <c r="F577" s="273"/>
      <c r="G577" s="149"/>
      <c r="K577" s="54"/>
      <c r="M577" s="253"/>
      <c r="R577" s="253"/>
    </row>
    <row r="578" spans="3:18" s="4" customFormat="1">
      <c r="C578" s="38"/>
      <c r="E578" s="148"/>
      <c r="F578" s="273"/>
      <c r="G578" s="149"/>
      <c r="K578" s="54"/>
      <c r="M578" s="253"/>
      <c r="R578" s="253"/>
    </row>
    <row r="579" spans="3:18" s="4" customFormat="1">
      <c r="C579" s="38"/>
      <c r="E579" s="148"/>
      <c r="F579" s="273"/>
      <c r="G579" s="149"/>
      <c r="K579" s="54"/>
      <c r="M579" s="253"/>
      <c r="R579" s="253"/>
    </row>
    <row r="580" spans="3:18" s="4" customFormat="1">
      <c r="C580" s="38"/>
      <c r="E580" s="148"/>
      <c r="F580" s="273"/>
      <c r="G580" s="149"/>
      <c r="K580" s="54"/>
      <c r="M580" s="253"/>
      <c r="R580" s="253"/>
    </row>
    <row r="581" spans="3:18" s="4" customFormat="1">
      <c r="C581" s="38"/>
      <c r="E581" s="148"/>
      <c r="F581" s="273"/>
      <c r="G581" s="149"/>
      <c r="K581" s="54"/>
      <c r="M581" s="253"/>
      <c r="R581" s="253"/>
    </row>
    <row r="582" spans="3:18" s="4" customFormat="1">
      <c r="C582" s="38"/>
      <c r="E582" s="148"/>
      <c r="F582" s="273"/>
      <c r="G582" s="149"/>
      <c r="K582" s="54"/>
      <c r="M582" s="253"/>
      <c r="R582" s="253"/>
    </row>
    <row r="583" spans="3:18" s="4" customFormat="1">
      <c r="C583" s="38"/>
      <c r="E583" s="148"/>
      <c r="F583" s="273"/>
      <c r="G583" s="149"/>
      <c r="K583" s="54"/>
      <c r="M583" s="253"/>
      <c r="R583" s="253"/>
    </row>
    <row r="584" spans="3:18" s="4" customFormat="1">
      <c r="C584" s="38"/>
      <c r="E584" s="148"/>
      <c r="F584" s="273"/>
      <c r="G584" s="149"/>
      <c r="K584" s="54"/>
      <c r="M584" s="253"/>
      <c r="R584" s="253"/>
    </row>
    <row r="585" spans="3:18" s="4" customFormat="1">
      <c r="C585" s="38"/>
      <c r="E585" s="148"/>
      <c r="F585" s="273"/>
      <c r="G585" s="149"/>
      <c r="K585" s="54"/>
      <c r="M585" s="253"/>
      <c r="R585" s="253"/>
    </row>
    <row r="586" spans="3:18" s="4" customFormat="1">
      <c r="C586" s="38"/>
      <c r="E586" s="148"/>
      <c r="F586" s="273"/>
      <c r="G586" s="149"/>
      <c r="K586" s="54"/>
      <c r="M586" s="253"/>
      <c r="R586" s="253"/>
    </row>
    <row r="587" spans="3:18" s="4" customFormat="1">
      <c r="C587" s="38"/>
      <c r="E587" s="148"/>
      <c r="F587" s="273"/>
      <c r="G587" s="149"/>
      <c r="K587" s="54"/>
      <c r="M587" s="253"/>
      <c r="R587" s="253"/>
    </row>
    <row r="588" spans="3:18" s="4" customFormat="1">
      <c r="C588" s="38"/>
      <c r="E588" s="148"/>
      <c r="F588" s="273"/>
      <c r="G588" s="149"/>
      <c r="K588" s="54"/>
      <c r="M588" s="253"/>
      <c r="R588" s="253"/>
    </row>
    <row r="589" spans="3:18" s="4" customFormat="1">
      <c r="C589" s="38"/>
      <c r="E589" s="148"/>
      <c r="F589" s="273"/>
      <c r="G589" s="149"/>
      <c r="K589" s="54"/>
      <c r="M589" s="253"/>
      <c r="R589" s="253"/>
    </row>
    <row r="590" spans="3:18" s="4" customFormat="1">
      <c r="C590" s="38"/>
      <c r="E590" s="148"/>
      <c r="F590" s="273"/>
      <c r="G590" s="149"/>
      <c r="K590" s="54"/>
      <c r="M590" s="253"/>
      <c r="R590" s="253"/>
    </row>
    <row r="591" spans="3:18" s="4" customFormat="1">
      <c r="C591" s="38"/>
      <c r="E591" s="148"/>
      <c r="F591" s="273"/>
      <c r="G591" s="149"/>
      <c r="K591" s="54"/>
      <c r="M591" s="253"/>
      <c r="R591" s="253"/>
    </row>
    <row r="592" spans="3:18" s="4" customFormat="1">
      <c r="C592" s="38"/>
      <c r="E592" s="148"/>
      <c r="F592" s="273"/>
      <c r="G592" s="149"/>
      <c r="K592" s="54"/>
      <c r="M592" s="253"/>
      <c r="R592" s="253"/>
    </row>
    <row r="593" spans="3:18" s="4" customFormat="1">
      <c r="C593" s="38"/>
      <c r="E593" s="148"/>
      <c r="F593" s="273"/>
      <c r="G593" s="149"/>
      <c r="K593" s="54"/>
      <c r="M593" s="253"/>
      <c r="R593" s="253"/>
    </row>
    <row r="594" spans="3:18" s="4" customFormat="1">
      <c r="C594" s="38"/>
      <c r="E594" s="148"/>
      <c r="F594" s="273"/>
      <c r="G594" s="149"/>
      <c r="K594" s="54"/>
      <c r="M594" s="253"/>
      <c r="R594" s="253"/>
    </row>
    <row r="595" spans="3:18" s="4" customFormat="1">
      <c r="C595" s="38"/>
      <c r="E595" s="148"/>
      <c r="F595" s="273"/>
      <c r="G595" s="149"/>
      <c r="K595" s="54"/>
      <c r="M595" s="253"/>
      <c r="R595" s="253"/>
    </row>
    <row r="596" spans="3:18" s="4" customFormat="1">
      <c r="C596" s="38"/>
      <c r="E596" s="148"/>
      <c r="F596" s="273"/>
      <c r="G596" s="149"/>
      <c r="K596" s="54"/>
      <c r="M596" s="253"/>
      <c r="R596" s="253"/>
    </row>
    <row r="597" spans="3:18" s="4" customFormat="1">
      <c r="C597" s="38"/>
      <c r="E597" s="148"/>
      <c r="F597" s="273"/>
      <c r="G597" s="149"/>
      <c r="K597" s="54"/>
      <c r="M597" s="253"/>
      <c r="R597" s="253"/>
    </row>
    <row r="598" spans="3:18" s="4" customFormat="1">
      <c r="C598" s="38"/>
      <c r="E598" s="148"/>
      <c r="F598" s="273"/>
      <c r="G598" s="149"/>
      <c r="K598" s="54"/>
      <c r="M598" s="253"/>
      <c r="R598" s="253"/>
    </row>
    <row r="599" spans="3:18" s="4" customFormat="1">
      <c r="C599" s="38"/>
      <c r="E599" s="148"/>
      <c r="F599" s="273"/>
      <c r="G599" s="149"/>
      <c r="K599" s="54"/>
      <c r="M599" s="253"/>
      <c r="R599" s="253"/>
    </row>
    <row r="600" spans="3:18" s="4" customFormat="1">
      <c r="C600" s="38"/>
      <c r="E600" s="148"/>
      <c r="F600" s="273"/>
      <c r="G600" s="149"/>
      <c r="K600" s="54"/>
      <c r="M600" s="253"/>
      <c r="R600" s="253"/>
    </row>
    <row r="601" spans="3:18" s="4" customFormat="1">
      <c r="C601" s="38"/>
      <c r="E601" s="148"/>
      <c r="F601" s="273"/>
      <c r="G601" s="149"/>
      <c r="K601" s="54"/>
      <c r="M601" s="253"/>
      <c r="R601" s="253"/>
    </row>
    <row r="602" spans="3:18" s="4" customFormat="1">
      <c r="C602" s="38"/>
      <c r="E602" s="148"/>
      <c r="F602" s="273"/>
      <c r="G602" s="149"/>
      <c r="K602" s="54"/>
      <c r="M602" s="253"/>
      <c r="R602" s="253"/>
    </row>
    <row r="603" spans="3:18" s="4" customFormat="1">
      <c r="C603" s="38"/>
      <c r="E603" s="148"/>
      <c r="F603" s="273"/>
      <c r="G603" s="149"/>
      <c r="K603" s="54"/>
      <c r="M603" s="253"/>
      <c r="R603" s="253"/>
    </row>
    <row r="604" spans="3:18" s="4" customFormat="1">
      <c r="C604" s="38"/>
      <c r="E604" s="148"/>
      <c r="F604" s="273"/>
      <c r="G604" s="149"/>
      <c r="K604" s="54"/>
      <c r="M604" s="253"/>
      <c r="R604" s="253"/>
    </row>
    <row r="605" spans="3:18" s="4" customFormat="1">
      <c r="C605" s="38"/>
      <c r="E605" s="148"/>
      <c r="F605" s="273"/>
      <c r="G605" s="149"/>
      <c r="K605" s="54"/>
      <c r="M605" s="253"/>
      <c r="R605" s="253"/>
    </row>
    <row r="606" spans="3:18" s="4" customFormat="1">
      <c r="C606" s="38"/>
      <c r="E606" s="148"/>
      <c r="F606" s="273"/>
      <c r="G606" s="149"/>
      <c r="K606" s="54"/>
      <c r="M606" s="253"/>
      <c r="R606" s="253"/>
    </row>
    <row r="607" spans="3:18" s="4" customFormat="1">
      <c r="C607" s="38"/>
      <c r="E607" s="148"/>
      <c r="F607" s="273"/>
      <c r="G607" s="149"/>
      <c r="K607" s="54"/>
      <c r="M607" s="253"/>
      <c r="R607" s="253"/>
    </row>
    <row r="608" spans="3:18" s="4" customFormat="1">
      <c r="C608" s="38"/>
      <c r="E608" s="148"/>
      <c r="F608" s="273"/>
      <c r="G608" s="149"/>
      <c r="K608" s="54"/>
      <c r="M608" s="253"/>
      <c r="R608" s="253"/>
    </row>
    <row r="609" spans="3:18" s="4" customFormat="1">
      <c r="C609" s="38"/>
      <c r="E609" s="148"/>
      <c r="F609" s="273"/>
      <c r="G609" s="149"/>
      <c r="K609" s="54"/>
      <c r="M609" s="253"/>
      <c r="R609" s="253"/>
    </row>
    <row r="610" spans="3:18" s="4" customFormat="1">
      <c r="C610" s="38"/>
      <c r="E610" s="148"/>
      <c r="F610" s="273"/>
      <c r="G610" s="149"/>
      <c r="K610" s="54"/>
      <c r="M610" s="253"/>
      <c r="R610" s="253"/>
    </row>
    <row r="611" spans="3:18" s="4" customFormat="1">
      <c r="C611" s="38"/>
      <c r="E611" s="148"/>
      <c r="F611" s="273"/>
      <c r="G611" s="149"/>
      <c r="K611" s="54"/>
      <c r="M611" s="253"/>
      <c r="R611" s="253"/>
    </row>
    <row r="612" spans="3:18" s="4" customFormat="1">
      <c r="C612" s="38"/>
      <c r="E612" s="148"/>
      <c r="F612" s="273"/>
      <c r="G612" s="149"/>
      <c r="K612" s="54"/>
      <c r="M612" s="253"/>
      <c r="R612" s="253"/>
    </row>
    <row r="613" spans="3:18" s="4" customFormat="1">
      <c r="C613" s="38"/>
      <c r="E613" s="148"/>
      <c r="F613" s="273"/>
      <c r="G613" s="149"/>
      <c r="K613" s="54"/>
      <c r="M613" s="253"/>
      <c r="R613" s="253"/>
    </row>
    <row r="614" spans="3:18" s="4" customFormat="1">
      <c r="C614" s="38"/>
      <c r="E614" s="148"/>
      <c r="F614" s="273"/>
      <c r="G614" s="149"/>
      <c r="K614" s="54"/>
      <c r="M614" s="253"/>
      <c r="R614" s="253"/>
    </row>
    <row r="615" spans="3:18" s="4" customFormat="1">
      <c r="C615" s="38"/>
      <c r="E615" s="148"/>
      <c r="F615" s="273"/>
      <c r="G615" s="149"/>
      <c r="K615" s="54"/>
      <c r="M615" s="253"/>
      <c r="R615" s="253"/>
    </row>
    <row r="616" spans="3:18" s="4" customFormat="1">
      <c r="C616" s="38"/>
      <c r="E616" s="148"/>
      <c r="F616" s="273"/>
      <c r="G616" s="149"/>
      <c r="K616" s="54"/>
      <c r="M616" s="253"/>
      <c r="R616" s="253"/>
    </row>
    <row r="617" spans="3:18" s="4" customFormat="1">
      <c r="C617" s="38"/>
      <c r="E617" s="148"/>
      <c r="F617" s="273"/>
      <c r="G617" s="149"/>
      <c r="K617" s="54"/>
      <c r="M617" s="253"/>
      <c r="R617" s="253"/>
    </row>
    <row r="618" spans="3:18" s="4" customFormat="1">
      <c r="C618" s="38"/>
      <c r="E618" s="148"/>
      <c r="F618" s="273"/>
      <c r="G618" s="149"/>
      <c r="K618" s="54"/>
      <c r="M618" s="253"/>
      <c r="R618" s="253"/>
    </row>
    <row r="619" spans="3:18" s="4" customFormat="1">
      <c r="C619" s="38"/>
      <c r="E619" s="148"/>
      <c r="F619" s="273"/>
      <c r="G619" s="149"/>
      <c r="K619" s="54"/>
      <c r="M619" s="253"/>
      <c r="R619" s="253"/>
    </row>
    <row r="620" spans="3:18" s="4" customFormat="1">
      <c r="C620" s="38"/>
      <c r="E620" s="148"/>
      <c r="F620" s="273"/>
      <c r="G620" s="149"/>
      <c r="K620" s="54"/>
      <c r="M620" s="253"/>
      <c r="R620" s="253"/>
    </row>
    <row r="621" spans="3:18" s="4" customFormat="1">
      <c r="C621" s="38"/>
      <c r="E621" s="148"/>
      <c r="F621" s="273"/>
      <c r="G621" s="149"/>
      <c r="K621" s="54"/>
      <c r="M621" s="253"/>
      <c r="R621" s="253"/>
    </row>
    <row r="622" spans="3:18" s="4" customFormat="1">
      <c r="C622" s="38"/>
      <c r="E622" s="148"/>
      <c r="F622" s="273"/>
      <c r="G622" s="149"/>
      <c r="K622" s="54"/>
      <c r="M622" s="253"/>
      <c r="R622" s="253"/>
    </row>
    <row r="623" spans="3:18" s="4" customFormat="1">
      <c r="C623" s="38"/>
      <c r="E623" s="148"/>
      <c r="F623" s="273"/>
      <c r="G623" s="149"/>
      <c r="K623" s="54"/>
      <c r="M623" s="253"/>
      <c r="R623" s="253"/>
    </row>
    <row r="624" spans="3:18" s="4" customFormat="1">
      <c r="C624" s="38"/>
      <c r="E624" s="148"/>
      <c r="F624" s="273"/>
      <c r="G624" s="149"/>
      <c r="K624" s="54"/>
      <c r="M624" s="253"/>
      <c r="R624" s="253"/>
    </row>
    <row r="625" spans="3:18" s="4" customFormat="1">
      <c r="C625" s="38"/>
      <c r="E625" s="148"/>
      <c r="F625" s="273"/>
      <c r="G625" s="149"/>
      <c r="K625" s="54"/>
      <c r="M625" s="253"/>
      <c r="R625" s="253"/>
    </row>
    <row r="626" spans="3:18" s="4" customFormat="1">
      <c r="C626" s="38"/>
      <c r="E626" s="148"/>
      <c r="F626" s="273"/>
      <c r="G626" s="149"/>
      <c r="K626" s="54"/>
      <c r="M626" s="253"/>
      <c r="R626" s="253"/>
    </row>
    <row r="627" spans="3:18" s="4" customFormat="1">
      <c r="C627" s="38"/>
      <c r="E627" s="148"/>
      <c r="F627" s="273"/>
      <c r="G627" s="149"/>
      <c r="K627" s="54"/>
      <c r="M627" s="253"/>
      <c r="R627" s="253"/>
    </row>
    <row r="628" spans="3:18" s="4" customFormat="1">
      <c r="C628" s="38"/>
      <c r="E628" s="148"/>
      <c r="F628" s="273"/>
      <c r="G628" s="149"/>
      <c r="K628" s="54"/>
      <c r="M628" s="253"/>
      <c r="R628" s="253"/>
    </row>
    <row r="629" spans="3:18" s="4" customFormat="1">
      <c r="C629" s="38"/>
      <c r="E629" s="148"/>
      <c r="F629" s="273"/>
      <c r="G629" s="149"/>
      <c r="K629" s="54"/>
      <c r="M629" s="253"/>
      <c r="R629" s="253"/>
    </row>
    <row r="630" spans="3:18" s="4" customFormat="1">
      <c r="C630" s="38"/>
      <c r="E630" s="148"/>
      <c r="F630" s="273"/>
      <c r="G630" s="149"/>
      <c r="K630" s="54"/>
      <c r="M630" s="253"/>
      <c r="R630" s="253"/>
    </row>
    <row r="631" spans="3:18" s="4" customFormat="1">
      <c r="C631" s="38"/>
      <c r="E631" s="148"/>
      <c r="F631" s="273"/>
      <c r="G631" s="149"/>
      <c r="K631" s="54"/>
      <c r="M631" s="253"/>
      <c r="R631" s="253"/>
    </row>
    <row r="632" spans="3:18" s="4" customFormat="1">
      <c r="C632" s="38"/>
      <c r="E632" s="148"/>
      <c r="F632" s="273"/>
      <c r="G632" s="149"/>
      <c r="K632" s="54"/>
      <c r="M632" s="253"/>
      <c r="R632" s="253"/>
    </row>
    <row r="633" spans="3:18" s="4" customFormat="1">
      <c r="C633" s="38"/>
      <c r="E633" s="148"/>
      <c r="F633" s="273"/>
      <c r="G633" s="149"/>
      <c r="K633" s="54"/>
      <c r="M633" s="253"/>
      <c r="R633" s="253"/>
    </row>
    <row r="634" spans="3:18" s="4" customFormat="1">
      <c r="C634" s="38"/>
      <c r="E634" s="148"/>
      <c r="F634" s="273"/>
      <c r="G634" s="149"/>
      <c r="K634" s="54"/>
      <c r="M634" s="253"/>
      <c r="R634" s="253"/>
    </row>
    <row r="635" spans="3:18" s="4" customFormat="1">
      <c r="C635" s="38"/>
      <c r="E635" s="148"/>
      <c r="F635" s="273"/>
      <c r="G635" s="149"/>
      <c r="K635" s="54"/>
      <c r="M635" s="253"/>
      <c r="R635" s="253"/>
    </row>
    <row r="636" spans="3:18" s="4" customFormat="1">
      <c r="C636" s="38"/>
      <c r="E636" s="148"/>
      <c r="F636" s="273"/>
      <c r="G636" s="149"/>
      <c r="K636" s="54"/>
      <c r="M636" s="253"/>
      <c r="R636" s="253"/>
    </row>
    <row r="637" spans="3:18" s="4" customFormat="1">
      <c r="C637" s="38"/>
      <c r="E637" s="148"/>
      <c r="F637" s="273"/>
      <c r="G637" s="149"/>
      <c r="K637" s="54"/>
      <c r="M637" s="253"/>
      <c r="R637" s="253"/>
    </row>
    <row r="638" spans="3:18" s="4" customFormat="1">
      <c r="C638" s="38"/>
      <c r="E638" s="148"/>
      <c r="F638" s="273"/>
      <c r="G638" s="149"/>
      <c r="K638" s="54"/>
      <c r="M638" s="253"/>
      <c r="R638" s="253"/>
    </row>
    <row r="639" spans="3:18" s="4" customFormat="1">
      <c r="C639" s="38"/>
      <c r="E639" s="148"/>
      <c r="F639" s="273"/>
      <c r="G639" s="149"/>
      <c r="K639" s="54"/>
      <c r="M639" s="253"/>
      <c r="R639" s="253"/>
    </row>
    <row r="640" spans="3:18" s="4" customFormat="1">
      <c r="C640" s="38"/>
      <c r="E640" s="148"/>
      <c r="F640" s="273"/>
      <c r="G640" s="149"/>
      <c r="K640" s="54"/>
      <c r="M640" s="253"/>
      <c r="R640" s="253"/>
    </row>
    <row r="641" spans="3:18" s="4" customFormat="1">
      <c r="C641" s="38"/>
      <c r="E641" s="148"/>
      <c r="F641" s="273"/>
      <c r="G641" s="149"/>
      <c r="K641" s="54"/>
      <c r="M641" s="253"/>
      <c r="R641" s="253"/>
    </row>
    <row r="642" spans="3:18" s="4" customFormat="1">
      <c r="C642" s="38"/>
      <c r="E642" s="148"/>
      <c r="F642" s="273"/>
      <c r="G642" s="149"/>
      <c r="K642" s="54"/>
      <c r="M642" s="253"/>
      <c r="R642" s="253"/>
    </row>
    <row r="643" spans="3:18" s="4" customFormat="1">
      <c r="C643" s="38"/>
      <c r="E643" s="148"/>
      <c r="F643" s="273"/>
      <c r="G643" s="149"/>
      <c r="K643" s="54"/>
      <c r="M643" s="253"/>
      <c r="R643" s="253"/>
    </row>
    <row r="644" spans="3:18" s="4" customFormat="1">
      <c r="C644" s="38"/>
      <c r="E644" s="148"/>
      <c r="F644" s="273"/>
      <c r="G644" s="149"/>
      <c r="K644" s="54"/>
      <c r="M644" s="253"/>
      <c r="R644" s="253"/>
    </row>
    <row r="645" spans="3:18" s="4" customFormat="1">
      <c r="C645" s="38"/>
      <c r="E645" s="148"/>
      <c r="F645" s="273"/>
      <c r="G645" s="149"/>
      <c r="K645" s="54"/>
      <c r="M645" s="253"/>
      <c r="R645" s="253"/>
    </row>
    <row r="646" spans="3:18" s="4" customFormat="1">
      <c r="C646" s="38"/>
      <c r="E646" s="148"/>
      <c r="F646" s="273"/>
      <c r="G646" s="149"/>
      <c r="K646" s="54"/>
      <c r="M646" s="253"/>
      <c r="R646" s="253"/>
    </row>
    <row r="647" spans="3:18" s="4" customFormat="1">
      <c r="C647" s="38"/>
      <c r="E647" s="148"/>
      <c r="F647" s="273"/>
      <c r="G647" s="149"/>
      <c r="K647" s="54"/>
      <c r="M647" s="253"/>
      <c r="R647" s="253"/>
    </row>
    <row r="648" spans="3:18" s="4" customFormat="1">
      <c r="C648" s="38"/>
      <c r="E648" s="148"/>
      <c r="F648" s="273"/>
      <c r="G648" s="149"/>
      <c r="K648" s="54"/>
      <c r="M648" s="253"/>
      <c r="R648" s="253"/>
    </row>
    <row r="649" spans="3:18" s="4" customFormat="1">
      <c r="C649" s="38"/>
      <c r="E649" s="148"/>
      <c r="F649" s="273"/>
      <c r="G649" s="149"/>
      <c r="K649" s="54"/>
      <c r="M649" s="253"/>
      <c r="R649" s="253"/>
    </row>
    <row r="650" spans="3:18" s="4" customFormat="1">
      <c r="C650" s="38"/>
      <c r="E650" s="148"/>
      <c r="F650" s="273"/>
      <c r="G650" s="149"/>
      <c r="K650" s="54"/>
      <c r="M650" s="253"/>
      <c r="R650" s="253"/>
    </row>
    <row r="651" spans="3:18" s="4" customFormat="1">
      <c r="C651" s="38"/>
      <c r="E651" s="148"/>
      <c r="F651" s="273"/>
      <c r="G651" s="149"/>
      <c r="K651" s="54"/>
      <c r="M651" s="253"/>
      <c r="R651" s="253"/>
    </row>
    <row r="652" spans="3:18" s="4" customFormat="1">
      <c r="C652" s="38"/>
      <c r="E652" s="148"/>
      <c r="F652" s="273"/>
      <c r="G652" s="149"/>
      <c r="K652" s="54"/>
      <c r="M652" s="253"/>
      <c r="R652" s="253"/>
    </row>
    <row r="653" spans="3:18" s="4" customFormat="1">
      <c r="C653" s="38"/>
      <c r="E653" s="148"/>
      <c r="F653" s="273"/>
      <c r="G653" s="149"/>
      <c r="K653" s="54"/>
      <c r="M653" s="253"/>
      <c r="R653" s="253"/>
    </row>
    <row r="654" spans="3:18" s="4" customFormat="1">
      <c r="C654" s="38"/>
      <c r="E654" s="148"/>
      <c r="F654" s="273"/>
      <c r="G654" s="149"/>
      <c r="K654" s="54"/>
      <c r="M654" s="253"/>
      <c r="R654" s="253"/>
    </row>
    <row r="655" spans="3:18" s="4" customFormat="1">
      <c r="C655" s="38"/>
      <c r="E655" s="148"/>
      <c r="F655" s="273"/>
      <c r="G655" s="149"/>
      <c r="K655" s="54"/>
      <c r="M655" s="253"/>
      <c r="R655" s="253"/>
    </row>
    <row r="656" spans="3:18" s="4" customFormat="1">
      <c r="C656" s="38"/>
      <c r="E656" s="148"/>
      <c r="F656" s="273"/>
      <c r="G656" s="149"/>
      <c r="K656" s="54"/>
      <c r="M656" s="253"/>
      <c r="R656" s="253"/>
    </row>
    <row r="657" spans="3:18" s="4" customFormat="1">
      <c r="C657" s="38"/>
      <c r="E657" s="148"/>
      <c r="F657" s="273"/>
      <c r="G657" s="149"/>
      <c r="K657" s="54"/>
      <c r="M657" s="253"/>
      <c r="R657" s="253"/>
    </row>
    <row r="658" spans="3:18" s="4" customFormat="1">
      <c r="C658" s="38"/>
      <c r="E658" s="148"/>
      <c r="F658" s="273"/>
      <c r="G658" s="149"/>
      <c r="K658" s="54"/>
      <c r="M658" s="253"/>
      <c r="R658" s="253"/>
    </row>
    <row r="659" spans="3:18" s="4" customFormat="1">
      <c r="C659" s="38"/>
      <c r="E659" s="148"/>
      <c r="F659" s="273"/>
      <c r="G659" s="149"/>
      <c r="K659" s="54"/>
      <c r="M659" s="253"/>
      <c r="R659" s="253"/>
    </row>
    <row r="660" spans="3:18" s="4" customFormat="1">
      <c r="C660" s="38"/>
      <c r="E660" s="148"/>
      <c r="F660" s="273"/>
      <c r="G660" s="149"/>
      <c r="K660" s="54"/>
      <c r="M660" s="253"/>
      <c r="R660" s="253"/>
    </row>
    <row r="661" spans="3:18" s="4" customFormat="1">
      <c r="C661" s="38"/>
      <c r="E661" s="148"/>
      <c r="F661" s="273"/>
      <c r="G661" s="149"/>
      <c r="K661" s="54"/>
      <c r="M661" s="253"/>
      <c r="R661" s="253"/>
    </row>
    <row r="662" spans="3:18" s="4" customFormat="1">
      <c r="C662" s="38"/>
      <c r="E662" s="148"/>
      <c r="F662" s="273"/>
      <c r="G662" s="149"/>
      <c r="K662" s="54"/>
      <c r="M662" s="253"/>
      <c r="R662" s="253"/>
    </row>
    <row r="663" spans="3:18" s="4" customFormat="1">
      <c r="C663" s="38"/>
      <c r="E663" s="148"/>
      <c r="F663" s="273"/>
      <c r="G663" s="149"/>
      <c r="K663" s="54"/>
      <c r="M663" s="253"/>
      <c r="R663" s="253"/>
    </row>
    <row r="664" spans="3:18" s="4" customFormat="1">
      <c r="C664" s="38"/>
      <c r="E664" s="148"/>
      <c r="F664" s="273"/>
      <c r="G664" s="149"/>
      <c r="K664" s="54"/>
      <c r="M664" s="253"/>
      <c r="R664" s="253"/>
    </row>
    <row r="665" spans="3:18" s="4" customFormat="1">
      <c r="C665" s="38"/>
      <c r="E665" s="148"/>
      <c r="F665" s="273"/>
      <c r="G665" s="149"/>
      <c r="K665" s="54"/>
      <c r="M665" s="253"/>
      <c r="R665" s="253"/>
    </row>
    <row r="666" spans="3:18" s="4" customFormat="1">
      <c r="C666" s="38"/>
      <c r="E666" s="148"/>
      <c r="F666" s="273"/>
      <c r="G666" s="149"/>
      <c r="K666" s="54"/>
      <c r="M666" s="253"/>
      <c r="R666" s="253"/>
    </row>
    <row r="667" spans="3:18" s="4" customFormat="1">
      <c r="C667" s="38"/>
      <c r="E667" s="148"/>
      <c r="F667" s="273"/>
      <c r="G667" s="149"/>
      <c r="K667" s="54"/>
      <c r="M667" s="253"/>
      <c r="R667" s="253"/>
    </row>
    <row r="668" spans="3:18" s="4" customFormat="1">
      <c r="C668" s="38"/>
      <c r="E668" s="148"/>
      <c r="F668" s="273"/>
      <c r="G668" s="149"/>
      <c r="K668" s="54"/>
      <c r="M668" s="253"/>
      <c r="R668" s="253"/>
    </row>
    <row r="669" spans="3:18" s="4" customFormat="1">
      <c r="C669" s="38"/>
      <c r="E669" s="148"/>
      <c r="F669" s="273"/>
      <c r="G669" s="149"/>
      <c r="K669" s="54"/>
      <c r="M669" s="253"/>
      <c r="R669" s="253"/>
    </row>
    <row r="670" spans="3:18" s="4" customFormat="1">
      <c r="C670" s="38"/>
      <c r="E670" s="148"/>
      <c r="F670" s="273"/>
      <c r="G670" s="149"/>
      <c r="K670" s="54"/>
      <c r="M670" s="253"/>
      <c r="R670" s="253"/>
    </row>
    <row r="671" spans="3:18" s="4" customFormat="1">
      <c r="C671" s="38"/>
      <c r="E671" s="148"/>
      <c r="F671" s="273"/>
      <c r="G671" s="149"/>
      <c r="K671" s="54"/>
      <c r="M671" s="253"/>
      <c r="R671" s="253"/>
    </row>
    <row r="672" spans="3:18" s="4" customFormat="1">
      <c r="C672" s="38"/>
      <c r="E672" s="148"/>
      <c r="F672" s="273"/>
      <c r="G672" s="149"/>
      <c r="K672" s="54"/>
      <c r="M672" s="253"/>
      <c r="R672" s="253"/>
    </row>
    <row r="673" spans="3:18" s="4" customFormat="1">
      <c r="C673" s="38"/>
      <c r="E673" s="148"/>
      <c r="F673" s="273"/>
      <c r="G673" s="149"/>
      <c r="K673" s="54"/>
      <c r="M673" s="253"/>
      <c r="R673" s="253"/>
    </row>
    <row r="674" spans="3:18" s="4" customFormat="1">
      <c r="C674" s="38"/>
      <c r="E674" s="148"/>
      <c r="F674" s="273"/>
      <c r="G674" s="149"/>
      <c r="K674" s="54"/>
      <c r="M674" s="253"/>
      <c r="R674" s="253"/>
    </row>
    <row r="675" spans="3:18" s="4" customFormat="1">
      <c r="C675" s="38"/>
      <c r="E675" s="148"/>
      <c r="F675" s="273"/>
      <c r="G675" s="149"/>
      <c r="K675" s="54"/>
      <c r="M675" s="253"/>
      <c r="R675" s="253"/>
    </row>
    <row r="676" spans="3:18" s="4" customFormat="1">
      <c r="C676" s="38"/>
      <c r="E676" s="148"/>
      <c r="F676" s="273"/>
      <c r="G676" s="149"/>
      <c r="K676" s="54"/>
      <c r="M676" s="253"/>
      <c r="R676" s="253"/>
    </row>
    <row r="677" spans="3:18" s="4" customFormat="1">
      <c r="C677" s="38"/>
      <c r="E677" s="148"/>
      <c r="F677" s="273"/>
      <c r="G677" s="149"/>
      <c r="K677" s="54"/>
      <c r="M677" s="253"/>
      <c r="R677" s="253"/>
    </row>
    <row r="678" spans="3:18" s="4" customFormat="1">
      <c r="C678" s="38"/>
      <c r="E678" s="148"/>
      <c r="F678" s="273"/>
      <c r="G678" s="149"/>
      <c r="K678" s="54"/>
      <c r="M678" s="253"/>
      <c r="R678" s="253"/>
    </row>
    <row r="679" spans="3:18" s="4" customFormat="1">
      <c r="C679" s="38"/>
      <c r="E679" s="148"/>
      <c r="F679" s="273"/>
      <c r="G679" s="149"/>
      <c r="K679" s="54"/>
      <c r="M679" s="253"/>
      <c r="R679" s="253"/>
    </row>
    <row r="680" spans="3:18" s="4" customFormat="1">
      <c r="C680" s="38"/>
      <c r="E680" s="148"/>
      <c r="F680" s="273"/>
      <c r="G680" s="149"/>
      <c r="K680" s="54"/>
      <c r="M680" s="253"/>
      <c r="R680" s="253"/>
    </row>
    <row r="681" spans="3:18" s="4" customFormat="1">
      <c r="C681" s="38"/>
      <c r="E681" s="148"/>
      <c r="F681" s="273"/>
      <c r="G681" s="149"/>
      <c r="K681" s="54"/>
      <c r="M681" s="253"/>
      <c r="R681" s="253"/>
    </row>
    <row r="682" spans="3:18" s="4" customFormat="1">
      <c r="C682" s="38"/>
      <c r="E682" s="148"/>
      <c r="F682" s="273"/>
      <c r="G682" s="149"/>
      <c r="K682" s="54"/>
      <c r="M682" s="253"/>
      <c r="R682" s="253"/>
    </row>
    <row r="683" spans="3:18" s="4" customFormat="1">
      <c r="C683" s="38"/>
      <c r="E683" s="148"/>
      <c r="F683" s="273"/>
      <c r="G683" s="149"/>
      <c r="K683" s="54"/>
      <c r="M683" s="253"/>
      <c r="R683" s="253"/>
    </row>
    <row r="684" spans="3:18" s="4" customFormat="1">
      <c r="C684" s="38"/>
      <c r="E684" s="148"/>
      <c r="F684" s="273"/>
      <c r="G684" s="149"/>
      <c r="K684" s="54"/>
      <c r="M684" s="253"/>
      <c r="R684" s="253"/>
    </row>
    <row r="685" spans="3:18" s="4" customFormat="1">
      <c r="C685" s="38"/>
      <c r="E685" s="148"/>
      <c r="F685" s="273"/>
      <c r="G685" s="149"/>
      <c r="K685" s="54"/>
      <c r="M685" s="253"/>
      <c r="R685" s="253"/>
    </row>
    <row r="686" spans="3:18" s="4" customFormat="1">
      <c r="C686" s="38"/>
      <c r="E686" s="148"/>
      <c r="F686" s="273"/>
      <c r="G686" s="149"/>
      <c r="K686" s="54"/>
      <c r="M686" s="253"/>
      <c r="R686" s="253"/>
    </row>
    <row r="687" spans="3:18" s="4" customFormat="1">
      <c r="C687" s="38"/>
      <c r="E687" s="148"/>
      <c r="F687" s="273"/>
      <c r="G687" s="149"/>
      <c r="K687" s="54"/>
      <c r="M687" s="253"/>
      <c r="R687" s="253"/>
    </row>
    <row r="688" spans="3:18" s="4" customFormat="1">
      <c r="C688" s="38"/>
      <c r="E688" s="148"/>
      <c r="F688" s="273"/>
      <c r="G688" s="149"/>
      <c r="K688" s="54"/>
      <c r="M688" s="253"/>
      <c r="R688" s="253"/>
    </row>
    <row r="689" spans="3:18" s="4" customFormat="1">
      <c r="C689" s="38"/>
      <c r="E689" s="148"/>
      <c r="F689" s="273"/>
      <c r="G689" s="149"/>
      <c r="K689" s="54"/>
      <c r="M689" s="253"/>
      <c r="R689" s="253"/>
    </row>
    <row r="690" spans="3:18" s="4" customFormat="1">
      <c r="C690" s="38"/>
      <c r="E690" s="148"/>
      <c r="F690" s="273"/>
      <c r="G690" s="149"/>
      <c r="K690" s="54"/>
      <c r="M690" s="253"/>
      <c r="R690" s="253"/>
    </row>
    <row r="691" spans="3:18" s="4" customFormat="1">
      <c r="C691" s="38"/>
      <c r="E691" s="148"/>
      <c r="F691" s="273"/>
      <c r="G691" s="149"/>
      <c r="K691" s="54"/>
      <c r="M691" s="253"/>
      <c r="R691" s="253"/>
    </row>
    <row r="692" spans="3:18" s="4" customFormat="1">
      <c r="C692" s="38"/>
      <c r="E692" s="148"/>
      <c r="F692" s="273"/>
      <c r="G692" s="149"/>
      <c r="K692" s="54"/>
      <c r="M692" s="253"/>
      <c r="R692" s="253"/>
    </row>
    <row r="693" spans="3:18" s="4" customFormat="1">
      <c r="C693" s="38"/>
      <c r="E693" s="148"/>
      <c r="F693" s="273"/>
      <c r="G693" s="149"/>
      <c r="K693" s="54"/>
      <c r="M693" s="253"/>
      <c r="R693" s="253"/>
    </row>
    <row r="694" spans="3:18" s="4" customFormat="1">
      <c r="C694" s="38"/>
      <c r="E694" s="148"/>
      <c r="F694" s="273"/>
      <c r="G694" s="149"/>
      <c r="K694" s="54"/>
      <c r="M694" s="253"/>
      <c r="R694" s="253"/>
    </row>
    <row r="695" spans="3:18" s="4" customFormat="1">
      <c r="C695" s="38"/>
      <c r="E695" s="148"/>
      <c r="F695" s="273"/>
      <c r="G695" s="149"/>
      <c r="K695" s="54"/>
      <c r="M695" s="253"/>
      <c r="R695" s="253"/>
    </row>
    <row r="696" spans="3:18" s="4" customFormat="1">
      <c r="C696" s="38"/>
      <c r="E696" s="148"/>
      <c r="F696" s="273"/>
      <c r="G696" s="149"/>
      <c r="K696" s="54"/>
      <c r="M696" s="253"/>
      <c r="R696" s="253"/>
    </row>
    <row r="697" spans="3:18" s="4" customFormat="1">
      <c r="C697" s="38"/>
      <c r="E697" s="148"/>
      <c r="F697" s="273"/>
      <c r="G697" s="149"/>
      <c r="K697" s="54"/>
      <c r="M697" s="253"/>
      <c r="R697" s="253"/>
    </row>
    <row r="698" spans="3:18" s="4" customFormat="1">
      <c r="C698" s="38"/>
      <c r="E698" s="148"/>
      <c r="F698" s="273"/>
      <c r="G698" s="149"/>
      <c r="K698" s="54"/>
      <c r="M698" s="253"/>
      <c r="R698" s="253"/>
    </row>
    <row r="699" spans="3:18" s="4" customFormat="1">
      <c r="C699" s="38"/>
      <c r="E699" s="148"/>
      <c r="F699" s="273"/>
      <c r="G699" s="149"/>
      <c r="K699" s="54"/>
      <c r="M699" s="253"/>
      <c r="R699" s="253"/>
    </row>
    <row r="700" spans="3:18" s="4" customFormat="1">
      <c r="C700" s="38"/>
      <c r="E700" s="148"/>
      <c r="F700" s="273"/>
      <c r="G700" s="149"/>
      <c r="K700" s="54"/>
      <c r="M700" s="253"/>
      <c r="R700" s="253"/>
    </row>
    <row r="701" spans="3:18" s="4" customFormat="1">
      <c r="C701" s="38"/>
      <c r="E701" s="148"/>
      <c r="F701" s="273"/>
      <c r="G701" s="149"/>
      <c r="K701" s="54"/>
      <c r="M701" s="253"/>
      <c r="R701" s="253"/>
    </row>
    <row r="702" spans="3:18" s="4" customFormat="1">
      <c r="C702" s="38"/>
      <c r="E702" s="148"/>
      <c r="F702" s="273"/>
      <c r="G702" s="149"/>
      <c r="K702" s="54"/>
      <c r="M702" s="253"/>
      <c r="R702" s="253"/>
    </row>
    <row r="703" spans="3:18" s="4" customFormat="1">
      <c r="C703" s="38"/>
      <c r="E703" s="148"/>
      <c r="F703" s="273"/>
      <c r="G703" s="149"/>
      <c r="K703" s="54"/>
      <c r="M703" s="253"/>
      <c r="R703" s="253"/>
    </row>
    <row r="704" spans="3:18" s="4" customFormat="1">
      <c r="C704" s="38"/>
      <c r="E704" s="148"/>
      <c r="F704" s="273"/>
      <c r="G704" s="149"/>
      <c r="K704" s="54"/>
      <c r="M704" s="253"/>
      <c r="R704" s="253"/>
    </row>
    <row r="705" spans="3:18" s="4" customFormat="1">
      <c r="C705" s="38"/>
      <c r="E705" s="148"/>
      <c r="F705" s="273"/>
      <c r="G705" s="149"/>
      <c r="K705" s="54"/>
      <c r="M705" s="253"/>
      <c r="R705" s="253"/>
    </row>
    <row r="706" spans="3:18" s="4" customFormat="1">
      <c r="C706" s="38"/>
      <c r="E706" s="148"/>
      <c r="F706" s="273"/>
      <c r="G706" s="149"/>
      <c r="K706" s="54"/>
      <c r="M706" s="253"/>
      <c r="R706" s="253"/>
    </row>
    <row r="707" spans="3:18" s="4" customFormat="1">
      <c r="C707" s="38"/>
      <c r="E707" s="148"/>
      <c r="F707" s="273"/>
      <c r="G707" s="149"/>
      <c r="K707" s="54"/>
      <c r="M707" s="253"/>
      <c r="R707" s="253"/>
    </row>
    <row r="708" spans="3:18" s="4" customFormat="1">
      <c r="C708" s="38"/>
      <c r="E708" s="148"/>
      <c r="F708" s="273"/>
      <c r="G708" s="149"/>
      <c r="K708" s="54"/>
      <c r="M708" s="253"/>
      <c r="R708" s="253"/>
    </row>
    <row r="709" spans="3:18" s="4" customFormat="1">
      <c r="C709" s="38"/>
      <c r="E709" s="148"/>
      <c r="F709" s="273"/>
      <c r="G709" s="149"/>
      <c r="K709" s="54"/>
      <c r="M709" s="253"/>
      <c r="R709" s="253"/>
    </row>
    <row r="710" spans="3:18" s="4" customFormat="1">
      <c r="C710" s="38"/>
      <c r="E710" s="148"/>
      <c r="F710" s="273"/>
      <c r="G710" s="149"/>
      <c r="K710" s="54"/>
      <c r="M710" s="253"/>
      <c r="R710" s="253"/>
    </row>
    <row r="711" spans="3:18" s="4" customFormat="1">
      <c r="C711" s="38"/>
      <c r="E711" s="148"/>
      <c r="F711" s="273"/>
      <c r="G711" s="149"/>
      <c r="K711" s="54"/>
      <c r="M711" s="253"/>
      <c r="R711" s="253"/>
    </row>
    <row r="712" spans="3:18" s="4" customFormat="1">
      <c r="C712" s="38"/>
      <c r="E712" s="148"/>
      <c r="F712" s="273"/>
      <c r="G712" s="149"/>
      <c r="K712" s="54"/>
      <c r="M712" s="253"/>
      <c r="R712" s="253"/>
    </row>
    <row r="713" spans="3:18" s="4" customFormat="1">
      <c r="C713" s="38"/>
      <c r="E713" s="148"/>
      <c r="F713" s="273"/>
      <c r="G713" s="149"/>
      <c r="K713" s="54"/>
      <c r="M713" s="253"/>
      <c r="R713" s="253"/>
    </row>
    <row r="714" spans="3:18" s="4" customFormat="1">
      <c r="C714" s="38"/>
      <c r="E714" s="148"/>
      <c r="F714" s="273"/>
      <c r="G714" s="149"/>
      <c r="K714" s="54"/>
      <c r="M714" s="253"/>
      <c r="R714" s="253"/>
    </row>
    <row r="715" spans="3:18" s="4" customFormat="1">
      <c r="C715" s="38"/>
      <c r="E715" s="148"/>
      <c r="F715" s="273"/>
      <c r="G715" s="149"/>
      <c r="K715" s="54"/>
      <c r="M715" s="253"/>
      <c r="R715" s="253"/>
    </row>
    <row r="716" spans="3:18" s="4" customFormat="1">
      <c r="C716" s="38"/>
      <c r="E716" s="148"/>
      <c r="F716" s="273"/>
      <c r="G716" s="149"/>
      <c r="K716" s="54"/>
      <c r="M716" s="253"/>
      <c r="R716" s="253"/>
    </row>
    <row r="717" spans="3:18" s="4" customFormat="1">
      <c r="C717" s="38"/>
      <c r="E717" s="148"/>
      <c r="F717" s="273"/>
      <c r="G717" s="149"/>
      <c r="K717" s="54"/>
      <c r="M717" s="253"/>
      <c r="R717" s="253"/>
    </row>
    <row r="718" spans="3:18" s="4" customFormat="1">
      <c r="C718" s="38"/>
      <c r="E718" s="148"/>
      <c r="F718" s="273"/>
      <c r="G718" s="149"/>
      <c r="K718" s="54"/>
      <c r="M718" s="253"/>
      <c r="R718" s="253"/>
    </row>
    <row r="719" spans="3:18" s="4" customFormat="1">
      <c r="C719" s="38"/>
      <c r="E719" s="148"/>
      <c r="F719" s="273"/>
      <c r="G719" s="149"/>
      <c r="K719" s="54"/>
      <c r="M719" s="253"/>
      <c r="R719" s="253"/>
    </row>
    <row r="720" spans="3:18" s="4" customFormat="1">
      <c r="C720" s="38"/>
      <c r="E720" s="148"/>
      <c r="F720" s="273"/>
      <c r="G720" s="149"/>
      <c r="K720" s="54"/>
      <c r="M720" s="253"/>
      <c r="R720" s="253"/>
    </row>
    <row r="721" spans="3:18" s="4" customFormat="1">
      <c r="C721" s="38"/>
      <c r="E721" s="148"/>
      <c r="F721" s="273"/>
      <c r="G721" s="149"/>
      <c r="K721" s="54"/>
      <c r="M721" s="253"/>
      <c r="R721" s="253"/>
    </row>
    <row r="722" spans="3:18" s="4" customFormat="1">
      <c r="C722" s="38"/>
      <c r="E722" s="148"/>
      <c r="F722" s="273"/>
      <c r="G722" s="149"/>
      <c r="K722" s="54"/>
      <c r="M722" s="253"/>
      <c r="R722" s="253"/>
    </row>
    <row r="723" spans="3:18" s="4" customFormat="1">
      <c r="C723" s="38"/>
      <c r="E723" s="148"/>
      <c r="F723" s="273"/>
      <c r="G723" s="149"/>
      <c r="K723" s="54"/>
      <c r="M723" s="253"/>
      <c r="R723" s="253"/>
    </row>
    <row r="724" spans="3:18" s="4" customFormat="1">
      <c r="C724" s="38"/>
      <c r="E724" s="148"/>
      <c r="F724" s="273"/>
      <c r="G724" s="149"/>
      <c r="K724" s="54"/>
      <c r="M724" s="253"/>
      <c r="R724" s="253"/>
    </row>
    <row r="725" spans="3:18" s="4" customFormat="1">
      <c r="C725" s="38"/>
      <c r="E725" s="148"/>
      <c r="F725" s="273"/>
      <c r="G725" s="149"/>
      <c r="K725" s="54"/>
      <c r="M725" s="253"/>
      <c r="R725" s="253"/>
    </row>
    <row r="726" spans="3:18" s="4" customFormat="1">
      <c r="C726" s="38"/>
      <c r="E726" s="148"/>
      <c r="F726" s="273"/>
      <c r="G726" s="149"/>
      <c r="K726" s="54"/>
      <c r="M726" s="253"/>
      <c r="R726" s="253"/>
    </row>
    <row r="727" spans="3:18" s="4" customFormat="1">
      <c r="C727" s="38"/>
      <c r="E727" s="148"/>
      <c r="F727" s="273"/>
      <c r="G727" s="149"/>
      <c r="K727" s="54"/>
      <c r="M727" s="253"/>
      <c r="R727" s="253"/>
    </row>
    <row r="728" spans="3:18" s="4" customFormat="1">
      <c r="C728" s="38"/>
      <c r="E728" s="148"/>
      <c r="F728" s="273"/>
      <c r="G728" s="149"/>
      <c r="K728" s="54"/>
      <c r="M728" s="253"/>
      <c r="R728" s="253"/>
    </row>
    <row r="729" spans="3:18" s="4" customFormat="1">
      <c r="C729" s="38"/>
      <c r="E729" s="148"/>
      <c r="F729" s="273"/>
      <c r="G729" s="149"/>
      <c r="K729" s="54"/>
      <c r="M729" s="253"/>
      <c r="R729" s="253"/>
    </row>
    <row r="730" spans="3:18" s="4" customFormat="1">
      <c r="C730" s="38"/>
      <c r="E730" s="148"/>
      <c r="F730" s="273"/>
      <c r="G730" s="149"/>
      <c r="K730" s="54"/>
      <c r="M730" s="253"/>
      <c r="R730" s="253"/>
    </row>
    <row r="731" spans="3:18" s="4" customFormat="1">
      <c r="C731" s="38"/>
      <c r="E731" s="148"/>
      <c r="F731" s="273"/>
      <c r="G731" s="149"/>
      <c r="K731" s="54"/>
      <c r="M731" s="253"/>
      <c r="R731" s="253"/>
    </row>
    <row r="732" spans="3:18" s="4" customFormat="1">
      <c r="C732" s="38"/>
      <c r="E732" s="148"/>
      <c r="F732" s="273"/>
      <c r="G732" s="149"/>
      <c r="K732" s="54"/>
      <c r="M732" s="253"/>
      <c r="R732" s="253"/>
    </row>
    <row r="733" spans="3:18" s="4" customFormat="1">
      <c r="C733" s="38"/>
      <c r="E733" s="148"/>
      <c r="F733" s="273"/>
      <c r="G733" s="149"/>
      <c r="K733" s="54"/>
      <c r="M733" s="253"/>
      <c r="R733" s="253"/>
    </row>
    <row r="734" spans="3:18" s="4" customFormat="1">
      <c r="C734" s="38"/>
      <c r="E734" s="148"/>
      <c r="F734" s="273"/>
      <c r="G734" s="149"/>
      <c r="K734" s="54"/>
      <c r="M734" s="253"/>
      <c r="R734" s="253"/>
    </row>
    <row r="735" spans="3:18" s="4" customFormat="1">
      <c r="C735" s="38"/>
      <c r="E735" s="148"/>
      <c r="F735" s="273"/>
      <c r="G735" s="149"/>
      <c r="K735" s="54"/>
      <c r="M735" s="253"/>
      <c r="R735" s="253"/>
    </row>
    <row r="736" spans="3:18" s="4" customFormat="1">
      <c r="C736" s="38"/>
      <c r="E736" s="148"/>
      <c r="F736" s="273"/>
      <c r="G736" s="149"/>
      <c r="K736" s="54"/>
      <c r="M736" s="253"/>
      <c r="R736" s="253"/>
    </row>
    <row r="737" spans="3:18" s="4" customFormat="1">
      <c r="C737" s="38"/>
      <c r="E737" s="148"/>
      <c r="F737" s="273"/>
      <c r="G737" s="149"/>
      <c r="K737" s="54"/>
      <c r="M737" s="253"/>
      <c r="R737" s="253"/>
    </row>
    <row r="738" spans="3:18" s="4" customFormat="1">
      <c r="C738" s="38"/>
      <c r="E738" s="148"/>
      <c r="F738" s="273"/>
      <c r="G738" s="149"/>
      <c r="K738" s="54"/>
      <c r="M738" s="253"/>
      <c r="R738" s="253"/>
    </row>
    <row r="739" spans="3:18" s="4" customFormat="1">
      <c r="C739" s="38"/>
      <c r="E739" s="148"/>
      <c r="F739" s="273"/>
      <c r="G739" s="149"/>
      <c r="K739" s="54"/>
      <c r="M739" s="253"/>
      <c r="R739" s="253"/>
    </row>
    <row r="740" spans="3:18" s="4" customFormat="1">
      <c r="C740" s="38"/>
      <c r="E740" s="148"/>
      <c r="F740" s="273"/>
      <c r="G740" s="149"/>
      <c r="K740" s="54"/>
      <c r="M740" s="253"/>
      <c r="R740" s="253"/>
    </row>
    <row r="741" spans="3:18" s="4" customFormat="1">
      <c r="C741" s="38"/>
      <c r="E741" s="148"/>
      <c r="F741" s="273"/>
      <c r="G741" s="149"/>
      <c r="K741" s="54"/>
      <c r="M741" s="253"/>
      <c r="R741" s="253"/>
    </row>
    <row r="742" spans="3:18" s="4" customFormat="1">
      <c r="C742" s="38"/>
      <c r="E742" s="148"/>
      <c r="F742" s="273"/>
      <c r="G742" s="149"/>
      <c r="K742" s="54"/>
      <c r="M742" s="253"/>
      <c r="R742" s="253"/>
    </row>
    <row r="743" spans="3:18" s="4" customFormat="1">
      <c r="C743" s="38"/>
      <c r="E743" s="148"/>
      <c r="F743" s="273"/>
      <c r="G743" s="149"/>
      <c r="K743" s="54"/>
      <c r="M743" s="253"/>
      <c r="R743" s="253"/>
    </row>
    <row r="744" spans="3:18" s="4" customFormat="1">
      <c r="C744" s="38"/>
      <c r="E744" s="148"/>
      <c r="F744" s="273"/>
      <c r="G744" s="149"/>
      <c r="K744" s="54"/>
      <c r="M744" s="253"/>
      <c r="R744" s="253"/>
    </row>
    <row r="745" spans="3:18" s="4" customFormat="1">
      <c r="C745" s="38"/>
      <c r="E745" s="148"/>
      <c r="F745" s="273"/>
      <c r="G745" s="149"/>
      <c r="K745" s="54"/>
      <c r="M745" s="253"/>
      <c r="R745" s="253"/>
    </row>
    <row r="746" spans="3:18" s="4" customFormat="1">
      <c r="C746" s="38"/>
      <c r="E746" s="148"/>
      <c r="F746" s="273"/>
      <c r="G746" s="149"/>
      <c r="K746" s="54"/>
      <c r="M746" s="253"/>
      <c r="R746" s="253"/>
    </row>
    <row r="747" spans="3:18" s="4" customFormat="1">
      <c r="C747" s="38"/>
      <c r="E747" s="148"/>
      <c r="F747" s="273"/>
      <c r="G747" s="149"/>
      <c r="K747" s="54"/>
      <c r="M747" s="253"/>
      <c r="R747" s="253"/>
    </row>
    <row r="748" spans="3:18" s="4" customFormat="1">
      <c r="C748" s="38"/>
      <c r="E748" s="148"/>
      <c r="F748" s="273"/>
      <c r="G748" s="149"/>
      <c r="K748" s="54"/>
      <c r="M748" s="253"/>
      <c r="R748" s="253"/>
    </row>
    <row r="749" spans="3:18" s="4" customFormat="1">
      <c r="C749" s="38"/>
      <c r="E749" s="148"/>
      <c r="F749" s="273"/>
      <c r="G749" s="149"/>
      <c r="K749" s="54"/>
      <c r="M749" s="253"/>
      <c r="R749" s="253"/>
    </row>
    <row r="750" spans="3:18" s="4" customFormat="1">
      <c r="C750" s="38"/>
      <c r="E750" s="148"/>
      <c r="F750" s="273"/>
      <c r="G750" s="149"/>
      <c r="K750" s="54"/>
      <c r="M750" s="253"/>
      <c r="R750" s="253"/>
    </row>
    <row r="751" spans="3:18" s="4" customFormat="1">
      <c r="C751" s="38"/>
      <c r="E751" s="148"/>
      <c r="F751" s="273"/>
      <c r="G751" s="149"/>
      <c r="K751" s="54"/>
      <c r="M751" s="253"/>
      <c r="R751" s="253"/>
    </row>
    <row r="752" spans="3:18" s="4" customFormat="1">
      <c r="C752" s="38"/>
      <c r="E752" s="148"/>
      <c r="F752" s="273"/>
      <c r="G752" s="149"/>
      <c r="K752" s="54"/>
      <c r="M752" s="253"/>
      <c r="R752" s="253"/>
    </row>
    <row r="753" spans="3:18" s="4" customFormat="1">
      <c r="C753" s="38"/>
      <c r="E753" s="148"/>
      <c r="F753" s="273"/>
      <c r="G753" s="149"/>
      <c r="K753" s="54"/>
      <c r="M753" s="253"/>
      <c r="R753" s="253"/>
    </row>
    <row r="754" spans="3:18" s="4" customFormat="1">
      <c r="C754" s="38"/>
      <c r="E754" s="148"/>
      <c r="F754" s="273"/>
      <c r="G754" s="149"/>
      <c r="K754" s="54"/>
      <c r="M754" s="253"/>
      <c r="R754" s="253"/>
    </row>
    <row r="755" spans="3:18" s="4" customFormat="1">
      <c r="C755" s="38"/>
      <c r="E755" s="148"/>
      <c r="F755" s="273"/>
      <c r="G755" s="149"/>
      <c r="K755" s="54"/>
      <c r="M755" s="253"/>
      <c r="R755" s="253"/>
    </row>
    <row r="756" spans="3:18" s="4" customFormat="1">
      <c r="C756" s="38"/>
      <c r="E756" s="148"/>
      <c r="F756" s="273"/>
      <c r="G756" s="149"/>
      <c r="K756" s="54"/>
      <c r="M756" s="253"/>
      <c r="R756" s="253"/>
    </row>
    <row r="757" spans="3:18" s="4" customFormat="1">
      <c r="C757" s="38"/>
      <c r="E757" s="148"/>
      <c r="F757" s="273"/>
      <c r="G757" s="149"/>
      <c r="K757" s="54"/>
      <c r="M757" s="253"/>
      <c r="R757" s="253"/>
    </row>
    <row r="758" spans="3:18" s="4" customFormat="1">
      <c r="C758" s="38"/>
      <c r="E758" s="148"/>
      <c r="F758" s="273"/>
      <c r="G758" s="149"/>
      <c r="K758" s="54"/>
      <c r="M758" s="253"/>
      <c r="R758" s="253"/>
    </row>
    <row r="759" spans="3:18" s="4" customFormat="1">
      <c r="C759" s="38"/>
      <c r="E759" s="148"/>
      <c r="F759" s="273"/>
      <c r="G759" s="149"/>
      <c r="K759" s="54"/>
      <c r="M759" s="253"/>
      <c r="R759" s="253"/>
    </row>
    <row r="760" spans="3:18" s="4" customFormat="1">
      <c r="C760" s="38"/>
      <c r="E760" s="148"/>
      <c r="F760" s="273"/>
      <c r="G760" s="149"/>
      <c r="K760" s="54"/>
      <c r="M760" s="253"/>
      <c r="R760" s="253"/>
    </row>
    <row r="761" spans="3:18" s="4" customFormat="1">
      <c r="C761" s="38"/>
      <c r="E761" s="148"/>
      <c r="F761" s="273"/>
      <c r="G761" s="149"/>
      <c r="K761" s="54"/>
      <c r="M761" s="253"/>
      <c r="R761" s="253"/>
    </row>
    <row r="762" spans="3:18" s="4" customFormat="1">
      <c r="C762" s="38"/>
      <c r="E762" s="148"/>
      <c r="F762" s="273"/>
      <c r="G762" s="149"/>
      <c r="K762" s="54"/>
      <c r="M762" s="253"/>
      <c r="R762" s="253"/>
    </row>
    <row r="763" spans="3:18" s="4" customFormat="1">
      <c r="C763" s="38"/>
      <c r="E763" s="148"/>
      <c r="F763" s="273"/>
      <c r="G763" s="149"/>
      <c r="K763" s="54"/>
      <c r="M763" s="253"/>
      <c r="R763" s="253"/>
    </row>
    <row r="764" spans="3:18" s="4" customFormat="1">
      <c r="C764" s="38"/>
      <c r="E764" s="148"/>
      <c r="F764" s="273"/>
      <c r="G764" s="149"/>
      <c r="K764" s="54"/>
      <c r="M764" s="253"/>
      <c r="R764" s="253"/>
    </row>
    <row r="765" spans="3:18" s="4" customFormat="1">
      <c r="C765" s="38"/>
      <c r="E765" s="148"/>
      <c r="F765" s="273"/>
      <c r="G765" s="149"/>
      <c r="K765" s="54"/>
      <c r="M765" s="253"/>
      <c r="R765" s="253"/>
    </row>
    <row r="766" spans="3:18" s="4" customFormat="1">
      <c r="C766" s="38"/>
      <c r="E766" s="148"/>
      <c r="F766" s="273"/>
      <c r="G766" s="149"/>
      <c r="K766" s="54"/>
      <c r="M766" s="253"/>
      <c r="R766" s="253"/>
    </row>
    <row r="767" spans="3:18" s="4" customFormat="1">
      <c r="C767" s="38"/>
      <c r="E767" s="148"/>
      <c r="F767" s="273"/>
      <c r="G767" s="149"/>
      <c r="K767" s="54"/>
      <c r="M767" s="253"/>
      <c r="R767" s="253"/>
    </row>
    <row r="768" spans="3:18" s="4" customFormat="1">
      <c r="C768" s="38"/>
      <c r="E768" s="148"/>
      <c r="F768" s="273"/>
      <c r="G768" s="149"/>
      <c r="K768" s="54"/>
      <c r="M768" s="253"/>
      <c r="R768" s="253"/>
    </row>
    <row r="769" spans="3:18" s="4" customFormat="1">
      <c r="C769" s="38"/>
      <c r="E769" s="148"/>
      <c r="F769" s="273"/>
      <c r="G769" s="149"/>
      <c r="K769" s="54"/>
      <c r="M769" s="253"/>
      <c r="R769" s="253"/>
    </row>
    <row r="770" spans="3:18" s="4" customFormat="1">
      <c r="C770" s="38"/>
      <c r="E770" s="148"/>
      <c r="F770" s="273"/>
      <c r="G770" s="149"/>
      <c r="K770" s="54"/>
      <c r="M770" s="253"/>
      <c r="R770" s="253"/>
    </row>
    <row r="771" spans="3:18" s="4" customFormat="1">
      <c r="C771" s="38"/>
      <c r="E771" s="148"/>
      <c r="F771" s="273"/>
      <c r="G771" s="149"/>
      <c r="K771" s="54"/>
      <c r="M771" s="253"/>
      <c r="R771" s="253"/>
    </row>
    <row r="772" spans="3:18" s="4" customFormat="1">
      <c r="C772" s="38"/>
      <c r="E772" s="148"/>
      <c r="F772" s="273"/>
      <c r="G772" s="149"/>
      <c r="K772" s="54"/>
      <c r="M772" s="253"/>
      <c r="R772" s="253"/>
    </row>
    <row r="773" spans="3:18" s="4" customFormat="1">
      <c r="C773" s="38"/>
      <c r="E773" s="148"/>
      <c r="F773" s="273"/>
      <c r="G773" s="149"/>
      <c r="K773" s="54"/>
      <c r="M773" s="253"/>
      <c r="R773" s="253"/>
    </row>
    <row r="774" spans="3:18" s="4" customFormat="1">
      <c r="C774" s="38"/>
      <c r="E774" s="148"/>
      <c r="F774" s="273"/>
      <c r="G774" s="149"/>
      <c r="K774" s="54"/>
      <c r="M774" s="253"/>
      <c r="R774" s="253"/>
    </row>
    <row r="775" spans="3:18" s="4" customFormat="1">
      <c r="C775" s="38"/>
      <c r="E775" s="148"/>
      <c r="F775" s="273"/>
      <c r="G775" s="149"/>
      <c r="K775" s="54"/>
      <c r="M775" s="253"/>
      <c r="R775" s="253"/>
    </row>
  </sheetData>
  <autoFilter ref="A1:O263"/>
  <phoneticPr fontId="6" type="noConversion"/>
  <hyperlinks>
    <hyperlink ref="A247" r:id="rId1" display="http://www.degulesider.dk/de-gule-sider/S%C3%B8nderborg/15905234/Varroc+Engineering+Pvt+Ltd/"/>
  </hyperlinks>
  <pageMargins left="0" right="0" top="0.98425196850393704" bottom="0.98425196850393704" header="0" footer="0"/>
  <pageSetup paperSize="8" scale="54" fitToHeight="10" orientation="landscape" r:id="rId2"/>
  <headerFooter alignWithMargins="0"/>
  <ignoredErrors>
    <ignoredError sqref="T117" formula="1"/>
  </ignoredError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9:O35"/>
  <sheetViews>
    <sheetView topLeftCell="B15" workbookViewId="0">
      <selection activeCell="M32" sqref="M32"/>
    </sheetView>
  </sheetViews>
  <sheetFormatPr defaultRowHeight="12.75"/>
  <cols>
    <col min="2" max="2" width="10.42578125" bestFit="1" customWidth="1"/>
    <col min="3" max="3" width="11.28515625" customWidth="1"/>
    <col min="4" max="4" width="10.28515625" customWidth="1"/>
  </cols>
  <sheetData>
    <row r="9" spans="2:15">
      <c r="C9" t="s">
        <v>1470</v>
      </c>
    </row>
    <row r="12" spans="2:15" ht="13.5" thickBot="1">
      <c r="C12" t="s">
        <v>1200</v>
      </c>
      <c r="D12" t="s">
        <v>1201</v>
      </c>
      <c r="E12" t="s">
        <v>1202</v>
      </c>
      <c r="F12" t="s">
        <v>1203</v>
      </c>
      <c r="G12" t="s">
        <v>1204</v>
      </c>
      <c r="H12" t="s">
        <v>1205</v>
      </c>
      <c r="I12" t="s">
        <v>1206</v>
      </c>
      <c r="J12" t="s">
        <v>1207</v>
      </c>
      <c r="K12" t="s">
        <v>1208</v>
      </c>
      <c r="L12" t="s">
        <v>1209</v>
      </c>
      <c r="M12" t="s">
        <v>1210</v>
      </c>
      <c r="N12" t="s">
        <v>1211</v>
      </c>
      <c r="O12" t="s">
        <v>1212</v>
      </c>
    </row>
    <row r="13" spans="2:15" ht="14.25" thickTop="1" thickBot="1">
      <c r="B13">
        <v>2006</v>
      </c>
      <c r="C13" s="26">
        <v>543</v>
      </c>
      <c r="D13" s="26">
        <v>459</v>
      </c>
      <c r="E13" s="26">
        <v>525</v>
      </c>
      <c r="F13" s="26">
        <v>309</v>
      </c>
      <c r="G13" s="26">
        <v>149</v>
      </c>
      <c r="H13" s="26">
        <v>41</v>
      </c>
      <c r="I13" s="26">
        <v>0</v>
      </c>
      <c r="J13" s="26">
        <v>7</v>
      </c>
      <c r="K13" s="26">
        <v>16</v>
      </c>
      <c r="L13" s="26">
        <v>125</v>
      </c>
      <c r="M13" s="26">
        <v>267</v>
      </c>
      <c r="N13" s="26">
        <v>302</v>
      </c>
      <c r="O13" s="26">
        <v>2743</v>
      </c>
    </row>
    <row r="14" spans="2:15" ht="14.25" thickTop="1" thickBot="1">
      <c r="B14">
        <v>2007</v>
      </c>
      <c r="C14" s="26">
        <v>368</v>
      </c>
      <c r="D14" s="26">
        <v>412</v>
      </c>
      <c r="E14" s="26">
        <v>313</v>
      </c>
      <c r="F14" s="26">
        <v>213</v>
      </c>
      <c r="G14" s="26">
        <v>124</v>
      </c>
      <c r="H14" s="26">
        <v>28</v>
      </c>
      <c r="I14" s="26">
        <v>29</v>
      </c>
      <c r="J14" s="26">
        <v>23</v>
      </c>
      <c r="K14" s="26">
        <v>99</v>
      </c>
      <c r="L14" s="26">
        <v>235</v>
      </c>
      <c r="M14" s="26">
        <v>333</v>
      </c>
      <c r="N14" s="26">
        <v>394</v>
      </c>
      <c r="O14" s="26">
        <v>2571</v>
      </c>
    </row>
    <row r="15" spans="2:15" ht="14.25" thickTop="1" thickBot="1">
      <c r="B15">
        <v>2008</v>
      </c>
      <c r="C15" s="26">
        <v>394</v>
      </c>
      <c r="D15" s="26">
        <v>344</v>
      </c>
      <c r="E15" s="26">
        <v>398</v>
      </c>
      <c r="F15" s="26">
        <v>260</v>
      </c>
      <c r="G15" s="26">
        <v>116</v>
      </c>
      <c r="H15" s="26">
        <v>44</v>
      </c>
      <c r="I15" s="26">
        <v>8</v>
      </c>
      <c r="J15" s="26">
        <v>10</v>
      </c>
      <c r="K15" s="26">
        <v>90</v>
      </c>
      <c r="L15" s="26">
        <v>207</v>
      </c>
      <c r="M15" s="26">
        <v>315</v>
      </c>
      <c r="N15" s="26">
        <v>421</v>
      </c>
      <c r="O15" s="26">
        <v>2607</v>
      </c>
    </row>
    <row r="16" spans="2:15" ht="14.25" thickTop="1" thickBot="1">
      <c r="B16">
        <v>2009</v>
      </c>
      <c r="C16" s="26">
        <v>488</v>
      </c>
      <c r="D16" s="26">
        <v>447</v>
      </c>
      <c r="E16" s="26">
        <v>397</v>
      </c>
      <c r="F16" s="26">
        <v>200</v>
      </c>
      <c r="G16" s="26">
        <v>135</v>
      </c>
      <c r="H16" s="26">
        <v>114</v>
      </c>
      <c r="I16" s="26">
        <v>5</v>
      </c>
      <c r="J16" s="26">
        <v>5</v>
      </c>
      <c r="K16" s="26">
        <v>54</v>
      </c>
      <c r="L16" s="26">
        <v>266</v>
      </c>
      <c r="M16" s="26">
        <v>280</v>
      </c>
      <c r="N16" s="26">
        <v>466</v>
      </c>
      <c r="O16" s="26">
        <v>2857</v>
      </c>
    </row>
    <row r="17" spans="2:15" ht="14.25" thickTop="1" thickBot="1">
      <c r="B17">
        <v>2010</v>
      </c>
      <c r="C17" s="26">
        <v>603</v>
      </c>
      <c r="D17" s="26">
        <v>511</v>
      </c>
      <c r="E17" s="26">
        <v>423</v>
      </c>
      <c r="F17" s="26">
        <v>305</v>
      </c>
      <c r="G17" s="26">
        <v>194</v>
      </c>
      <c r="H17" s="26">
        <v>60</v>
      </c>
      <c r="I17" s="26">
        <v>3</v>
      </c>
      <c r="J17" s="26">
        <v>16</v>
      </c>
      <c r="K17" s="26">
        <v>105</v>
      </c>
      <c r="L17" s="26">
        <v>252</v>
      </c>
      <c r="M17" s="26">
        <v>382</v>
      </c>
      <c r="N17" s="26">
        <v>636</v>
      </c>
      <c r="O17" s="26">
        <f>SUM(C17:N17)</f>
        <v>3490</v>
      </c>
    </row>
    <row r="18" spans="2:15" ht="14.25" thickTop="1" thickBot="1">
      <c r="B18">
        <v>2011</v>
      </c>
      <c r="C18" s="26">
        <v>485</v>
      </c>
      <c r="D18" s="26">
        <v>472</v>
      </c>
      <c r="E18" s="26">
        <v>421</v>
      </c>
      <c r="F18" s="26">
        <v>182</v>
      </c>
      <c r="G18" s="26">
        <v>140</v>
      </c>
      <c r="H18" s="26">
        <v>30</v>
      </c>
      <c r="I18" s="26"/>
      <c r="J18" s="26"/>
      <c r="K18" s="26"/>
      <c r="L18" s="26"/>
      <c r="M18" s="26"/>
      <c r="N18" s="26"/>
      <c r="O18" s="26"/>
    </row>
    <row r="19" spans="2:15" ht="13.5" thickTop="1">
      <c r="B19" t="s">
        <v>1213</v>
      </c>
      <c r="C19" s="27">
        <v>487</v>
      </c>
      <c r="D19" s="27">
        <v>448</v>
      </c>
      <c r="E19" s="27">
        <v>426</v>
      </c>
      <c r="F19" s="27">
        <v>290</v>
      </c>
      <c r="G19" s="27">
        <v>147</v>
      </c>
      <c r="H19" s="27">
        <v>60</v>
      </c>
      <c r="I19" s="27">
        <v>23</v>
      </c>
      <c r="J19" s="27">
        <v>22</v>
      </c>
      <c r="K19" s="27">
        <v>94</v>
      </c>
      <c r="L19" s="27">
        <v>219</v>
      </c>
      <c r="M19" s="27">
        <v>342</v>
      </c>
      <c r="N19" s="27">
        <v>444</v>
      </c>
      <c r="O19" s="27">
        <v>3002</v>
      </c>
    </row>
    <row r="22" spans="2:15" ht="25.5">
      <c r="B22" s="8" t="s">
        <v>1214</v>
      </c>
      <c r="C22" t="s">
        <v>1215</v>
      </c>
      <c r="D22" t="s">
        <v>1216</v>
      </c>
    </row>
    <row r="23" spans="2:15">
      <c r="B23" t="s">
        <v>1217</v>
      </c>
      <c r="C23">
        <f>F13+G13+H13+I13+J13+K13+L13+M13+N13+C14+D14+E14</f>
        <v>2309</v>
      </c>
      <c r="D23">
        <f>C23/O16</f>
        <v>0.80819040952047605</v>
      </c>
    </row>
    <row r="24" spans="2:15">
      <c r="B24" s="13" t="s">
        <v>1218</v>
      </c>
      <c r="C24">
        <f>F14+G14+H14+I14+J14+K14+L14+M14+N14+C15+D15+E15</f>
        <v>2614</v>
      </c>
      <c r="D24">
        <f>C24/O19</f>
        <v>0.87075283144570281</v>
      </c>
    </row>
    <row r="25" spans="2:15">
      <c r="B25" s="28" t="s">
        <v>1224</v>
      </c>
      <c r="C25">
        <f>F15+G15+H15+I15+J15+K15+L15+M15+N15+C16+D16+E16</f>
        <v>2803</v>
      </c>
      <c r="D25">
        <f>C25/O19</f>
        <v>0.93371085942704868</v>
      </c>
    </row>
    <row r="26" spans="2:15">
      <c r="B26" s="28" t="s">
        <v>1476</v>
      </c>
      <c r="C26">
        <f>F16+G16+H16+I16+J16+K16+L16+M16+N16+C17+D17+E17</f>
        <v>3062</v>
      </c>
      <c r="D26">
        <f>C26/O19</f>
        <v>1.0199866755496336</v>
      </c>
    </row>
    <row r="27" spans="2:15">
      <c r="B27" s="28" t="s">
        <v>1477</v>
      </c>
      <c r="C27">
        <f>F17+G17+H17+I17+J17+K17+L17+M17+N17+C18+D18+E18</f>
        <v>3331</v>
      </c>
      <c r="D27">
        <f>C27/O19</f>
        <v>1.1095936042638241</v>
      </c>
    </row>
    <row r="28" spans="2:15">
      <c r="B28" t="s">
        <v>1219</v>
      </c>
      <c r="C28">
        <f>H14+I14+J14+K14+L14+M14+N14+C15+D15+E15+F15+G15</f>
        <v>2653</v>
      </c>
      <c r="D28">
        <f>C28/O19</f>
        <v>0.88374417055296473</v>
      </c>
      <c r="E28" s="3" t="s">
        <v>1222</v>
      </c>
    </row>
    <row r="29" spans="2:15">
      <c r="B29" s="3" t="s">
        <v>1221</v>
      </c>
      <c r="C29">
        <f>H15+I15+J15+K15+L15+M15+N15+C16+D16+E16+F16+G16</f>
        <v>2762</v>
      </c>
      <c r="D29">
        <f>C29/O19</f>
        <v>0.92005329780146572</v>
      </c>
      <c r="E29" s="3" t="s">
        <v>1223</v>
      </c>
    </row>
    <row r="30" spans="2:15">
      <c r="B30" s="28" t="s">
        <v>1478</v>
      </c>
      <c r="C30">
        <f>H16+I16+J16+K16+L16+M16+N16+C17+D17+E17+F17+G17</f>
        <v>3226</v>
      </c>
      <c r="D30">
        <f>C30/O19</f>
        <v>1.0746169220519655</v>
      </c>
      <c r="E30" s="3" t="s">
        <v>1479</v>
      </c>
    </row>
    <row r="31" spans="2:15">
      <c r="B31" s="28" t="s">
        <v>1480</v>
      </c>
      <c r="C31">
        <f>H17+I17+J17+K17+L17+M17+N17+C18+D18+E18+F18+G18</f>
        <v>3154</v>
      </c>
      <c r="D31">
        <f>C31/O19</f>
        <v>1.0506329113924051</v>
      </c>
      <c r="E31" s="3" t="s">
        <v>1481</v>
      </c>
    </row>
    <row r="32" spans="2:15">
      <c r="B32">
        <v>2007</v>
      </c>
      <c r="C32">
        <v>2571</v>
      </c>
      <c r="D32">
        <f>O14/O19</f>
        <v>0.85642904730179881</v>
      </c>
    </row>
    <row r="33" spans="2:4">
      <c r="B33">
        <v>2008</v>
      </c>
      <c r="C33">
        <v>2607</v>
      </c>
      <c r="D33">
        <f>O15/O19</f>
        <v>0.86842105263157898</v>
      </c>
    </row>
    <row r="34" spans="2:4">
      <c r="B34">
        <v>2009</v>
      </c>
      <c r="C34">
        <v>2857</v>
      </c>
      <c r="D34">
        <f>O16/O19</f>
        <v>0.95169886742171883</v>
      </c>
    </row>
    <row r="35" spans="2:4">
      <c r="B35">
        <v>2010</v>
      </c>
      <c r="C35">
        <v>3490</v>
      </c>
      <c r="D35">
        <f>O17/O19</f>
        <v>1.1625582944703532</v>
      </c>
    </row>
  </sheetData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4"/>
  <sheetViews>
    <sheetView topLeftCell="H1" workbookViewId="0">
      <selection activeCell="K1" sqref="K1:O1048576"/>
    </sheetView>
  </sheetViews>
  <sheetFormatPr defaultRowHeight="12.75"/>
  <cols>
    <col min="1" max="1" width="25" style="1" bestFit="1" customWidth="1"/>
    <col min="2" max="2" width="5.85546875" customWidth="1"/>
    <col min="3" max="3" width="8.85546875" bestFit="1" customWidth="1"/>
    <col min="4" max="4" width="22.85546875" style="337" customWidth="1"/>
    <col min="5" max="6" width="11.7109375" style="1" customWidth="1"/>
    <col min="7" max="9" width="12.5703125" bestFit="1" customWidth="1"/>
    <col min="10" max="10" width="21.140625" style="1" bestFit="1" customWidth="1"/>
  </cols>
  <sheetData>
    <row r="1" spans="1:10">
      <c r="A1" s="1" t="s">
        <v>1267</v>
      </c>
      <c r="B1" t="s">
        <v>1268</v>
      </c>
      <c r="C1" t="s">
        <v>1269</v>
      </c>
      <c r="D1" s="337" t="s">
        <v>1119</v>
      </c>
      <c r="E1" s="1" t="s">
        <v>1120</v>
      </c>
      <c r="F1" s="1" t="s">
        <v>1420</v>
      </c>
      <c r="G1" t="s">
        <v>1121</v>
      </c>
      <c r="H1" t="s">
        <v>1122</v>
      </c>
      <c r="I1" t="s">
        <v>1123</v>
      </c>
      <c r="J1" s="1" t="s">
        <v>1300</v>
      </c>
    </row>
    <row r="2" spans="1:10" ht="15">
      <c r="A2" s="1" t="s">
        <v>1280</v>
      </c>
      <c r="B2">
        <v>1</v>
      </c>
      <c r="C2">
        <v>6440</v>
      </c>
      <c r="D2" s="337" t="s">
        <v>1302</v>
      </c>
      <c r="E2" s="1" t="s">
        <v>1302</v>
      </c>
      <c r="F2" s="53">
        <v>2988</v>
      </c>
      <c r="G2">
        <v>2905</v>
      </c>
      <c r="H2">
        <v>3123</v>
      </c>
      <c r="I2">
        <v>2804</v>
      </c>
      <c r="J2" s="1" t="s">
        <v>1344</v>
      </c>
    </row>
    <row r="3" spans="1:10" ht="15">
      <c r="A3" s="1" t="s">
        <v>1281</v>
      </c>
      <c r="C3">
        <v>6430</v>
      </c>
      <c r="D3" s="337" t="s">
        <v>1302</v>
      </c>
      <c r="E3" s="1" t="s">
        <v>1302</v>
      </c>
      <c r="F3" s="53">
        <v>8165</v>
      </c>
      <c r="G3">
        <v>8321</v>
      </c>
      <c r="H3">
        <v>8167</v>
      </c>
      <c r="I3">
        <v>8607</v>
      </c>
      <c r="J3" s="1" t="s">
        <v>1344</v>
      </c>
    </row>
    <row r="4" spans="1:10" ht="15">
      <c r="A4" s="1" t="s">
        <v>1286</v>
      </c>
      <c r="B4">
        <v>15</v>
      </c>
      <c r="C4">
        <v>6400</v>
      </c>
      <c r="D4" s="337" t="s">
        <v>1302</v>
      </c>
      <c r="E4" s="1" t="s">
        <v>1302</v>
      </c>
      <c r="F4" s="53">
        <v>5860</v>
      </c>
      <c r="G4">
        <v>6553</v>
      </c>
      <c r="H4">
        <v>6274</v>
      </c>
      <c r="I4">
        <v>7714</v>
      </c>
      <c r="J4" s="1" t="s">
        <v>1344</v>
      </c>
    </row>
    <row r="5" spans="1:10" ht="15">
      <c r="A5" s="1" t="s">
        <v>1295</v>
      </c>
      <c r="B5">
        <v>14</v>
      </c>
      <c r="C5">
        <v>6440</v>
      </c>
      <c r="D5" s="337" t="s">
        <v>1124</v>
      </c>
      <c r="E5" s="1" t="s">
        <v>1302</v>
      </c>
      <c r="F5" s="53">
        <v>11413</v>
      </c>
      <c r="G5">
        <v>10803</v>
      </c>
      <c r="H5">
        <v>11223</v>
      </c>
      <c r="I5">
        <v>11468</v>
      </c>
      <c r="J5" s="1" t="s">
        <v>1344</v>
      </c>
    </row>
    <row r="6" spans="1:10" ht="15">
      <c r="A6" s="1" t="s">
        <v>1296</v>
      </c>
      <c r="B6">
        <v>2</v>
      </c>
      <c r="C6">
        <v>6440</v>
      </c>
      <c r="D6" s="337" t="s">
        <v>1302</v>
      </c>
      <c r="E6" s="1" t="s">
        <v>1302</v>
      </c>
      <c r="F6" s="53">
        <v>12221</v>
      </c>
      <c r="G6">
        <v>12095</v>
      </c>
      <c r="H6">
        <v>13259</v>
      </c>
      <c r="I6">
        <v>12312</v>
      </c>
      <c r="J6" s="1" t="s">
        <v>1344</v>
      </c>
    </row>
    <row r="7" spans="1:10" ht="15">
      <c r="A7" s="1" t="s">
        <v>1298</v>
      </c>
      <c r="C7">
        <v>6400</v>
      </c>
      <c r="D7" s="337" t="s">
        <v>1302</v>
      </c>
      <c r="E7" s="1" t="s">
        <v>1302</v>
      </c>
      <c r="F7" s="53">
        <v>876</v>
      </c>
      <c r="G7">
        <v>875</v>
      </c>
      <c r="H7">
        <v>973</v>
      </c>
      <c r="I7">
        <v>1173</v>
      </c>
      <c r="J7" s="1" t="s">
        <v>1344</v>
      </c>
    </row>
    <row r="8" spans="1:10" ht="15">
      <c r="A8" s="1" t="s">
        <v>1299</v>
      </c>
      <c r="B8">
        <v>2</v>
      </c>
      <c r="C8">
        <v>6440</v>
      </c>
      <c r="D8" s="337" t="s">
        <v>1302</v>
      </c>
      <c r="E8" s="1" t="s">
        <v>1302</v>
      </c>
      <c r="F8" s="53">
        <v>16518</v>
      </c>
      <c r="G8">
        <v>15748</v>
      </c>
      <c r="H8">
        <v>16888</v>
      </c>
      <c r="I8">
        <v>16160</v>
      </c>
      <c r="J8" s="1" t="s">
        <v>1344</v>
      </c>
    </row>
    <row r="9" spans="1:10" ht="15">
      <c r="A9" s="1" t="s">
        <v>603</v>
      </c>
      <c r="B9">
        <v>39</v>
      </c>
      <c r="C9">
        <v>6440</v>
      </c>
      <c r="D9" s="337" t="s">
        <v>1302</v>
      </c>
      <c r="E9" s="1" t="s">
        <v>1302</v>
      </c>
      <c r="F9" s="53">
        <v>15171</v>
      </c>
      <c r="G9">
        <v>19252</v>
      </c>
      <c r="H9">
        <v>22503</v>
      </c>
      <c r="I9">
        <v>21661</v>
      </c>
      <c r="J9" s="1" t="s">
        <v>1344</v>
      </c>
    </row>
    <row r="10" spans="1:10" ht="15">
      <c r="A10" s="1" t="s">
        <v>604</v>
      </c>
      <c r="C10">
        <v>6400</v>
      </c>
      <c r="D10" s="337" t="s">
        <v>1302</v>
      </c>
      <c r="E10" s="1" t="s">
        <v>1302</v>
      </c>
      <c r="F10" s="53">
        <v>36427</v>
      </c>
      <c r="G10">
        <v>35847</v>
      </c>
      <c r="H10">
        <v>31354</v>
      </c>
      <c r="I10">
        <v>33851</v>
      </c>
      <c r="J10" s="1" t="s">
        <v>1344</v>
      </c>
    </row>
    <row r="11" spans="1:10" ht="15">
      <c r="A11" s="1" t="s">
        <v>807</v>
      </c>
      <c r="B11">
        <v>79</v>
      </c>
      <c r="C11">
        <v>6300</v>
      </c>
      <c r="D11" s="337" t="s">
        <v>1302</v>
      </c>
      <c r="E11" s="1" t="s">
        <v>1302</v>
      </c>
      <c r="F11" s="53">
        <v>12916</v>
      </c>
      <c r="G11">
        <v>12653</v>
      </c>
      <c r="H11">
        <v>11709</v>
      </c>
      <c r="I11">
        <v>12665</v>
      </c>
      <c r="J11" s="1" t="s">
        <v>1344</v>
      </c>
    </row>
    <row r="12" spans="1:10" ht="15">
      <c r="A12" s="1" t="s">
        <v>808</v>
      </c>
      <c r="C12">
        <v>6400</v>
      </c>
      <c r="D12" s="337" t="s">
        <v>1302</v>
      </c>
      <c r="E12" s="1" t="s">
        <v>1302</v>
      </c>
      <c r="F12" s="53">
        <v>18179</v>
      </c>
      <c r="G12">
        <v>17745</v>
      </c>
      <c r="H12">
        <v>17712</v>
      </c>
      <c r="I12">
        <v>23426</v>
      </c>
      <c r="J12" s="1" t="s">
        <v>1344</v>
      </c>
    </row>
    <row r="13" spans="1:10" ht="15">
      <c r="A13" s="1" t="s">
        <v>809</v>
      </c>
      <c r="C13">
        <v>6470</v>
      </c>
      <c r="D13" s="337" t="s">
        <v>1302</v>
      </c>
      <c r="E13" s="1" t="s">
        <v>1302</v>
      </c>
      <c r="F13" s="53">
        <v>47110</v>
      </c>
      <c r="G13">
        <v>46726</v>
      </c>
      <c r="H13">
        <v>43727</v>
      </c>
      <c r="I13">
        <v>31383</v>
      </c>
      <c r="J13" s="1" t="s">
        <v>1344</v>
      </c>
    </row>
    <row r="14" spans="1:10" ht="15">
      <c r="A14" s="1" t="s">
        <v>811</v>
      </c>
      <c r="B14">
        <v>85</v>
      </c>
      <c r="C14">
        <v>6400</v>
      </c>
      <c r="D14" s="337" t="s">
        <v>1302</v>
      </c>
      <c r="E14" s="1" t="s">
        <v>1125</v>
      </c>
      <c r="F14" s="53">
        <v>19225</v>
      </c>
      <c r="G14">
        <v>19957</v>
      </c>
      <c r="H14">
        <v>18487</v>
      </c>
      <c r="I14">
        <v>20035</v>
      </c>
      <c r="J14" s="1" t="s">
        <v>1344</v>
      </c>
    </row>
    <row r="15" spans="1:10" ht="15">
      <c r="A15" s="1" t="s">
        <v>812</v>
      </c>
      <c r="C15">
        <v>6310</v>
      </c>
      <c r="D15" s="337" t="s">
        <v>1126</v>
      </c>
      <c r="E15" s="1" t="s">
        <v>1302</v>
      </c>
      <c r="F15" s="53">
        <v>2641</v>
      </c>
      <c r="G15">
        <v>2640</v>
      </c>
      <c r="H15">
        <v>2656</v>
      </c>
      <c r="I15">
        <v>4594</v>
      </c>
      <c r="J15" s="1" t="s">
        <v>1344</v>
      </c>
    </row>
    <row r="16" spans="1:10" ht="15">
      <c r="A16" s="1" t="s">
        <v>1040</v>
      </c>
      <c r="C16">
        <v>6300</v>
      </c>
      <c r="D16" s="337" t="s">
        <v>1302</v>
      </c>
      <c r="E16" s="1" t="s">
        <v>1302</v>
      </c>
      <c r="F16" s="53">
        <v>15324</v>
      </c>
      <c r="G16">
        <v>16585</v>
      </c>
      <c r="H16">
        <v>16728</v>
      </c>
      <c r="I16">
        <v>22143</v>
      </c>
      <c r="J16" s="1" t="s">
        <v>1344</v>
      </c>
    </row>
    <row r="17" spans="1:10" ht="15">
      <c r="A17" s="1" t="s">
        <v>1043</v>
      </c>
      <c r="C17">
        <v>6310</v>
      </c>
      <c r="D17" s="337" t="s">
        <v>1302</v>
      </c>
      <c r="E17" s="1" t="s">
        <v>1155</v>
      </c>
      <c r="F17" s="53">
        <v>28835</v>
      </c>
      <c r="G17">
        <v>27594</v>
      </c>
      <c r="H17">
        <v>26669</v>
      </c>
      <c r="I17">
        <v>29233</v>
      </c>
      <c r="J17" s="1" t="s">
        <v>1344</v>
      </c>
    </row>
    <row r="18" spans="1:10" ht="15">
      <c r="A18" s="1" t="s">
        <v>1046</v>
      </c>
      <c r="B18">
        <v>20</v>
      </c>
      <c r="C18">
        <v>6440</v>
      </c>
      <c r="D18" s="337" t="s">
        <v>1302</v>
      </c>
      <c r="E18" s="1" t="s">
        <v>1302</v>
      </c>
      <c r="F18" s="53">
        <v>15944</v>
      </c>
      <c r="G18">
        <v>15460</v>
      </c>
      <c r="H18">
        <v>17435</v>
      </c>
      <c r="I18">
        <v>16452</v>
      </c>
      <c r="J18" s="1" t="s">
        <v>1344</v>
      </c>
    </row>
    <row r="19" spans="1:10" ht="15">
      <c r="A19" s="1" t="s">
        <v>1293</v>
      </c>
      <c r="B19">
        <v>20</v>
      </c>
      <c r="C19">
        <v>6440</v>
      </c>
      <c r="D19" s="337" t="s">
        <v>1302</v>
      </c>
      <c r="E19" s="1" t="s">
        <v>1302</v>
      </c>
      <c r="F19" s="53">
        <v>53327</v>
      </c>
      <c r="G19">
        <v>56753</v>
      </c>
      <c r="H19">
        <v>66321</v>
      </c>
      <c r="I19">
        <v>56310</v>
      </c>
      <c r="J19" s="1" t="s">
        <v>1344</v>
      </c>
    </row>
    <row r="20" spans="1:10" ht="15">
      <c r="A20" s="1" t="s">
        <v>1048</v>
      </c>
      <c r="B20">
        <v>1</v>
      </c>
      <c r="C20">
        <v>6430</v>
      </c>
      <c r="D20" s="337" t="s">
        <v>1302</v>
      </c>
      <c r="E20" s="1" t="s">
        <v>1302</v>
      </c>
      <c r="F20" s="53">
        <v>17742</v>
      </c>
      <c r="G20">
        <v>18193</v>
      </c>
      <c r="H20">
        <v>15918</v>
      </c>
      <c r="I20">
        <v>22901</v>
      </c>
      <c r="J20" s="1" t="s">
        <v>1344</v>
      </c>
    </row>
    <row r="21" spans="1:10" ht="15">
      <c r="A21" s="1" t="s">
        <v>1052</v>
      </c>
      <c r="C21">
        <v>6430</v>
      </c>
      <c r="D21" s="337" t="s">
        <v>1127</v>
      </c>
      <c r="E21" s="1" t="s">
        <v>1302</v>
      </c>
      <c r="F21" s="53">
        <v>22871</v>
      </c>
      <c r="G21">
        <v>23544</v>
      </c>
      <c r="H21">
        <v>21416</v>
      </c>
      <c r="I21">
        <v>17462</v>
      </c>
      <c r="J21" s="1" t="s">
        <v>1344</v>
      </c>
    </row>
    <row r="22" spans="1:10" ht="15">
      <c r="A22" s="1" t="s">
        <v>1293</v>
      </c>
      <c r="C22">
        <v>6430</v>
      </c>
      <c r="D22" s="337" t="s">
        <v>1302</v>
      </c>
      <c r="E22" s="1" t="s">
        <v>1302</v>
      </c>
      <c r="F22" s="53">
        <v>34662</v>
      </c>
      <c r="G22">
        <v>36987</v>
      </c>
      <c r="H22">
        <v>33647</v>
      </c>
      <c r="I22">
        <v>40123</v>
      </c>
      <c r="J22" s="1" t="s">
        <v>1344</v>
      </c>
    </row>
    <row r="23" spans="1:10" ht="15">
      <c r="A23" s="1" t="s">
        <v>1053</v>
      </c>
      <c r="C23">
        <v>6300</v>
      </c>
      <c r="D23" s="337" t="s">
        <v>1302</v>
      </c>
      <c r="E23" s="1" t="s">
        <v>1302</v>
      </c>
      <c r="F23" s="53">
        <v>35157</v>
      </c>
      <c r="G23">
        <v>34011</v>
      </c>
      <c r="H23">
        <v>32456</v>
      </c>
      <c r="I23">
        <v>26857</v>
      </c>
      <c r="J23" s="1" t="s">
        <v>1344</v>
      </c>
    </row>
    <row r="24" spans="1:10" ht="15">
      <c r="A24" s="1" t="s">
        <v>1055</v>
      </c>
      <c r="B24">
        <v>9</v>
      </c>
      <c r="C24">
        <v>6300</v>
      </c>
      <c r="D24" s="337" t="s">
        <v>1302</v>
      </c>
      <c r="E24" s="1" t="s">
        <v>1302</v>
      </c>
      <c r="F24" s="53">
        <v>19981</v>
      </c>
      <c r="G24">
        <v>20393</v>
      </c>
      <c r="H24">
        <v>19747</v>
      </c>
      <c r="I24">
        <v>20337</v>
      </c>
      <c r="J24" s="1" t="s">
        <v>1344</v>
      </c>
    </row>
    <row r="25" spans="1:10" ht="15">
      <c r="A25" s="1" t="s">
        <v>1056</v>
      </c>
      <c r="B25">
        <v>16</v>
      </c>
      <c r="C25">
        <v>6400</v>
      </c>
      <c r="D25" s="337" t="s">
        <v>1302</v>
      </c>
      <c r="E25" s="1" t="s">
        <v>1302</v>
      </c>
      <c r="F25" s="53">
        <v>28099</v>
      </c>
      <c r="G25">
        <v>29649</v>
      </c>
      <c r="H25">
        <v>29675</v>
      </c>
      <c r="I25">
        <v>32228</v>
      </c>
      <c r="J25" s="1" t="s">
        <v>1344</v>
      </c>
    </row>
    <row r="26" spans="1:10" ht="15">
      <c r="A26" s="1" t="s">
        <v>1061</v>
      </c>
      <c r="C26">
        <v>6430</v>
      </c>
      <c r="D26" s="337" t="s">
        <v>1302</v>
      </c>
      <c r="E26" s="1" t="s">
        <v>1302</v>
      </c>
      <c r="F26" s="53">
        <v>5442</v>
      </c>
      <c r="G26">
        <v>5414</v>
      </c>
      <c r="H26">
        <v>5134</v>
      </c>
      <c r="I26">
        <v>5839</v>
      </c>
      <c r="J26" s="1" t="s">
        <v>1344</v>
      </c>
    </row>
    <row r="27" spans="1:10" ht="15">
      <c r="A27" s="1" t="s">
        <v>1062</v>
      </c>
      <c r="B27">
        <v>1</v>
      </c>
      <c r="C27">
        <v>6430</v>
      </c>
      <c r="D27" s="337" t="s">
        <v>1302</v>
      </c>
      <c r="E27" s="1" t="s">
        <v>1302</v>
      </c>
      <c r="F27" s="53">
        <v>3293</v>
      </c>
      <c r="G27">
        <v>3311</v>
      </c>
      <c r="H27">
        <v>2865</v>
      </c>
      <c r="I27">
        <v>3922</v>
      </c>
      <c r="J27" s="1" t="s">
        <v>1344</v>
      </c>
    </row>
    <row r="28" spans="1:10" ht="15">
      <c r="A28" s="1" t="s">
        <v>1051</v>
      </c>
      <c r="B28">
        <v>26</v>
      </c>
      <c r="C28">
        <v>6430</v>
      </c>
      <c r="D28" s="337" t="s">
        <v>1302</v>
      </c>
      <c r="E28" s="1" t="s">
        <v>1302</v>
      </c>
      <c r="F28" s="53">
        <v>20151</v>
      </c>
      <c r="G28">
        <v>19961</v>
      </c>
      <c r="H28">
        <v>19771</v>
      </c>
      <c r="I28">
        <v>24636</v>
      </c>
      <c r="J28" s="1" t="s">
        <v>1344</v>
      </c>
    </row>
    <row r="29" spans="1:10" ht="15">
      <c r="A29" s="1" t="s">
        <v>1067</v>
      </c>
      <c r="B29">
        <v>26</v>
      </c>
      <c r="C29">
        <v>6470</v>
      </c>
      <c r="D29" s="337" t="s">
        <v>1302</v>
      </c>
      <c r="E29" s="1" t="s">
        <v>1302</v>
      </c>
      <c r="F29" s="53">
        <v>2519</v>
      </c>
      <c r="G29">
        <v>2244</v>
      </c>
      <c r="H29">
        <v>2028</v>
      </c>
      <c r="I29">
        <v>2286</v>
      </c>
      <c r="J29" s="1" t="s">
        <v>1344</v>
      </c>
    </row>
    <row r="30" spans="1:10" ht="15">
      <c r="A30" s="1" t="s">
        <v>1070</v>
      </c>
      <c r="C30">
        <v>6430</v>
      </c>
      <c r="D30" s="337" t="s">
        <v>1128</v>
      </c>
      <c r="E30" s="1" t="s">
        <v>1302</v>
      </c>
      <c r="F30" s="53">
        <v>2738</v>
      </c>
      <c r="G30">
        <v>2033</v>
      </c>
      <c r="H30">
        <v>3015</v>
      </c>
      <c r="I30">
        <v>5173</v>
      </c>
      <c r="J30" s="1" t="s">
        <v>1344</v>
      </c>
    </row>
    <row r="31" spans="1:10" ht="15">
      <c r="A31" s="1" t="s">
        <v>1284</v>
      </c>
      <c r="B31">
        <v>0</v>
      </c>
      <c r="C31">
        <v>6400</v>
      </c>
      <c r="D31" s="337" t="s">
        <v>1302</v>
      </c>
      <c r="E31" s="1" t="s">
        <v>1302</v>
      </c>
      <c r="F31" s="53">
        <v>12845</v>
      </c>
      <c r="G31">
        <v>14798</v>
      </c>
      <c r="H31">
        <v>16541</v>
      </c>
      <c r="I31">
        <v>15179</v>
      </c>
      <c r="J31" s="1" t="s">
        <v>1344</v>
      </c>
    </row>
    <row r="32" spans="1:10" ht="15">
      <c r="A32" s="1" t="s">
        <v>1076</v>
      </c>
      <c r="C32">
        <v>6430</v>
      </c>
      <c r="D32" s="337" t="s">
        <v>1302</v>
      </c>
      <c r="E32" s="1" t="s">
        <v>1302</v>
      </c>
      <c r="F32" s="53">
        <v>7366</v>
      </c>
      <c r="G32">
        <v>8270</v>
      </c>
      <c r="H32">
        <v>7538</v>
      </c>
      <c r="I32">
        <v>8611</v>
      </c>
      <c r="J32" s="1" t="s">
        <v>1344</v>
      </c>
    </row>
    <row r="33" spans="1:10" ht="15">
      <c r="A33" s="1" t="s">
        <v>1038</v>
      </c>
      <c r="B33">
        <v>12</v>
      </c>
      <c r="C33">
        <v>6430</v>
      </c>
      <c r="D33" s="337" t="s">
        <v>1302</v>
      </c>
      <c r="E33" s="1" t="s">
        <v>1302</v>
      </c>
      <c r="F33" s="53">
        <v>29347</v>
      </c>
      <c r="G33">
        <v>28343</v>
      </c>
      <c r="H33">
        <v>26138</v>
      </c>
      <c r="I33">
        <v>27911</v>
      </c>
      <c r="J33" s="1" t="s">
        <v>1344</v>
      </c>
    </row>
    <row r="34" spans="1:10" ht="15">
      <c r="A34" s="1" t="s">
        <v>1078</v>
      </c>
      <c r="B34">
        <v>0</v>
      </c>
      <c r="C34">
        <v>6400</v>
      </c>
      <c r="D34" s="337" t="s">
        <v>1302</v>
      </c>
      <c r="E34" s="1" t="s">
        <v>1302</v>
      </c>
      <c r="F34" s="53">
        <v>7339</v>
      </c>
      <c r="G34">
        <v>6867</v>
      </c>
      <c r="H34">
        <v>7587</v>
      </c>
      <c r="I34">
        <v>7260</v>
      </c>
      <c r="J34" s="1" t="s">
        <v>1344</v>
      </c>
    </row>
    <row r="35" spans="1:10" ht="15">
      <c r="A35" s="1" t="s">
        <v>1079</v>
      </c>
      <c r="C35">
        <v>6300</v>
      </c>
      <c r="D35" s="337" t="s">
        <v>1302</v>
      </c>
      <c r="E35" s="1" t="s">
        <v>1302</v>
      </c>
      <c r="F35" s="53">
        <v>285</v>
      </c>
      <c r="G35">
        <v>283</v>
      </c>
      <c r="H35">
        <v>285</v>
      </c>
      <c r="I35">
        <v>499</v>
      </c>
      <c r="J35" s="1" t="s">
        <v>1344</v>
      </c>
    </row>
    <row r="36" spans="1:10" s="16" customFormat="1" ht="15">
      <c r="A36" s="17" t="s">
        <v>638</v>
      </c>
      <c r="C36" s="16">
        <v>6430</v>
      </c>
      <c r="D36" s="338" t="s">
        <v>1302</v>
      </c>
      <c r="E36" s="17" t="s">
        <v>1302</v>
      </c>
      <c r="F36" s="53">
        <v>25404</v>
      </c>
      <c r="G36" s="16">
        <v>21947</v>
      </c>
      <c r="H36" s="16">
        <v>21947</v>
      </c>
      <c r="I36" s="16">
        <v>21947</v>
      </c>
      <c r="J36" s="17" t="s">
        <v>1344</v>
      </c>
    </row>
    <row r="37" spans="1:10" ht="15">
      <c r="A37" s="1" t="s">
        <v>633</v>
      </c>
      <c r="B37">
        <v>42</v>
      </c>
      <c r="C37">
        <v>6400</v>
      </c>
      <c r="D37" s="337" t="s">
        <v>1129</v>
      </c>
      <c r="E37" s="1" t="s">
        <v>1302</v>
      </c>
      <c r="F37" s="53">
        <v>29758</v>
      </c>
      <c r="G37">
        <v>28148</v>
      </c>
      <c r="H37">
        <v>25312</v>
      </c>
      <c r="I37">
        <v>24595</v>
      </c>
      <c r="J37" s="1" t="s">
        <v>1344</v>
      </c>
    </row>
    <row r="38" spans="1:10" ht="15">
      <c r="A38" s="1" t="s">
        <v>653</v>
      </c>
      <c r="B38">
        <v>2</v>
      </c>
      <c r="C38">
        <v>6430</v>
      </c>
      <c r="D38" s="337" t="s">
        <v>1302</v>
      </c>
      <c r="E38" s="1" t="s">
        <v>1302</v>
      </c>
      <c r="F38" s="53">
        <v>6173</v>
      </c>
      <c r="G38">
        <v>6023</v>
      </c>
      <c r="H38">
        <v>8646</v>
      </c>
      <c r="I38">
        <v>14785</v>
      </c>
      <c r="J38" s="1" t="s">
        <v>1344</v>
      </c>
    </row>
    <row r="39" spans="1:10" ht="15">
      <c r="A39" s="1" t="s">
        <v>757</v>
      </c>
      <c r="C39">
        <v>6430</v>
      </c>
      <c r="D39" s="337" t="s">
        <v>1302</v>
      </c>
      <c r="E39" s="1" t="s">
        <v>1302</v>
      </c>
      <c r="F39" s="53">
        <v>24418</v>
      </c>
      <c r="G39">
        <v>26512</v>
      </c>
      <c r="H39">
        <v>24869</v>
      </c>
      <c r="I39">
        <v>25658</v>
      </c>
      <c r="J39" s="1" t="s">
        <v>1344</v>
      </c>
    </row>
    <row r="40" spans="1:10" ht="15">
      <c r="A40" s="1" t="s">
        <v>758</v>
      </c>
      <c r="B40">
        <v>0</v>
      </c>
      <c r="C40">
        <v>6440</v>
      </c>
      <c r="D40" s="337" t="s">
        <v>1302</v>
      </c>
      <c r="E40" s="1" t="s">
        <v>1302</v>
      </c>
      <c r="F40" s="53">
        <v>28107</v>
      </c>
      <c r="G40">
        <v>30165</v>
      </c>
      <c r="H40">
        <v>33969</v>
      </c>
      <c r="I40">
        <v>33907</v>
      </c>
      <c r="J40" s="1" t="s">
        <v>1344</v>
      </c>
    </row>
    <row r="41" spans="1:10" ht="15">
      <c r="A41" s="1" t="s">
        <v>760</v>
      </c>
      <c r="B41">
        <v>46</v>
      </c>
      <c r="C41">
        <v>6400</v>
      </c>
      <c r="D41" s="337" t="s">
        <v>1302</v>
      </c>
      <c r="E41" s="1" t="s">
        <v>1302</v>
      </c>
      <c r="F41" s="53">
        <v>7631</v>
      </c>
      <c r="G41">
        <v>9253</v>
      </c>
      <c r="H41">
        <v>12253</v>
      </c>
      <c r="I41">
        <v>12194</v>
      </c>
      <c r="J41" s="1" t="s">
        <v>1344</v>
      </c>
    </row>
    <row r="42" spans="1:10" ht="15">
      <c r="A42" s="1" t="s">
        <v>762</v>
      </c>
      <c r="B42">
        <v>35</v>
      </c>
      <c r="C42">
        <v>6430</v>
      </c>
      <c r="D42" s="337" t="s">
        <v>1302</v>
      </c>
      <c r="E42" s="1" t="s">
        <v>1302</v>
      </c>
      <c r="F42" s="53">
        <v>18674</v>
      </c>
      <c r="G42">
        <v>18222</v>
      </c>
      <c r="H42">
        <v>18197</v>
      </c>
      <c r="I42">
        <v>19485</v>
      </c>
      <c r="J42" s="1" t="s">
        <v>1344</v>
      </c>
    </row>
    <row r="43" spans="1:10" ht="15">
      <c r="A43" s="1" t="s">
        <v>1274</v>
      </c>
      <c r="B43">
        <v>54</v>
      </c>
      <c r="C43">
        <v>6430</v>
      </c>
      <c r="D43" s="337" t="s">
        <v>1302</v>
      </c>
      <c r="E43" s="1" t="s">
        <v>1302</v>
      </c>
      <c r="F43" s="53">
        <v>6933</v>
      </c>
      <c r="G43">
        <v>7218</v>
      </c>
      <c r="H43">
        <v>6813</v>
      </c>
      <c r="I43">
        <v>7466</v>
      </c>
      <c r="J43" s="1" t="s">
        <v>1344</v>
      </c>
    </row>
    <row r="44" spans="1:10" ht="15">
      <c r="A44" s="1" t="s">
        <v>763</v>
      </c>
      <c r="B44">
        <v>1</v>
      </c>
      <c r="C44">
        <v>6430</v>
      </c>
      <c r="D44" s="337" t="s">
        <v>1302</v>
      </c>
      <c r="E44" s="1" t="s">
        <v>1302</v>
      </c>
      <c r="F44" s="53">
        <v>14975</v>
      </c>
      <c r="G44">
        <v>14883</v>
      </c>
      <c r="H44">
        <v>14352</v>
      </c>
      <c r="I44">
        <v>13956</v>
      </c>
      <c r="J44" s="1" t="s">
        <v>1344</v>
      </c>
    </row>
    <row r="45" spans="1:10" ht="15">
      <c r="A45" s="1" t="s">
        <v>766</v>
      </c>
      <c r="B45">
        <v>27</v>
      </c>
      <c r="C45">
        <v>6400</v>
      </c>
      <c r="D45" s="337" t="s">
        <v>1302</v>
      </c>
      <c r="E45" s="1" t="s">
        <v>1302</v>
      </c>
      <c r="F45" s="53">
        <v>36377</v>
      </c>
      <c r="G45">
        <v>36102</v>
      </c>
      <c r="H45">
        <v>33682</v>
      </c>
      <c r="I45">
        <v>33390</v>
      </c>
      <c r="J45" s="1" t="s">
        <v>1344</v>
      </c>
    </row>
    <row r="46" spans="1:10" ht="15">
      <c r="A46" s="1" t="s">
        <v>1341</v>
      </c>
      <c r="C46">
        <v>6300</v>
      </c>
      <c r="D46" s="337" t="s">
        <v>1302</v>
      </c>
      <c r="E46" s="1" t="s">
        <v>1302</v>
      </c>
      <c r="F46" s="53">
        <v>8974</v>
      </c>
      <c r="G46">
        <v>11361</v>
      </c>
      <c r="H46">
        <v>11072</v>
      </c>
      <c r="I46">
        <v>8309</v>
      </c>
      <c r="J46" s="1" t="s">
        <v>1344</v>
      </c>
    </row>
    <row r="47" spans="1:10" ht="15">
      <c r="A47" s="1" t="s">
        <v>769</v>
      </c>
      <c r="B47">
        <v>11</v>
      </c>
      <c r="C47">
        <v>6470</v>
      </c>
      <c r="D47" s="337" t="s">
        <v>1302</v>
      </c>
      <c r="E47" s="1" t="s">
        <v>1302</v>
      </c>
      <c r="F47" s="53">
        <v>33029</v>
      </c>
      <c r="G47">
        <v>33485</v>
      </c>
      <c r="H47">
        <v>32668</v>
      </c>
      <c r="I47">
        <v>25632</v>
      </c>
      <c r="J47" s="1" t="s">
        <v>1344</v>
      </c>
    </row>
    <row r="48" spans="1:10" s="16" customFormat="1" ht="15">
      <c r="A48" s="17" t="s">
        <v>767</v>
      </c>
      <c r="B48" s="16">
        <v>1</v>
      </c>
      <c r="C48" s="16">
        <v>6310</v>
      </c>
      <c r="D48" s="338" t="s">
        <v>1302</v>
      </c>
      <c r="E48" s="17" t="s">
        <v>1302</v>
      </c>
      <c r="F48" s="53">
        <v>16632</v>
      </c>
      <c r="G48" s="16">
        <v>8258</v>
      </c>
      <c r="H48" s="16">
        <v>8258</v>
      </c>
      <c r="I48" s="16">
        <v>8258</v>
      </c>
      <c r="J48" s="17" t="s">
        <v>1344</v>
      </c>
    </row>
    <row r="49" spans="1:10" ht="15">
      <c r="A49" s="1" t="s">
        <v>771</v>
      </c>
      <c r="C49">
        <v>6430</v>
      </c>
      <c r="D49" s="337" t="s">
        <v>1302</v>
      </c>
      <c r="E49" s="1" t="s">
        <v>1302</v>
      </c>
      <c r="F49" s="53">
        <v>42430</v>
      </c>
      <c r="G49">
        <v>41679</v>
      </c>
      <c r="H49">
        <v>40484</v>
      </c>
      <c r="I49">
        <v>46246</v>
      </c>
      <c r="J49" s="1" t="s">
        <v>1344</v>
      </c>
    </row>
    <row r="50" spans="1:10" ht="15">
      <c r="A50" s="1" t="s">
        <v>772</v>
      </c>
      <c r="C50">
        <v>6430</v>
      </c>
      <c r="D50" s="337" t="s">
        <v>1302</v>
      </c>
      <c r="E50" s="1" t="s">
        <v>1302</v>
      </c>
      <c r="F50" s="53">
        <v>17778</v>
      </c>
      <c r="G50">
        <v>18043</v>
      </c>
      <c r="H50">
        <v>16423</v>
      </c>
      <c r="I50">
        <v>18812</v>
      </c>
      <c r="J50" s="1" t="s">
        <v>1344</v>
      </c>
    </row>
    <row r="51" spans="1:10" ht="15">
      <c r="A51" s="1" t="s">
        <v>773</v>
      </c>
      <c r="B51">
        <v>20</v>
      </c>
      <c r="C51">
        <v>6430</v>
      </c>
      <c r="D51" s="337" t="s">
        <v>1302</v>
      </c>
      <c r="E51" s="1" t="s">
        <v>1302</v>
      </c>
      <c r="F51" s="53">
        <v>3095</v>
      </c>
      <c r="G51">
        <v>3312</v>
      </c>
      <c r="H51">
        <v>3052</v>
      </c>
      <c r="I51">
        <v>3421</v>
      </c>
      <c r="J51" s="1" t="s">
        <v>1344</v>
      </c>
    </row>
    <row r="52" spans="1:10" ht="15">
      <c r="A52" s="1" t="s">
        <v>774</v>
      </c>
      <c r="B52">
        <v>24</v>
      </c>
      <c r="C52">
        <v>6400</v>
      </c>
      <c r="D52" s="337" t="s">
        <v>1302</v>
      </c>
      <c r="E52" s="1" t="s">
        <v>1302</v>
      </c>
      <c r="F52" s="53">
        <v>51056</v>
      </c>
      <c r="G52">
        <v>47401</v>
      </c>
      <c r="H52">
        <v>41578</v>
      </c>
      <c r="I52">
        <v>39834</v>
      </c>
      <c r="J52" s="1" t="s">
        <v>1344</v>
      </c>
    </row>
    <row r="53" spans="1:10" ht="15">
      <c r="A53" s="1" t="s">
        <v>775</v>
      </c>
      <c r="B53">
        <v>2</v>
      </c>
      <c r="C53">
        <v>6400</v>
      </c>
      <c r="D53" s="337" t="s">
        <v>1302</v>
      </c>
      <c r="E53" s="1" t="s">
        <v>1302</v>
      </c>
      <c r="F53" s="53">
        <v>12065</v>
      </c>
      <c r="G53">
        <v>13825</v>
      </c>
      <c r="H53">
        <v>12190</v>
      </c>
      <c r="I53">
        <v>11324</v>
      </c>
      <c r="J53" s="1" t="s">
        <v>1344</v>
      </c>
    </row>
    <row r="54" spans="1:10" ht="15">
      <c r="A54" s="1" t="s">
        <v>777</v>
      </c>
      <c r="C54">
        <v>6430</v>
      </c>
      <c r="D54" s="337" t="s">
        <v>1302</v>
      </c>
      <c r="E54" s="1" t="s">
        <v>1302</v>
      </c>
      <c r="F54" s="53">
        <v>11951</v>
      </c>
      <c r="G54">
        <v>12876</v>
      </c>
      <c r="H54">
        <v>12211</v>
      </c>
      <c r="I54">
        <v>14390</v>
      </c>
      <c r="J54" s="1" t="s">
        <v>1344</v>
      </c>
    </row>
    <row r="55" spans="1:10" ht="15">
      <c r="A55" s="1" t="s">
        <v>785</v>
      </c>
      <c r="C55">
        <v>6300</v>
      </c>
      <c r="D55" s="337" t="s">
        <v>1302</v>
      </c>
      <c r="E55" s="1" t="s">
        <v>1302</v>
      </c>
      <c r="F55" s="53">
        <v>23070</v>
      </c>
      <c r="G55">
        <v>21163</v>
      </c>
      <c r="H55">
        <v>19916</v>
      </c>
      <c r="I55">
        <v>20173</v>
      </c>
      <c r="J55" s="1" t="s">
        <v>1344</v>
      </c>
    </row>
    <row r="56" spans="1:10" ht="15">
      <c r="A56" s="1" t="s">
        <v>786</v>
      </c>
      <c r="C56">
        <v>6470</v>
      </c>
      <c r="D56" s="337" t="s">
        <v>1302</v>
      </c>
      <c r="E56" s="1" t="s">
        <v>1302</v>
      </c>
      <c r="F56" s="53">
        <v>21718</v>
      </c>
      <c r="G56">
        <v>22150</v>
      </c>
      <c r="H56">
        <v>22451</v>
      </c>
      <c r="I56">
        <v>22725</v>
      </c>
      <c r="J56" s="1" t="s">
        <v>1344</v>
      </c>
    </row>
    <row r="57" spans="1:10" ht="15">
      <c r="A57" s="1" t="s">
        <v>639</v>
      </c>
      <c r="B57">
        <v>29</v>
      </c>
      <c r="C57">
        <v>6440</v>
      </c>
      <c r="D57" s="337" t="s">
        <v>1302</v>
      </c>
      <c r="E57" s="1" t="s">
        <v>1302</v>
      </c>
      <c r="F57" s="53">
        <v>10173</v>
      </c>
      <c r="G57">
        <v>10215</v>
      </c>
      <c r="H57">
        <v>11246</v>
      </c>
      <c r="I57">
        <v>10840</v>
      </c>
      <c r="J57" s="1" t="s">
        <v>1344</v>
      </c>
    </row>
    <row r="58" spans="1:10" ht="15">
      <c r="A58" s="1" t="s">
        <v>787</v>
      </c>
      <c r="C58">
        <v>6430</v>
      </c>
      <c r="D58" s="337" t="s">
        <v>1302</v>
      </c>
      <c r="E58" s="1" t="s">
        <v>1302</v>
      </c>
      <c r="F58" s="53">
        <v>20206</v>
      </c>
      <c r="G58">
        <v>12963</v>
      </c>
      <c r="H58">
        <v>11579</v>
      </c>
      <c r="I58">
        <v>15250</v>
      </c>
      <c r="J58" s="1" t="s">
        <v>1344</v>
      </c>
    </row>
    <row r="59" spans="1:10" ht="15">
      <c r="A59" s="1" t="s">
        <v>1063</v>
      </c>
      <c r="B59">
        <v>2</v>
      </c>
      <c r="C59">
        <v>6430</v>
      </c>
      <c r="D59" s="337" t="s">
        <v>1302</v>
      </c>
      <c r="E59" s="1" t="s">
        <v>1302</v>
      </c>
      <c r="F59" s="53">
        <v>23732</v>
      </c>
      <c r="G59">
        <v>25234</v>
      </c>
      <c r="H59">
        <v>22733</v>
      </c>
      <c r="I59">
        <v>26970</v>
      </c>
      <c r="J59" s="1" t="s">
        <v>1344</v>
      </c>
    </row>
    <row r="60" spans="1:10" ht="15">
      <c r="A60" s="1" t="s">
        <v>790</v>
      </c>
      <c r="C60">
        <v>6300</v>
      </c>
      <c r="D60" s="337" t="s">
        <v>1302</v>
      </c>
      <c r="E60" s="1" t="s">
        <v>1302</v>
      </c>
      <c r="F60" s="53">
        <v>31152</v>
      </c>
      <c r="G60">
        <v>37585</v>
      </c>
      <c r="H60">
        <v>27501</v>
      </c>
      <c r="I60">
        <v>32069</v>
      </c>
      <c r="J60" s="1" t="s">
        <v>1344</v>
      </c>
    </row>
    <row r="61" spans="1:10" ht="15">
      <c r="A61" s="1" t="s">
        <v>791</v>
      </c>
      <c r="B61">
        <v>0</v>
      </c>
      <c r="C61">
        <v>6440</v>
      </c>
      <c r="D61" s="337" t="s">
        <v>1130</v>
      </c>
      <c r="E61" s="1" t="s">
        <v>1302</v>
      </c>
      <c r="F61" s="53">
        <v>26800</v>
      </c>
      <c r="G61">
        <v>26935</v>
      </c>
      <c r="H61">
        <v>29132</v>
      </c>
      <c r="I61">
        <v>26927</v>
      </c>
      <c r="J61" s="1" t="s">
        <v>1344</v>
      </c>
    </row>
    <row r="62" spans="1:10" ht="15">
      <c r="A62" s="1" t="s">
        <v>793</v>
      </c>
      <c r="C62">
        <v>6470</v>
      </c>
      <c r="D62" s="337" t="s">
        <v>1302</v>
      </c>
      <c r="E62" s="1" t="s">
        <v>1302</v>
      </c>
      <c r="F62" s="53">
        <v>6617</v>
      </c>
      <c r="G62">
        <v>6286</v>
      </c>
      <c r="H62">
        <v>6955</v>
      </c>
      <c r="I62">
        <v>6228</v>
      </c>
      <c r="J62" s="1" t="s">
        <v>1344</v>
      </c>
    </row>
    <row r="63" spans="1:10" ht="15">
      <c r="A63" s="1" t="s">
        <v>1278</v>
      </c>
      <c r="C63">
        <v>6470</v>
      </c>
      <c r="D63" s="337" t="s">
        <v>1302</v>
      </c>
      <c r="E63" s="1" t="s">
        <v>1302</v>
      </c>
      <c r="F63" s="53">
        <v>10790</v>
      </c>
      <c r="G63">
        <v>8320</v>
      </c>
      <c r="H63">
        <v>7683</v>
      </c>
      <c r="I63">
        <v>8002</v>
      </c>
      <c r="J63" s="1" t="s">
        <v>1344</v>
      </c>
    </row>
    <row r="64" spans="1:10" ht="15">
      <c r="A64" s="1" t="s">
        <v>1074</v>
      </c>
      <c r="B64">
        <v>43</v>
      </c>
      <c r="C64">
        <v>6470</v>
      </c>
      <c r="D64" s="337" t="s">
        <v>1302</v>
      </c>
      <c r="E64" s="1" t="s">
        <v>1302</v>
      </c>
      <c r="F64" s="53">
        <v>28173</v>
      </c>
      <c r="G64">
        <v>27740</v>
      </c>
      <c r="H64">
        <v>25897</v>
      </c>
      <c r="I64">
        <v>26909</v>
      </c>
      <c r="J64" s="1" t="s">
        <v>1344</v>
      </c>
    </row>
    <row r="65" spans="1:10" ht="15">
      <c r="A65" s="1" t="s">
        <v>794</v>
      </c>
      <c r="C65">
        <v>6470</v>
      </c>
      <c r="D65" s="337" t="s">
        <v>1302</v>
      </c>
      <c r="E65" s="1" t="s">
        <v>1302</v>
      </c>
      <c r="F65" s="53">
        <v>483</v>
      </c>
      <c r="G65">
        <v>637</v>
      </c>
      <c r="H65">
        <v>605</v>
      </c>
      <c r="I65">
        <v>617</v>
      </c>
      <c r="J65" s="1" t="s">
        <v>1344</v>
      </c>
    </row>
    <row r="66" spans="1:10" ht="15">
      <c r="A66" s="1" t="s">
        <v>796</v>
      </c>
      <c r="B66">
        <v>22</v>
      </c>
      <c r="C66">
        <v>6430</v>
      </c>
      <c r="D66" s="337" t="s">
        <v>1302</v>
      </c>
      <c r="E66" s="1" t="s">
        <v>1302</v>
      </c>
      <c r="F66" s="53">
        <v>5358</v>
      </c>
      <c r="G66">
        <v>5558</v>
      </c>
      <c r="H66">
        <v>5290</v>
      </c>
      <c r="I66">
        <v>5574</v>
      </c>
      <c r="J66" s="1" t="s">
        <v>1344</v>
      </c>
    </row>
    <row r="67" spans="1:10" ht="15">
      <c r="A67" s="1" t="s">
        <v>798</v>
      </c>
      <c r="B67">
        <v>15</v>
      </c>
      <c r="C67">
        <v>6300</v>
      </c>
      <c r="D67" s="337" t="s">
        <v>1302</v>
      </c>
      <c r="E67" s="1" t="s">
        <v>1302</v>
      </c>
      <c r="F67" s="53">
        <v>23943</v>
      </c>
      <c r="G67">
        <v>24055</v>
      </c>
      <c r="H67">
        <v>22752</v>
      </c>
      <c r="I67">
        <v>25134</v>
      </c>
      <c r="J67" s="1" t="s">
        <v>1344</v>
      </c>
    </row>
    <row r="68" spans="1:10" ht="15">
      <c r="A68" s="1" t="s">
        <v>1290</v>
      </c>
      <c r="C68">
        <v>6300</v>
      </c>
      <c r="D68" s="337" t="s">
        <v>1302</v>
      </c>
      <c r="E68" s="1" t="s">
        <v>1302</v>
      </c>
      <c r="F68" s="53">
        <v>32105</v>
      </c>
      <c r="G68">
        <v>33626</v>
      </c>
      <c r="H68">
        <v>37354</v>
      </c>
      <c r="I68">
        <v>35034</v>
      </c>
      <c r="J68" s="1" t="s">
        <v>1344</v>
      </c>
    </row>
    <row r="69" spans="1:10" ht="15">
      <c r="A69" s="1" t="s">
        <v>779</v>
      </c>
      <c r="B69">
        <v>86</v>
      </c>
      <c r="C69">
        <v>6430</v>
      </c>
      <c r="D69" s="337" t="s">
        <v>1302</v>
      </c>
      <c r="E69" s="1" t="s">
        <v>1302</v>
      </c>
      <c r="F69" s="53">
        <v>29754</v>
      </c>
      <c r="G69">
        <v>31196</v>
      </c>
      <c r="H69">
        <v>37025</v>
      </c>
      <c r="I69">
        <v>42196</v>
      </c>
      <c r="J69" s="1" t="s">
        <v>1344</v>
      </c>
    </row>
    <row r="70" spans="1:10" ht="15">
      <c r="A70" s="1" t="s">
        <v>802</v>
      </c>
      <c r="B70">
        <v>20</v>
      </c>
      <c r="C70">
        <v>6430</v>
      </c>
      <c r="D70" s="337" t="s">
        <v>1302</v>
      </c>
      <c r="E70" s="1" t="s">
        <v>1302</v>
      </c>
      <c r="F70" s="53">
        <v>14789</v>
      </c>
      <c r="G70">
        <v>13531</v>
      </c>
      <c r="H70">
        <v>14400</v>
      </c>
      <c r="I70">
        <v>13445</v>
      </c>
      <c r="J70" s="1" t="s">
        <v>1344</v>
      </c>
    </row>
    <row r="71" spans="1:10" ht="15">
      <c r="A71" s="1" t="s">
        <v>803</v>
      </c>
      <c r="C71">
        <v>6430</v>
      </c>
      <c r="D71" s="337" t="s">
        <v>1302</v>
      </c>
      <c r="E71" s="1" t="s">
        <v>1302</v>
      </c>
      <c r="F71" s="53">
        <v>3758</v>
      </c>
      <c r="G71">
        <v>3815</v>
      </c>
      <c r="H71">
        <v>3699</v>
      </c>
      <c r="I71">
        <v>3825</v>
      </c>
      <c r="J71" s="1" t="s">
        <v>1344</v>
      </c>
    </row>
    <row r="72" spans="1:10" s="16" customFormat="1" ht="15">
      <c r="A72" s="17" t="s">
        <v>1274</v>
      </c>
      <c r="C72" s="16">
        <v>6430</v>
      </c>
      <c r="D72" s="338" t="s">
        <v>1302</v>
      </c>
      <c r="E72" s="17" t="s">
        <v>1302</v>
      </c>
      <c r="F72" s="53">
        <v>5245</v>
      </c>
      <c r="G72" s="16">
        <v>6656</v>
      </c>
      <c r="H72" s="16">
        <v>5258</v>
      </c>
      <c r="I72" s="16">
        <v>2263</v>
      </c>
      <c r="J72" s="17" t="s">
        <v>1344</v>
      </c>
    </row>
    <row r="73" spans="1:10" ht="15">
      <c r="A73" s="1" t="s">
        <v>804</v>
      </c>
      <c r="B73">
        <v>11</v>
      </c>
      <c r="C73">
        <v>6430</v>
      </c>
      <c r="D73" s="337" t="s">
        <v>1302</v>
      </c>
      <c r="E73" s="1" t="s">
        <v>1302</v>
      </c>
      <c r="F73" s="53">
        <v>6601</v>
      </c>
      <c r="G73">
        <v>7185</v>
      </c>
      <c r="H73">
        <v>6486</v>
      </c>
      <c r="I73">
        <v>6625</v>
      </c>
      <c r="J73" s="1" t="s">
        <v>1344</v>
      </c>
    </row>
    <row r="74" spans="1:10" ht="15">
      <c r="A74" s="1" t="s">
        <v>805</v>
      </c>
      <c r="B74">
        <v>10</v>
      </c>
      <c r="C74">
        <v>6440</v>
      </c>
      <c r="D74" s="337" t="s">
        <v>1302</v>
      </c>
      <c r="E74" s="1" t="s">
        <v>1302</v>
      </c>
      <c r="F74" s="53">
        <v>49008</v>
      </c>
      <c r="G74">
        <v>48576</v>
      </c>
      <c r="H74">
        <v>52468</v>
      </c>
      <c r="I74">
        <v>48856</v>
      </c>
      <c r="J74" s="1" t="s">
        <v>1344</v>
      </c>
    </row>
    <row r="75" spans="1:10" ht="15">
      <c r="A75" s="1" t="s">
        <v>1273</v>
      </c>
      <c r="B75">
        <v>4</v>
      </c>
      <c r="C75">
        <v>6430</v>
      </c>
      <c r="D75" s="337" t="s">
        <v>1302</v>
      </c>
      <c r="E75" s="1" t="s">
        <v>1302</v>
      </c>
      <c r="F75" s="53">
        <v>8619</v>
      </c>
      <c r="G75">
        <v>8319</v>
      </c>
      <c r="H75">
        <v>7793</v>
      </c>
      <c r="I75">
        <v>9158</v>
      </c>
      <c r="J75" s="1" t="s">
        <v>1344</v>
      </c>
    </row>
    <row r="76" spans="1:10" ht="15">
      <c r="A76" s="1" t="s">
        <v>761</v>
      </c>
      <c r="C76">
        <v>6430</v>
      </c>
      <c r="D76" s="337" t="s">
        <v>1302</v>
      </c>
      <c r="E76" s="1" t="s">
        <v>1302</v>
      </c>
      <c r="F76" s="53">
        <v>3477</v>
      </c>
      <c r="G76">
        <v>3347</v>
      </c>
      <c r="H76">
        <v>3103</v>
      </c>
      <c r="I76">
        <v>3481</v>
      </c>
      <c r="J76" s="1" t="s">
        <v>1344</v>
      </c>
    </row>
    <row r="77" spans="1:10" ht="15">
      <c r="A77" s="1" t="s">
        <v>658</v>
      </c>
      <c r="C77">
        <v>6430</v>
      </c>
      <c r="D77" s="337" t="s">
        <v>1302</v>
      </c>
      <c r="E77" s="1" t="s">
        <v>1302</v>
      </c>
      <c r="F77" s="53">
        <v>10760</v>
      </c>
      <c r="G77">
        <v>10629</v>
      </c>
      <c r="H77">
        <v>10135</v>
      </c>
      <c r="I77">
        <v>10980</v>
      </c>
      <c r="J77" s="1" t="s">
        <v>1344</v>
      </c>
    </row>
    <row r="78" spans="1:10" ht="15">
      <c r="A78" s="1" t="s">
        <v>659</v>
      </c>
      <c r="C78">
        <v>6430</v>
      </c>
      <c r="D78" s="337" t="s">
        <v>1302</v>
      </c>
      <c r="E78" s="1" t="s">
        <v>1302</v>
      </c>
      <c r="F78" s="53">
        <v>4191</v>
      </c>
      <c r="G78">
        <v>4218</v>
      </c>
      <c r="H78">
        <v>3776</v>
      </c>
      <c r="I78">
        <v>3936</v>
      </c>
      <c r="J78" s="1" t="s">
        <v>1344</v>
      </c>
    </row>
    <row r="79" spans="1:10" ht="15">
      <c r="A79" s="1" t="s">
        <v>788</v>
      </c>
      <c r="C79">
        <v>6430</v>
      </c>
      <c r="D79" s="337" t="s">
        <v>1302</v>
      </c>
      <c r="E79" s="1" t="s">
        <v>1302</v>
      </c>
      <c r="F79" s="53">
        <v>5322</v>
      </c>
      <c r="G79">
        <v>11046</v>
      </c>
      <c r="H79">
        <v>10355</v>
      </c>
      <c r="I79">
        <v>9873</v>
      </c>
      <c r="J79" s="1" t="s">
        <v>1344</v>
      </c>
    </row>
    <row r="80" spans="1:10" ht="15">
      <c r="A80" s="1" t="s">
        <v>764</v>
      </c>
      <c r="C80">
        <v>6430</v>
      </c>
      <c r="D80" s="337" t="s">
        <v>1302</v>
      </c>
      <c r="E80" s="1" t="s">
        <v>1302</v>
      </c>
      <c r="F80" s="53">
        <v>9622</v>
      </c>
      <c r="G80">
        <v>9089</v>
      </c>
      <c r="H80">
        <v>8880</v>
      </c>
      <c r="I80">
        <v>9410</v>
      </c>
      <c r="J80" s="1" t="s">
        <v>1344</v>
      </c>
    </row>
    <row r="81" spans="1:10" ht="15">
      <c r="A81" s="1" t="s">
        <v>1049</v>
      </c>
      <c r="C81">
        <v>6430</v>
      </c>
      <c r="D81" s="337" t="s">
        <v>1131</v>
      </c>
      <c r="E81" s="1" t="s">
        <v>1302</v>
      </c>
      <c r="F81" s="53">
        <v>11143</v>
      </c>
      <c r="G81">
        <v>10556</v>
      </c>
      <c r="H81">
        <v>10081</v>
      </c>
      <c r="I81">
        <v>6013</v>
      </c>
      <c r="J81" s="1" t="s">
        <v>1344</v>
      </c>
    </row>
    <row r="82" spans="1:10" s="16" customFormat="1" ht="15">
      <c r="A82" s="17" t="s">
        <v>660</v>
      </c>
      <c r="B82" s="16">
        <v>29</v>
      </c>
      <c r="C82" s="16">
        <v>6310</v>
      </c>
      <c r="D82" s="338" t="s">
        <v>1302</v>
      </c>
      <c r="E82" s="17" t="s">
        <v>1302</v>
      </c>
      <c r="F82" s="53">
        <v>5178</v>
      </c>
      <c r="G82" s="16">
        <v>4469</v>
      </c>
      <c r="H82" s="16">
        <v>4469</v>
      </c>
      <c r="I82" s="16">
        <v>4469</v>
      </c>
      <c r="J82" s="17" t="s">
        <v>1344</v>
      </c>
    </row>
    <row r="83" spans="1:10" ht="15">
      <c r="A83" s="1" t="s">
        <v>661</v>
      </c>
      <c r="B83">
        <v>36</v>
      </c>
      <c r="C83">
        <v>6430</v>
      </c>
      <c r="D83" s="337" t="s">
        <v>1302</v>
      </c>
      <c r="E83" s="1" t="s">
        <v>1302</v>
      </c>
      <c r="F83" s="53">
        <v>7759</v>
      </c>
      <c r="G83">
        <v>8250</v>
      </c>
      <c r="H83">
        <v>7914</v>
      </c>
      <c r="I83">
        <v>7858</v>
      </c>
      <c r="J83" s="1" t="s">
        <v>1344</v>
      </c>
    </row>
    <row r="84" spans="1:10" ht="15">
      <c r="A84" s="1" t="s">
        <v>638</v>
      </c>
      <c r="B84">
        <v>29</v>
      </c>
      <c r="C84">
        <v>6400</v>
      </c>
      <c r="D84" s="337" t="s">
        <v>1302</v>
      </c>
      <c r="E84" s="1" t="s">
        <v>1302</v>
      </c>
      <c r="F84" s="53">
        <v>23306</v>
      </c>
      <c r="G84">
        <v>21365</v>
      </c>
      <c r="H84">
        <v>16796</v>
      </c>
      <c r="I84">
        <v>14908</v>
      </c>
      <c r="J84" s="1" t="s">
        <v>1344</v>
      </c>
    </row>
    <row r="85" spans="1:10" s="16" customFormat="1" ht="15">
      <c r="A85" s="17" t="s">
        <v>640</v>
      </c>
      <c r="B85" s="16">
        <v>4</v>
      </c>
      <c r="C85" s="16">
        <v>6320</v>
      </c>
      <c r="D85" s="338" t="s">
        <v>1302</v>
      </c>
      <c r="E85" s="17" t="s">
        <v>1302</v>
      </c>
      <c r="F85" s="53">
        <v>7637</v>
      </c>
      <c r="G85" s="16">
        <v>6931</v>
      </c>
      <c r="H85" s="16">
        <v>6931</v>
      </c>
      <c r="I85" s="16">
        <v>6931</v>
      </c>
      <c r="J85" s="17" t="s">
        <v>1344</v>
      </c>
    </row>
    <row r="86" spans="1:10" ht="15">
      <c r="A86" s="1" t="s">
        <v>1287</v>
      </c>
      <c r="C86">
        <v>6320</v>
      </c>
      <c r="D86" s="337" t="s">
        <v>1302</v>
      </c>
      <c r="E86" s="1" t="s">
        <v>1302</v>
      </c>
      <c r="F86" s="53">
        <v>30747</v>
      </c>
      <c r="G86">
        <v>32590</v>
      </c>
      <c r="H86">
        <v>31949</v>
      </c>
      <c r="I86">
        <v>32490</v>
      </c>
      <c r="J86" s="1" t="s">
        <v>1344</v>
      </c>
    </row>
    <row r="87" spans="1:10" s="16" customFormat="1" ht="15">
      <c r="A87" s="17" t="s">
        <v>663</v>
      </c>
      <c r="B87" s="16">
        <v>52</v>
      </c>
      <c r="C87" s="16">
        <v>6310</v>
      </c>
      <c r="D87" s="338" t="s">
        <v>1302</v>
      </c>
      <c r="E87" s="17" t="s">
        <v>1302</v>
      </c>
      <c r="F87" s="53">
        <v>9996</v>
      </c>
      <c r="G87" s="16">
        <v>9142</v>
      </c>
      <c r="H87" s="16">
        <v>9142</v>
      </c>
      <c r="I87" s="16">
        <v>9142</v>
      </c>
      <c r="J87" s="17" t="s">
        <v>1344</v>
      </c>
    </row>
    <row r="88" spans="1:10" s="16" customFormat="1" ht="15">
      <c r="A88" s="17" t="s">
        <v>663</v>
      </c>
      <c r="B88" s="16">
        <v>19</v>
      </c>
      <c r="C88" s="16">
        <v>6310</v>
      </c>
      <c r="D88" s="338" t="s">
        <v>1302</v>
      </c>
      <c r="E88" s="17" t="s">
        <v>1302</v>
      </c>
      <c r="F88" s="53">
        <v>7911</v>
      </c>
      <c r="G88" s="16">
        <v>7295</v>
      </c>
      <c r="H88" s="16">
        <v>7295</v>
      </c>
      <c r="I88" s="16">
        <v>7295</v>
      </c>
      <c r="J88" s="17" t="s">
        <v>1344</v>
      </c>
    </row>
    <row r="89" spans="1:10" ht="15">
      <c r="A89" s="1" t="s">
        <v>664</v>
      </c>
      <c r="B89">
        <v>3</v>
      </c>
      <c r="C89">
        <v>6400</v>
      </c>
      <c r="D89" s="337" t="s">
        <v>1302</v>
      </c>
      <c r="E89" s="1" t="s">
        <v>1302</v>
      </c>
      <c r="F89" s="53">
        <v>6227</v>
      </c>
      <c r="G89">
        <v>6160</v>
      </c>
      <c r="H89">
        <v>5367</v>
      </c>
      <c r="I89">
        <v>6108</v>
      </c>
      <c r="J89" s="1" t="s">
        <v>1344</v>
      </c>
    </row>
    <row r="90" spans="1:10" ht="15">
      <c r="A90" s="1" t="s">
        <v>665</v>
      </c>
      <c r="B90">
        <v>30</v>
      </c>
      <c r="C90">
        <v>6400</v>
      </c>
      <c r="D90" s="337" t="s">
        <v>1302</v>
      </c>
      <c r="E90" s="1" t="s">
        <v>1302</v>
      </c>
      <c r="F90" s="53">
        <v>19066</v>
      </c>
      <c r="G90">
        <v>18408</v>
      </c>
      <c r="H90">
        <v>15094</v>
      </c>
      <c r="I90">
        <v>20027</v>
      </c>
      <c r="J90" s="1" t="s">
        <v>1344</v>
      </c>
    </row>
    <row r="91" spans="1:10" s="16" customFormat="1" ht="15">
      <c r="A91" s="17" t="s">
        <v>666</v>
      </c>
      <c r="B91" s="16">
        <v>18</v>
      </c>
      <c r="C91" s="16">
        <v>6310</v>
      </c>
      <c r="D91" s="338" t="s">
        <v>1302</v>
      </c>
      <c r="E91" s="17" t="s">
        <v>1302</v>
      </c>
      <c r="F91" s="53">
        <v>5488</v>
      </c>
      <c r="G91" s="16">
        <v>5173</v>
      </c>
      <c r="H91" s="16">
        <v>5173</v>
      </c>
      <c r="I91" s="16">
        <v>5879</v>
      </c>
      <c r="J91" s="17" t="s">
        <v>1344</v>
      </c>
    </row>
    <row r="92" spans="1:10" ht="15">
      <c r="A92" s="1" t="s">
        <v>667</v>
      </c>
      <c r="B92">
        <v>34</v>
      </c>
      <c r="C92">
        <v>6300</v>
      </c>
      <c r="D92" s="337" t="s">
        <v>1302</v>
      </c>
      <c r="E92" s="1" t="s">
        <v>1302</v>
      </c>
      <c r="F92" s="53">
        <v>19388</v>
      </c>
      <c r="G92">
        <v>19324</v>
      </c>
      <c r="H92">
        <v>19067</v>
      </c>
      <c r="I92">
        <v>10940</v>
      </c>
      <c r="J92" s="1" t="s">
        <v>1344</v>
      </c>
    </row>
    <row r="93" spans="1:10" ht="15">
      <c r="A93" s="1" t="s">
        <v>770</v>
      </c>
      <c r="C93">
        <v>6400</v>
      </c>
      <c r="D93" s="337" t="s">
        <v>1302</v>
      </c>
      <c r="E93" s="1" t="s">
        <v>1302</v>
      </c>
      <c r="F93" s="53">
        <v>15901</v>
      </c>
      <c r="G93">
        <v>13539</v>
      </c>
      <c r="H93">
        <v>7452</v>
      </c>
      <c r="I93">
        <v>6629</v>
      </c>
      <c r="J93" s="1" t="s">
        <v>1344</v>
      </c>
    </row>
    <row r="94" spans="1:10" ht="15">
      <c r="A94" s="1" t="s">
        <v>668</v>
      </c>
      <c r="C94">
        <v>6400</v>
      </c>
      <c r="D94" s="337" t="s">
        <v>1302</v>
      </c>
      <c r="E94" s="1" t="s">
        <v>1302</v>
      </c>
      <c r="F94" s="53">
        <v>19057</v>
      </c>
      <c r="G94">
        <v>19302</v>
      </c>
      <c r="H94">
        <v>18141</v>
      </c>
      <c r="I94">
        <v>21201</v>
      </c>
      <c r="J94" s="1" t="s">
        <v>1344</v>
      </c>
    </row>
    <row r="95" spans="1:10" ht="15">
      <c r="A95" s="1" t="s">
        <v>1425</v>
      </c>
      <c r="C95">
        <v>6470</v>
      </c>
      <c r="D95" s="337" t="s">
        <v>1302</v>
      </c>
      <c r="E95" s="1" t="s">
        <v>1302</v>
      </c>
      <c r="F95" s="53">
        <v>3072</v>
      </c>
      <c r="G95">
        <v>3506</v>
      </c>
      <c r="H95">
        <v>2932</v>
      </c>
      <c r="I95">
        <v>3203</v>
      </c>
      <c r="J95" s="1" t="s">
        <v>1344</v>
      </c>
    </row>
    <row r="96" spans="1:10" ht="15">
      <c r="A96" s="1" t="s">
        <v>1293</v>
      </c>
      <c r="C96">
        <v>6310</v>
      </c>
      <c r="D96" s="337" t="s">
        <v>1302</v>
      </c>
      <c r="E96" s="1" t="s">
        <v>1302</v>
      </c>
      <c r="F96" s="53">
        <v>80</v>
      </c>
      <c r="G96">
        <v>397</v>
      </c>
      <c r="H96">
        <v>488</v>
      </c>
      <c r="I96">
        <v>623</v>
      </c>
      <c r="J96" s="1" t="s">
        <v>1344</v>
      </c>
    </row>
    <row r="97" spans="1:10" ht="15">
      <c r="A97" s="1" t="s">
        <v>1041</v>
      </c>
      <c r="B97">
        <v>2</v>
      </c>
      <c r="C97">
        <v>6310</v>
      </c>
      <c r="D97" s="337" t="s">
        <v>1302</v>
      </c>
      <c r="E97" s="1" t="s">
        <v>1302</v>
      </c>
      <c r="F97" s="53">
        <v>72419</v>
      </c>
      <c r="G97">
        <v>72112</v>
      </c>
      <c r="H97">
        <v>75981</v>
      </c>
      <c r="I97">
        <v>74675</v>
      </c>
      <c r="J97" s="1" t="s">
        <v>1344</v>
      </c>
    </row>
    <row r="98" spans="1:10" ht="15">
      <c r="A98" s="1" t="s">
        <v>1426</v>
      </c>
      <c r="B98">
        <v>3</v>
      </c>
      <c r="C98">
        <v>6400</v>
      </c>
      <c r="D98" s="337" t="s">
        <v>1302</v>
      </c>
      <c r="E98" s="1" t="s">
        <v>1302</v>
      </c>
      <c r="F98" s="53">
        <v>37627</v>
      </c>
      <c r="G98">
        <v>35125</v>
      </c>
      <c r="H98">
        <v>30699</v>
      </c>
      <c r="I98">
        <v>32010</v>
      </c>
      <c r="J98" s="1" t="s">
        <v>1344</v>
      </c>
    </row>
    <row r="99" spans="1:10" ht="15">
      <c r="A99" s="1" t="s">
        <v>1060</v>
      </c>
      <c r="B99">
        <v>0</v>
      </c>
      <c r="C99">
        <v>6400</v>
      </c>
      <c r="D99" s="337" t="s">
        <v>1302</v>
      </c>
      <c r="E99" s="1" t="s">
        <v>1302</v>
      </c>
      <c r="F99" s="53">
        <v>21873</v>
      </c>
      <c r="G99">
        <v>19544</v>
      </c>
      <c r="H99">
        <v>17918</v>
      </c>
      <c r="I99">
        <v>24206</v>
      </c>
      <c r="J99" s="1" t="s">
        <v>1344</v>
      </c>
    </row>
    <row r="100" spans="1:10" ht="15">
      <c r="A100" s="1" t="s">
        <v>1298</v>
      </c>
      <c r="B100">
        <v>35</v>
      </c>
      <c r="C100">
        <v>6400</v>
      </c>
      <c r="D100" s="337" t="s">
        <v>1302</v>
      </c>
      <c r="E100" s="1" t="s">
        <v>1302</v>
      </c>
      <c r="F100" s="53">
        <v>21829</v>
      </c>
      <c r="G100">
        <v>18586</v>
      </c>
      <c r="H100">
        <v>18888</v>
      </c>
      <c r="I100">
        <v>20784</v>
      </c>
      <c r="J100" s="1" t="s">
        <v>1344</v>
      </c>
    </row>
    <row r="101" spans="1:10" ht="15">
      <c r="A101" s="1" t="s">
        <v>1428</v>
      </c>
      <c r="B101">
        <v>0</v>
      </c>
      <c r="C101">
        <v>6400</v>
      </c>
      <c r="D101" s="337" t="s">
        <v>1302</v>
      </c>
      <c r="E101" s="1" t="s">
        <v>1302</v>
      </c>
      <c r="F101" s="53">
        <v>17032</v>
      </c>
      <c r="G101">
        <v>17752</v>
      </c>
      <c r="H101">
        <v>16386</v>
      </c>
      <c r="I101">
        <v>17663</v>
      </c>
      <c r="J101" s="1" t="s">
        <v>1344</v>
      </c>
    </row>
    <row r="102" spans="1:10" ht="15">
      <c r="A102" s="1" t="s">
        <v>1429</v>
      </c>
      <c r="C102">
        <v>6400</v>
      </c>
      <c r="D102" s="337" t="s">
        <v>1132</v>
      </c>
      <c r="E102" s="1" t="s">
        <v>1302</v>
      </c>
      <c r="F102" s="53">
        <v>9691</v>
      </c>
      <c r="G102">
        <v>12363</v>
      </c>
      <c r="H102">
        <v>10493</v>
      </c>
      <c r="I102">
        <v>9787</v>
      </c>
      <c r="J102" s="1" t="s">
        <v>1344</v>
      </c>
    </row>
    <row r="103" spans="1:10" ht="15">
      <c r="A103" s="1" t="s">
        <v>1430</v>
      </c>
      <c r="B103">
        <v>15</v>
      </c>
      <c r="C103">
        <v>6470</v>
      </c>
      <c r="D103" s="337" t="s">
        <v>1302</v>
      </c>
      <c r="E103" s="1" t="s">
        <v>1302</v>
      </c>
      <c r="F103" s="53">
        <v>8379</v>
      </c>
      <c r="G103">
        <v>8395</v>
      </c>
      <c r="H103">
        <v>7785</v>
      </c>
      <c r="I103">
        <v>8179</v>
      </c>
      <c r="J103" s="1" t="s">
        <v>1344</v>
      </c>
    </row>
    <row r="104" spans="1:10" s="16" customFormat="1" ht="15">
      <c r="A104" s="17" t="s">
        <v>1431</v>
      </c>
      <c r="B104" s="16">
        <v>76</v>
      </c>
      <c r="C104" s="16">
        <v>6310</v>
      </c>
      <c r="D104" s="338" t="s">
        <v>1302</v>
      </c>
      <c r="E104" s="17" t="s">
        <v>1302</v>
      </c>
      <c r="F104" s="53">
        <v>7544</v>
      </c>
      <c r="G104" s="16">
        <v>7386</v>
      </c>
      <c r="H104" s="16">
        <v>7386</v>
      </c>
      <c r="I104" s="16">
        <v>7386</v>
      </c>
      <c r="J104" s="17" t="s">
        <v>1344</v>
      </c>
    </row>
    <row r="105" spans="1:10" ht="15">
      <c r="A105" s="1" t="s">
        <v>1432</v>
      </c>
      <c r="B105">
        <v>0</v>
      </c>
      <c r="C105">
        <v>6400</v>
      </c>
      <c r="D105" s="337" t="s">
        <v>1302</v>
      </c>
      <c r="E105" s="1" t="s">
        <v>1302</v>
      </c>
      <c r="F105" s="53">
        <v>20663</v>
      </c>
      <c r="G105">
        <v>21415</v>
      </c>
      <c r="H105">
        <v>19938</v>
      </c>
      <c r="I105">
        <v>22359</v>
      </c>
      <c r="J105" s="1" t="s">
        <v>1344</v>
      </c>
    </row>
    <row r="106" spans="1:10" ht="15">
      <c r="A106" s="1" t="s">
        <v>1433</v>
      </c>
      <c r="B106">
        <v>2</v>
      </c>
      <c r="C106">
        <v>6470</v>
      </c>
      <c r="D106" s="337" t="s">
        <v>1133</v>
      </c>
      <c r="E106" s="1" t="s">
        <v>1302</v>
      </c>
      <c r="F106" s="53">
        <v>8176</v>
      </c>
      <c r="G106">
        <v>7618</v>
      </c>
      <c r="H106">
        <v>7498</v>
      </c>
      <c r="I106">
        <v>8167</v>
      </c>
      <c r="J106" s="1" t="s">
        <v>1344</v>
      </c>
    </row>
    <row r="107" spans="1:10" ht="15">
      <c r="A107" s="1" t="s">
        <v>1075</v>
      </c>
      <c r="C107">
        <v>6430</v>
      </c>
      <c r="D107" s="337" t="s">
        <v>1134</v>
      </c>
      <c r="E107" s="1" t="s">
        <v>1302</v>
      </c>
      <c r="F107" s="53">
        <v>19931</v>
      </c>
      <c r="G107">
        <v>19715</v>
      </c>
      <c r="H107">
        <v>17917</v>
      </c>
      <c r="I107">
        <v>18926</v>
      </c>
      <c r="J107" s="1" t="s">
        <v>1344</v>
      </c>
    </row>
    <row r="108" spans="1:10" ht="15">
      <c r="A108" s="1" t="s">
        <v>1435</v>
      </c>
      <c r="C108">
        <v>6430</v>
      </c>
      <c r="D108" s="337" t="s">
        <v>1302</v>
      </c>
      <c r="E108" s="1" t="s">
        <v>1302</v>
      </c>
      <c r="F108" s="53">
        <v>3041</v>
      </c>
      <c r="G108">
        <v>3214</v>
      </c>
      <c r="H108">
        <v>3142</v>
      </c>
      <c r="I108">
        <v>3295</v>
      </c>
      <c r="J108" s="1" t="s">
        <v>1344</v>
      </c>
    </row>
    <row r="109" spans="1:10" ht="15">
      <c r="A109" s="1" t="s">
        <v>1436</v>
      </c>
      <c r="C109">
        <v>6400</v>
      </c>
      <c r="D109" s="337" t="s">
        <v>1302</v>
      </c>
      <c r="E109" s="1" t="s">
        <v>1302</v>
      </c>
      <c r="F109" s="53">
        <v>3683</v>
      </c>
      <c r="G109">
        <v>4230</v>
      </c>
      <c r="H109">
        <v>3456</v>
      </c>
      <c r="I109">
        <v>44928</v>
      </c>
      <c r="J109" s="1" t="s">
        <v>1344</v>
      </c>
    </row>
    <row r="110" spans="1:10" ht="15">
      <c r="A110" s="1" t="s">
        <v>1440</v>
      </c>
      <c r="B110">
        <v>0</v>
      </c>
      <c r="C110">
        <v>6400</v>
      </c>
      <c r="D110" s="337" t="s">
        <v>1135</v>
      </c>
      <c r="E110" s="1" t="s">
        <v>1302</v>
      </c>
      <c r="F110" s="53">
        <v>9250</v>
      </c>
      <c r="G110">
        <v>9265</v>
      </c>
      <c r="H110">
        <v>9205</v>
      </c>
      <c r="I110">
        <v>10335</v>
      </c>
      <c r="J110" s="1" t="s">
        <v>1344</v>
      </c>
    </row>
    <row r="111" spans="1:10" ht="15">
      <c r="A111" s="1" t="s">
        <v>1441</v>
      </c>
      <c r="B111">
        <v>14</v>
      </c>
      <c r="C111">
        <v>6300</v>
      </c>
      <c r="D111" s="337" t="s">
        <v>1302</v>
      </c>
      <c r="E111" s="1" t="s">
        <v>1302</v>
      </c>
      <c r="F111" s="53">
        <v>29956</v>
      </c>
      <c r="G111">
        <v>30295</v>
      </c>
      <c r="H111">
        <v>28012</v>
      </c>
      <c r="I111">
        <v>27287</v>
      </c>
      <c r="J111" s="1" t="s">
        <v>1344</v>
      </c>
    </row>
    <row r="112" spans="1:10" ht="15">
      <c r="A112" s="1" t="s">
        <v>1442</v>
      </c>
      <c r="B112">
        <v>0</v>
      </c>
      <c r="C112">
        <v>6400</v>
      </c>
      <c r="D112" s="337" t="s">
        <v>1136</v>
      </c>
      <c r="E112" s="1" t="s">
        <v>1302</v>
      </c>
      <c r="F112" s="53">
        <v>38688</v>
      </c>
      <c r="G112">
        <v>40707</v>
      </c>
      <c r="H112">
        <v>40512</v>
      </c>
      <c r="I112">
        <v>46745</v>
      </c>
      <c r="J112" s="1" t="s">
        <v>1344</v>
      </c>
    </row>
    <row r="113" spans="1:10" ht="15">
      <c r="A113" s="1" t="s">
        <v>1444</v>
      </c>
      <c r="B113">
        <v>2</v>
      </c>
      <c r="C113">
        <v>6400</v>
      </c>
      <c r="D113" s="337" t="s">
        <v>1302</v>
      </c>
      <c r="E113" s="1" t="s">
        <v>1302</v>
      </c>
      <c r="F113" s="53">
        <v>12091</v>
      </c>
      <c r="G113">
        <v>11303</v>
      </c>
      <c r="H113">
        <v>9721</v>
      </c>
      <c r="I113">
        <v>14145</v>
      </c>
      <c r="J113" s="1" t="s">
        <v>1344</v>
      </c>
    </row>
    <row r="114" spans="1:10" ht="15">
      <c r="A114" s="1" t="s">
        <v>795</v>
      </c>
      <c r="C114">
        <v>6400</v>
      </c>
      <c r="D114" s="337" t="s">
        <v>1137</v>
      </c>
      <c r="E114" s="1" t="s">
        <v>1302</v>
      </c>
      <c r="F114" s="53">
        <v>29088</v>
      </c>
      <c r="G114">
        <v>27505</v>
      </c>
      <c r="H114">
        <v>25062</v>
      </c>
      <c r="I114">
        <v>30998</v>
      </c>
      <c r="J114" s="1" t="s">
        <v>1344</v>
      </c>
    </row>
    <row r="115" spans="1:10" ht="15">
      <c r="A115" s="1" t="s">
        <v>1445</v>
      </c>
      <c r="C115">
        <v>6430</v>
      </c>
      <c r="D115" s="337" t="s">
        <v>1302</v>
      </c>
      <c r="E115" s="1" t="s">
        <v>1302</v>
      </c>
      <c r="F115" s="53">
        <v>7370</v>
      </c>
      <c r="G115">
        <v>5374</v>
      </c>
      <c r="H115">
        <v>7594</v>
      </c>
      <c r="I115">
        <v>7587</v>
      </c>
      <c r="J115" s="1" t="s">
        <v>1344</v>
      </c>
    </row>
    <row r="116" spans="1:10" ht="15">
      <c r="A116" s="1" t="s">
        <v>607</v>
      </c>
      <c r="C116">
        <v>6430</v>
      </c>
      <c r="D116" s="337" t="s">
        <v>1302</v>
      </c>
      <c r="E116" s="1" t="s">
        <v>1302</v>
      </c>
      <c r="F116" s="53">
        <v>4136</v>
      </c>
      <c r="G116">
        <v>6071</v>
      </c>
      <c r="H116">
        <v>5918</v>
      </c>
      <c r="I116">
        <v>4268</v>
      </c>
      <c r="J116" s="1" t="s">
        <v>1344</v>
      </c>
    </row>
    <row r="117" spans="1:10" ht="15">
      <c r="A117" s="1" t="s">
        <v>1449</v>
      </c>
      <c r="C117">
        <v>6430</v>
      </c>
      <c r="D117" s="337" t="s">
        <v>1302</v>
      </c>
      <c r="E117" s="1" t="s">
        <v>1302</v>
      </c>
      <c r="F117" s="53">
        <v>15924</v>
      </c>
      <c r="G117">
        <v>15029</v>
      </c>
      <c r="H117">
        <v>15317</v>
      </c>
      <c r="I117">
        <v>15344</v>
      </c>
      <c r="J117" s="1" t="s">
        <v>1344</v>
      </c>
    </row>
    <row r="118" spans="1:10" ht="15">
      <c r="A118" s="1" t="s">
        <v>1273</v>
      </c>
      <c r="C118">
        <v>6400</v>
      </c>
      <c r="D118" s="337" t="s">
        <v>1302</v>
      </c>
      <c r="E118" s="1" t="s">
        <v>1302</v>
      </c>
      <c r="F118" s="53">
        <v>21376</v>
      </c>
      <c r="G118">
        <v>23163</v>
      </c>
      <c r="H118">
        <v>26428</v>
      </c>
      <c r="I118">
        <v>30096</v>
      </c>
      <c r="J118" s="1" t="s">
        <v>1344</v>
      </c>
    </row>
    <row r="119" spans="1:10" ht="15">
      <c r="A119" s="1" t="s">
        <v>696</v>
      </c>
      <c r="B119">
        <v>2</v>
      </c>
      <c r="C119">
        <v>6430</v>
      </c>
      <c r="D119" s="337" t="s">
        <v>1302</v>
      </c>
      <c r="E119" s="1" t="s">
        <v>1302</v>
      </c>
      <c r="F119" s="53">
        <v>21531</v>
      </c>
      <c r="G119">
        <v>19526</v>
      </c>
      <c r="H119">
        <v>17791</v>
      </c>
      <c r="I119">
        <v>19932</v>
      </c>
      <c r="J119" s="1" t="s">
        <v>1344</v>
      </c>
    </row>
    <row r="120" spans="1:10" ht="15">
      <c r="A120" s="1" t="s">
        <v>697</v>
      </c>
      <c r="B120">
        <v>5</v>
      </c>
      <c r="C120">
        <v>6400</v>
      </c>
      <c r="D120" s="337" t="s">
        <v>1138</v>
      </c>
      <c r="E120" s="1" t="s">
        <v>1302</v>
      </c>
      <c r="F120" s="53">
        <v>15769</v>
      </c>
      <c r="G120">
        <v>15997</v>
      </c>
      <c r="H120">
        <v>15399</v>
      </c>
      <c r="I120">
        <v>17267</v>
      </c>
      <c r="J120" s="1" t="s">
        <v>1344</v>
      </c>
    </row>
    <row r="121" spans="1:10" ht="15">
      <c r="A121" s="1" t="s">
        <v>698</v>
      </c>
      <c r="C121">
        <v>6430</v>
      </c>
      <c r="D121" s="337" t="s">
        <v>1139</v>
      </c>
      <c r="E121" s="1" t="s">
        <v>1302</v>
      </c>
      <c r="F121" s="53">
        <v>20877</v>
      </c>
      <c r="G121">
        <v>21827</v>
      </c>
      <c r="H121">
        <v>20912</v>
      </c>
      <c r="I121">
        <v>23489</v>
      </c>
      <c r="J121" s="1" t="s">
        <v>1344</v>
      </c>
    </row>
    <row r="122" spans="1:10" ht="15">
      <c r="A122" s="1" t="s">
        <v>1442</v>
      </c>
      <c r="B122">
        <v>0</v>
      </c>
      <c r="C122">
        <v>6400</v>
      </c>
      <c r="D122" s="337" t="s">
        <v>1302</v>
      </c>
      <c r="E122" s="1" t="s">
        <v>1302</v>
      </c>
      <c r="F122" s="53">
        <v>17260</v>
      </c>
      <c r="G122">
        <v>17544</v>
      </c>
      <c r="H122">
        <v>18443</v>
      </c>
      <c r="I122">
        <v>18237</v>
      </c>
      <c r="J122" s="1" t="s">
        <v>1344</v>
      </c>
    </row>
    <row r="123" spans="1:10" ht="15">
      <c r="A123" s="1" t="s">
        <v>701</v>
      </c>
      <c r="C123">
        <v>6300</v>
      </c>
      <c r="D123" s="337" t="s">
        <v>1302</v>
      </c>
      <c r="E123" s="1" t="s">
        <v>1302</v>
      </c>
      <c r="F123" s="53">
        <v>2862</v>
      </c>
      <c r="G123">
        <v>2996</v>
      </c>
      <c r="H123">
        <v>2560</v>
      </c>
      <c r="I123">
        <v>2972</v>
      </c>
      <c r="J123" s="1" t="s">
        <v>1344</v>
      </c>
    </row>
    <row r="124" spans="1:10" ht="15">
      <c r="A124" s="1" t="s">
        <v>702</v>
      </c>
      <c r="C124">
        <v>6430</v>
      </c>
      <c r="D124" s="337" t="s">
        <v>1302</v>
      </c>
      <c r="E124" s="1" t="s">
        <v>1302</v>
      </c>
      <c r="F124" s="53">
        <v>4477</v>
      </c>
      <c r="G124">
        <v>4558</v>
      </c>
      <c r="H124">
        <v>4920</v>
      </c>
      <c r="I124">
        <v>5397</v>
      </c>
      <c r="J124" s="1" t="s">
        <v>1344</v>
      </c>
    </row>
    <row r="125" spans="1:10" ht="15">
      <c r="A125" s="1" t="s">
        <v>703</v>
      </c>
      <c r="B125">
        <v>1</v>
      </c>
      <c r="C125">
        <v>6400</v>
      </c>
      <c r="D125" s="337" t="s">
        <v>1302</v>
      </c>
      <c r="E125" s="1" t="s">
        <v>1302</v>
      </c>
      <c r="F125" s="53">
        <v>4319</v>
      </c>
      <c r="G125">
        <v>4481</v>
      </c>
      <c r="H125">
        <v>4367</v>
      </c>
      <c r="I125">
        <v>5377</v>
      </c>
      <c r="J125" s="1" t="s">
        <v>1344</v>
      </c>
    </row>
    <row r="126" spans="1:10" ht="15">
      <c r="A126" s="1" t="s">
        <v>1450</v>
      </c>
      <c r="B126">
        <v>9</v>
      </c>
      <c r="C126">
        <v>6430</v>
      </c>
      <c r="D126" s="337" t="s">
        <v>1302</v>
      </c>
      <c r="E126" s="1" t="s">
        <v>1302</v>
      </c>
      <c r="F126" s="53">
        <v>8703</v>
      </c>
      <c r="G126">
        <v>9853</v>
      </c>
      <c r="H126">
        <v>10609</v>
      </c>
      <c r="I126">
        <v>9704</v>
      </c>
      <c r="J126" s="1" t="s">
        <v>1344</v>
      </c>
    </row>
    <row r="127" spans="1:10" ht="15">
      <c r="A127" s="1" t="s">
        <v>704</v>
      </c>
      <c r="C127">
        <v>6470</v>
      </c>
      <c r="D127" s="337" t="s">
        <v>1302</v>
      </c>
      <c r="E127" s="1" t="s">
        <v>1302</v>
      </c>
      <c r="F127" s="53">
        <v>1704</v>
      </c>
      <c r="G127">
        <v>1724</v>
      </c>
      <c r="H127">
        <v>1890</v>
      </c>
      <c r="I127">
        <v>1629</v>
      </c>
      <c r="J127" s="1" t="s">
        <v>1344</v>
      </c>
    </row>
    <row r="128" spans="1:10" ht="15">
      <c r="A128" s="1" t="s">
        <v>1341</v>
      </c>
      <c r="C128">
        <v>6300</v>
      </c>
      <c r="D128" s="337" t="s">
        <v>1302</v>
      </c>
      <c r="E128" s="1" t="s">
        <v>1302</v>
      </c>
      <c r="F128" s="53">
        <v>30809</v>
      </c>
      <c r="G128">
        <v>29863</v>
      </c>
      <c r="H128">
        <v>31725</v>
      </c>
      <c r="I128">
        <v>23371</v>
      </c>
      <c r="J128" s="1" t="s">
        <v>1344</v>
      </c>
    </row>
    <row r="129" spans="1:10" ht="15">
      <c r="A129" s="1" t="s">
        <v>706</v>
      </c>
      <c r="C129">
        <v>6430</v>
      </c>
      <c r="D129" s="337" t="s">
        <v>1302</v>
      </c>
      <c r="E129" s="1" t="s">
        <v>1302</v>
      </c>
      <c r="F129" s="53">
        <v>7440</v>
      </c>
      <c r="G129">
        <v>7795</v>
      </c>
      <c r="H129">
        <v>8208</v>
      </c>
      <c r="I129">
        <v>8613</v>
      </c>
      <c r="J129" s="1" t="s">
        <v>1344</v>
      </c>
    </row>
    <row r="130" spans="1:10" ht="15">
      <c r="A130" s="1" t="s">
        <v>707</v>
      </c>
      <c r="B130">
        <v>2</v>
      </c>
      <c r="C130">
        <v>6430</v>
      </c>
      <c r="D130" s="337" t="s">
        <v>1302</v>
      </c>
      <c r="E130" s="1" t="s">
        <v>1302</v>
      </c>
      <c r="F130" s="53">
        <v>9580</v>
      </c>
      <c r="G130">
        <v>9246</v>
      </c>
      <c r="H130">
        <v>9000</v>
      </c>
      <c r="I130">
        <v>9089</v>
      </c>
      <c r="J130" s="1" t="s">
        <v>1344</v>
      </c>
    </row>
    <row r="131" spans="1:10" ht="15">
      <c r="A131" s="1" t="s">
        <v>710</v>
      </c>
      <c r="C131">
        <v>6300</v>
      </c>
      <c r="D131" s="337" t="s">
        <v>1302</v>
      </c>
      <c r="E131" s="1" t="s">
        <v>1302</v>
      </c>
      <c r="F131" s="53">
        <v>25279</v>
      </c>
      <c r="G131">
        <v>26231</v>
      </c>
      <c r="H131">
        <v>24382</v>
      </c>
      <c r="I131">
        <v>27488</v>
      </c>
      <c r="J131" s="1" t="s">
        <v>1344</v>
      </c>
    </row>
    <row r="132" spans="1:10" s="16" customFormat="1" ht="15">
      <c r="A132" s="17" t="s">
        <v>801</v>
      </c>
      <c r="B132" s="16">
        <v>0</v>
      </c>
      <c r="C132" s="16">
        <v>6400</v>
      </c>
      <c r="D132" s="338" t="s">
        <v>1302</v>
      </c>
      <c r="E132" s="17" t="s">
        <v>1302</v>
      </c>
      <c r="F132" s="53">
        <v>6751</v>
      </c>
      <c r="G132" s="16">
        <v>8243</v>
      </c>
      <c r="H132" s="16">
        <v>7924</v>
      </c>
      <c r="I132" s="16">
        <v>6657</v>
      </c>
      <c r="J132" s="17" t="s">
        <v>1344</v>
      </c>
    </row>
    <row r="133" spans="1:10" ht="15">
      <c r="A133" s="1" t="s">
        <v>1081</v>
      </c>
      <c r="C133">
        <v>6430</v>
      </c>
      <c r="D133" s="337" t="s">
        <v>1302</v>
      </c>
      <c r="E133" s="1" t="s">
        <v>1302</v>
      </c>
      <c r="F133" s="53">
        <v>5171</v>
      </c>
      <c r="G133">
        <v>5509</v>
      </c>
      <c r="H133">
        <v>5264</v>
      </c>
      <c r="I133">
        <v>5759</v>
      </c>
      <c r="J133" s="1" t="s">
        <v>1344</v>
      </c>
    </row>
    <row r="134" spans="1:10" ht="15">
      <c r="A134" s="1" t="s">
        <v>185</v>
      </c>
      <c r="C134">
        <v>6400</v>
      </c>
      <c r="D134" s="337" t="s">
        <v>1302</v>
      </c>
      <c r="E134" s="1" t="s">
        <v>1302</v>
      </c>
      <c r="F134" s="53">
        <v>6537</v>
      </c>
      <c r="G134">
        <v>6854</v>
      </c>
      <c r="H134">
        <v>8349</v>
      </c>
      <c r="I134">
        <v>9023</v>
      </c>
      <c r="J134" s="1" t="s">
        <v>1344</v>
      </c>
    </row>
    <row r="135" spans="1:10" ht="15">
      <c r="A135" s="1" t="s">
        <v>1067</v>
      </c>
      <c r="B135">
        <v>15</v>
      </c>
      <c r="C135">
        <v>6470</v>
      </c>
      <c r="D135" s="337" t="s">
        <v>1302</v>
      </c>
      <c r="E135" s="1" t="s">
        <v>1302</v>
      </c>
      <c r="F135" s="53">
        <v>19285</v>
      </c>
      <c r="G135">
        <v>21265</v>
      </c>
      <c r="H135">
        <v>33229</v>
      </c>
      <c r="I135">
        <v>49119</v>
      </c>
      <c r="J135" s="1" t="s">
        <v>1344</v>
      </c>
    </row>
    <row r="136" spans="1:10" ht="15">
      <c r="A136" s="1" t="s">
        <v>189</v>
      </c>
      <c r="B136">
        <v>17</v>
      </c>
      <c r="C136">
        <v>6430</v>
      </c>
      <c r="D136" s="337" t="s">
        <v>1302</v>
      </c>
      <c r="E136" s="1" t="s">
        <v>1302</v>
      </c>
      <c r="F136" s="53">
        <v>10606</v>
      </c>
      <c r="G136">
        <v>8961</v>
      </c>
      <c r="H136">
        <v>7430</v>
      </c>
      <c r="I136">
        <v>8721</v>
      </c>
      <c r="J136" s="1" t="s">
        <v>1344</v>
      </c>
    </row>
    <row r="137" spans="1:10" ht="15">
      <c r="A137" s="1" t="s">
        <v>1340</v>
      </c>
      <c r="B137">
        <v>4</v>
      </c>
      <c r="C137">
        <v>6470</v>
      </c>
      <c r="D137" s="337" t="s">
        <v>1302</v>
      </c>
      <c r="E137" s="1" t="s">
        <v>1302</v>
      </c>
      <c r="F137" s="53">
        <v>16236</v>
      </c>
      <c r="G137">
        <v>16182</v>
      </c>
      <c r="H137">
        <v>17786</v>
      </c>
      <c r="I137">
        <v>11630</v>
      </c>
      <c r="J137" s="1" t="s">
        <v>1344</v>
      </c>
    </row>
    <row r="138" spans="1:10" ht="15">
      <c r="A138" s="1" t="s">
        <v>190</v>
      </c>
      <c r="C138">
        <v>6430</v>
      </c>
      <c r="D138" s="337" t="s">
        <v>1302</v>
      </c>
      <c r="E138" s="1" t="s">
        <v>1302</v>
      </c>
      <c r="F138" s="53">
        <v>5011</v>
      </c>
      <c r="G138">
        <v>5195</v>
      </c>
      <c r="H138">
        <v>4808</v>
      </c>
      <c r="I138">
        <v>4319</v>
      </c>
      <c r="J138" s="1" t="s">
        <v>1344</v>
      </c>
    </row>
    <row r="139" spans="1:10" ht="15">
      <c r="A139" s="1" t="s">
        <v>1426</v>
      </c>
      <c r="B139">
        <v>9</v>
      </c>
      <c r="C139">
        <v>6400</v>
      </c>
      <c r="D139" s="337" t="s">
        <v>1302</v>
      </c>
      <c r="E139" s="1" t="s">
        <v>1302</v>
      </c>
      <c r="F139" s="53">
        <v>1863</v>
      </c>
      <c r="G139">
        <v>1862</v>
      </c>
      <c r="H139">
        <v>2072</v>
      </c>
      <c r="I139">
        <v>2810</v>
      </c>
      <c r="J139" s="1" t="s">
        <v>1344</v>
      </c>
    </row>
    <row r="140" spans="1:10" ht="15">
      <c r="A140" s="1" t="s">
        <v>1056</v>
      </c>
      <c r="C140">
        <v>6400</v>
      </c>
      <c r="D140" s="337" t="s">
        <v>1302</v>
      </c>
      <c r="E140" s="1" t="s">
        <v>1302</v>
      </c>
      <c r="F140" s="53">
        <v>1753</v>
      </c>
      <c r="G140">
        <v>1751</v>
      </c>
      <c r="H140">
        <v>1948</v>
      </c>
      <c r="I140">
        <v>2350</v>
      </c>
      <c r="J140" s="1" t="s">
        <v>1344</v>
      </c>
    </row>
    <row r="141" spans="1:10" ht="15">
      <c r="A141" s="1" t="s">
        <v>1448</v>
      </c>
      <c r="B141">
        <v>0</v>
      </c>
      <c r="C141">
        <v>6400</v>
      </c>
      <c r="D141" s="337" t="s">
        <v>1140</v>
      </c>
      <c r="E141" s="1" t="s">
        <v>1302</v>
      </c>
      <c r="F141" s="53">
        <v>20758</v>
      </c>
      <c r="G141">
        <v>21339</v>
      </c>
      <c r="H141">
        <v>20340</v>
      </c>
      <c r="I141">
        <v>23236</v>
      </c>
      <c r="J141" s="1" t="s">
        <v>1344</v>
      </c>
    </row>
    <row r="142" spans="1:10" ht="15">
      <c r="A142" s="1" t="s">
        <v>1086</v>
      </c>
      <c r="B142">
        <v>2</v>
      </c>
      <c r="C142">
        <v>6400</v>
      </c>
      <c r="D142" s="337" t="s">
        <v>1302</v>
      </c>
      <c r="E142" s="1" t="s">
        <v>1302</v>
      </c>
      <c r="F142" s="53">
        <v>22890</v>
      </c>
      <c r="G142">
        <v>26361</v>
      </c>
      <c r="H142">
        <v>21204</v>
      </c>
      <c r="I142">
        <v>18861</v>
      </c>
      <c r="J142" s="1" t="s">
        <v>1344</v>
      </c>
    </row>
    <row r="143" spans="1:10" ht="15">
      <c r="A143" s="1" t="s">
        <v>1087</v>
      </c>
      <c r="B143">
        <v>0</v>
      </c>
      <c r="C143">
        <v>6400</v>
      </c>
      <c r="D143" s="337" t="s">
        <v>1141</v>
      </c>
      <c r="E143" s="1" t="s">
        <v>1302</v>
      </c>
      <c r="F143" s="53">
        <v>5658</v>
      </c>
      <c r="G143">
        <v>6322</v>
      </c>
      <c r="H143">
        <v>6056</v>
      </c>
      <c r="I143">
        <v>7946</v>
      </c>
      <c r="J143" s="1" t="s">
        <v>1344</v>
      </c>
    </row>
    <row r="144" spans="1:10" ht="15">
      <c r="A144" s="1" t="s">
        <v>1089</v>
      </c>
      <c r="B144">
        <v>11</v>
      </c>
      <c r="C144">
        <v>6310</v>
      </c>
      <c r="D144" s="337" t="s">
        <v>1302</v>
      </c>
      <c r="E144" s="1" t="s">
        <v>1302</v>
      </c>
      <c r="F144" s="53">
        <v>53027</v>
      </c>
      <c r="G144">
        <v>53206</v>
      </c>
      <c r="H144">
        <v>51282</v>
      </c>
      <c r="I144">
        <v>57168</v>
      </c>
      <c r="J144" s="1" t="s">
        <v>1344</v>
      </c>
    </row>
    <row r="145" spans="1:10" ht="15">
      <c r="A145" s="1" t="s">
        <v>1068</v>
      </c>
      <c r="B145">
        <v>19</v>
      </c>
      <c r="C145">
        <v>6440</v>
      </c>
      <c r="D145" s="337" t="s">
        <v>1302</v>
      </c>
      <c r="E145" s="1" t="s">
        <v>1302</v>
      </c>
      <c r="F145" s="53">
        <v>10797</v>
      </c>
      <c r="G145">
        <v>11236</v>
      </c>
      <c r="H145">
        <v>10949</v>
      </c>
      <c r="I145">
        <v>11729</v>
      </c>
      <c r="J145" s="1" t="s">
        <v>1344</v>
      </c>
    </row>
    <row r="146" spans="1:10" ht="15">
      <c r="A146" s="1" t="s">
        <v>1090</v>
      </c>
      <c r="C146">
        <v>6400</v>
      </c>
      <c r="D146" s="337" t="s">
        <v>1302</v>
      </c>
      <c r="E146" s="1" t="s">
        <v>1302</v>
      </c>
      <c r="F146" s="53"/>
      <c r="G146">
        <v>1784</v>
      </c>
      <c r="H146">
        <v>8613</v>
      </c>
      <c r="I146">
        <v>12096</v>
      </c>
      <c r="J146" s="1" t="s">
        <v>1344</v>
      </c>
    </row>
    <row r="147" spans="1:10" ht="15">
      <c r="A147" s="1" t="s">
        <v>1091</v>
      </c>
      <c r="B147">
        <v>14</v>
      </c>
      <c r="C147">
        <v>6440</v>
      </c>
      <c r="D147" s="337" t="s">
        <v>1302</v>
      </c>
      <c r="E147" s="1" t="s">
        <v>1302</v>
      </c>
      <c r="F147" s="53">
        <v>9234</v>
      </c>
      <c r="G147">
        <v>8863</v>
      </c>
      <c r="H147">
        <v>9793</v>
      </c>
      <c r="I147">
        <v>9945</v>
      </c>
      <c r="J147" s="1" t="s">
        <v>1344</v>
      </c>
    </row>
    <row r="148" spans="1:10" ht="15">
      <c r="A148" s="1" t="s">
        <v>713</v>
      </c>
      <c r="B148">
        <v>34</v>
      </c>
      <c r="C148">
        <v>6470</v>
      </c>
      <c r="D148" s="337" t="s">
        <v>1302</v>
      </c>
      <c r="E148" s="1" t="s">
        <v>1302</v>
      </c>
      <c r="F148" s="53">
        <v>21995</v>
      </c>
      <c r="G148">
        <v>20622</v>
      </c>
      <c r="H148">
        <v>21037</v>
      </c>
      <c r="I148">
        <v>22696</v>
      </c>
      <c r="J148" s="1" t="s">
        <v>1344</v>
      </c>
    </row>
    <row r="149" spans="1:10" s="16" customFormat="1" ht="15">
      <c r="A149" s="17" t="s">
        <v>708</v>
      </c>
      <c r="C149" s="16">
        <v>6470</v>
      </c>
      <c r="D149" s="338" t="s">
        <v>1302</v>
      </c>
      <c r="E149" s="17" t="s">
        <v>1302</v>
      </c>
      <c r="F149" s="53">
        <v>2919</v>
      </c>
      <c r="G149" s="16">
        <v>2784</v>
      </c>
      <c r="H149" s="16">
        <v>2784</v>
      </c>
      <c r="I149" s="16">
        <v>2784</v>
      </c>
      <c r="J149" s="17" t="s">
        <v>1344</v>
      </c>
    </row>
    <row r="150" spans="1:10" s="16" customFormat="1" ht="15">
      <c r="A150" s="17" t="s">
        <v>717</v>
      </c>
      <c r="B150" s="16">
        <v>9</v>
      </c>
      <c r="C150" s="16">
        <v>6310</v>
      </c>
      <c r="D150" s="338" t="s">
        <v>1302</v>
      </c>
      <c r="E150" s="17" t="s">
        <v>1302</v>
      </c>
      <c r="F150" s="53">
        <v>3230</v>
      </c>
      <c r="G150" s="16">
        <v>2941</v>
      </c>
      <c r="H150" s="16">
        <v>2941</v>
      </c>
      <c r="I150" s="16">
        <v>2941</v>
      </c>
      <c r="J150" s="17" t="s">
        <v>1344</v>
      </c>
    </row>
    <row r="151" spans="1:10" s="16" customFormat="1" ht="15">
      <c r="A151" s="17" t="s">
        <v>718</v>
      </c>
      <c r="C151" s="16">
        <v>6400</v>
      </c>
      <c r="D151" s="338" t="s">
        <v>1302</v>
      </c>
      <c r="E151" s="17" t="s">
        <v>1302</v>
      </c>
      <c r="F151" s="53">
        <v>28226</v>
      </c>
      <c r="G151" s="16">
        <v>30630</v>
      </c>
      <c r="H151" s="16">
        <v>30630</v>
      </c>
      <c r="I151" s="16">
        <v>30630</v>
      </c>
      <c r="J151" s="17" t="s">
        <v>1344</v>
      </c>
    </row>
    <row r="152" spans="1:10" ht="15">
      <c r="A152" s="1" t="s">
        <v>719</v>
      </c>
      <c r="B152">
        <v>0</v>
      </c>
      <c r="C152">
        <v>6400</v>
      </c>
      <c r="D152" s="337" t="s">
        <v>1302</v>
      </c>
      <c r="E152" s="1" t="s">
        <v>1302</v>
      </c>
      <c r="F152" s="53">
        <v>4766</v>
      </c>
      <c r="G152">
        <v>5727</v>
      </c>
      <c r="H152">
        <v>5041</v>
      </c>
      <c r="I152">
        <v>5993</v>
      </c>
      <c r="J152" s="1" t="s">
        <v>1344</v>
      </c>
    </row>
    <row r="153" spans="1:10" ht="15">
      <c r="A153" s="1" t="s">
        <v>1292</v>
      </c>
      <c r="B153">
        <v>21</v>
      </c>
      <c r="C153">
        <v>6430</v>
      </c>
      <c r="D153" s="337" t="s">
        <v>1302</v>
      </c>
      <c r="E153" s="1" t="s">
        <v>1302</v>
      </c>
      <c r="F153" s="53">
        <v>7214</v>
      </c>
      <c r="G153">
        <v>7155</v>
      </c>
      <c r="H153">
        <v>7627</v>
      </c>
      <c r="I153">
        <v>6951</v>
      </c>
      <c r="J153" s="1" t="s">
        <v>1344</v>
      </c>
    </row>
    <row r="154" spans="1:10" ht="15">
      <c r="A154" s="1" t="s">
        <v>720</v>
      </c>
      <c r="C154">
        <v>6320</v>
      </c>
      <c r="D154" s="337" t="s">
        <v>1302</v>
      </c>
      <c r="E154" s="1" t="s">
        <v>1302</v>
      </c>
      <c r="F154" s="53">
        <v>3285</v>
      </c>
      <c r="G154">
        <v>3696</v>
      </c>
      <c r="H154">
        <v>3404</v>
      </c>
      <c r="I154">
        <v>3255</v>
      </c>
      <c r="J154" s="1" t="s">
        <v>1344</v>
      </c>
    </row>
    <row r="155" spans="1:10" ht="15">
      <c r="A155" s="1" t="s">
        <v>1437</v>
      </c>
      <c r="B155">
        <v>0</v>
      </c>
      <c r="C155">
        <v>6320</v>
      </c>
      <c r="D155" s="337" t="s">
        <v>1302</v>
      </c>
      <c r="E155" s="1" t="s">
        <v>1302</v>
      </c>
      <c r="F155" s="53">
        <v>18979</v>
      </c>
      <c r="G155">
        <v>19109</v>
      </c>
      <c r="H155">
        <v>18156</v>
      </c>
      <c r="I155">
        <v>21575</v>
      </c>
      <c r="J155" s="1" t="s">
        <v>1344</v>
      </c>
    </row>
    <row r="156" spans="1:10" ht="15">
      <c r="A156" s="1" t="s">
        <v>1071</v>
      </c>
      <c r="B156">
        <v>87</v>
      </c>
      <c r="C156">
        <v>6440</v>
      </c>
      <c r="D156" s="337" t="s">
        <v>1302</v>
      </c>
      <c r="E156" s="1" t="s">
        <v>1302</v>
      </c>
      <c r="F156" s="53">
        <v>14038</v>
      </c>
      <c r="G156">
        <v>13978</v>
      </c>
      <c r="H156">
        <v>14969</v>
      </c>
      <c r="I156">
        <v>14389</v>
      </c>
      <c r="J156" s="1" t="s">
        <v>1344</v>
      </c>
    </row>
    <row r="157" spans="1:10" ht="15">
      <c r="A157" s="1" t="s">
        <v>721</v>
      </c>
      <c r="C157">
        <v>6440</v>
      </c>
      <c r="D157" s="337" t="s">
        <v>1142</v>
      </c>
      <c r="E157" s="1" t="s">
        <v>1142</v>
      </c>
      <c r="F157" s="53">
        <v>400</v>
      </c>
      <c r="G157">
        <v>289</v>
      </c>
      <c r="H157">
        <v>113</v>
      </c>
      <c r="I157">
        <v>203</v>
      </c>
      <c r="J157" s="1" t="s">
        <v>1152</v>
      </c>
    </row>
    <row r="158" spans="1:10" ht="15">
      <c r="A158" s="1" t="s">
        <v>723</v>
      </c>
      <c r="C158">
        <v>6430</v>
      </c>
      <c r="D158" s="337" t="s">
        <v>1302</v>
      </c>
      <c r="E158" s="1" t="s">
        <v>1302</v>
      </c>
      <c r="F158" s="53">
        <v>6046</v>
      </c>
      <c r="G158">
        <v>4932</v>
      </c>
      <c r="H158">
        <v>5738</v>
      </c>
      <c r="I158">
        <v>5119</v>
      </c>
      <c r="J158" s="1" t="s">
        <v>1344</v>
      </c>
    </row>
    <row r="159" spans="1:10" ht="15">
      <c r="A159" s="1" t="s">
        <v>1275</v>
      </c>
      <c r="B159">
        <v>6</v>
      </c>
      <c r="C159">
        <v>6400</v>
      </c>
      <c r="D159" s="337" t="s">
        <v>1302</v>
      </c>
      <c r="E159" s="1" t="s">
        <v>1302</v>
      </c>
      <c r="F159" s="53">
        <v>6565</v>
      </c>
      <c r="G159">
        <v>7283</v>
      </c>
      <c r="H159">
        <v>7511</v>
      </c>
      <c r="I159">
        <v>7614</v>
      </c>
      <c r="J159" s="1" t="s">
        <v>1344</v>
      </c>
    </row>
    <row r="160" spans="1:10" ht="15">
      <c r="A160" s="1" t="s">
        <v>724</v>
      </c>
      <c r="B160">
        <v>0</v>
      </c>
      <c r="C160">
        <v>6440</v>
      </c>
      <c r="D160" s="337" t="s">
        <v>1302</v>
      </c>
      <c r="E160" s="1" t="s">
        <v>1302</v>
      </c>
      <c r="F160" s="53">
        <v>331</v>
      </c>
      <c r="G160">
        <v>328</v>
      </c>
      <c r="H160">
        <v>351</v>
      </c>
      <c r="I160">
        <v>331</v>
      </c>
      <c r="J160" s="1" t="s">
        <v>1344</v>
      </c>
    </row>
    <row r="161" spans="1:10" ht="15">
      <c r="A161" s="1" t="s">
        <v>699</v>
      </c>
      <c r="B161">
        <v>4</v>
      </c>
      <c r="C161">
        <v>6400</v>
      </c>
      <c r="D161" s="337" t="s">
        <v>1302</v>
      </c>
      <c r="E161" s="1" t="s">
        <v>1302</v>
      </c>
      <c r="F161" s="53">
        <v>15176</v>
      </c>
      <c r="G161">
        <v>15701</v>
      </c>
      <c r="H161">
        <v>16448</v>
      </c>
      <c r="I161">
        <v>16282</v>
      </c>
      <c r="J161" s="1" t="s">
        <v>1344</v>
      </c>
    </row>
    <row r="162" spans="1:10" ht="15">
      <c r="A162" s="1" t="s">
        <v>725</v>
      </c>
      <c r="B162">
        <v>8</v>
      </c>
      <c r="C162">
        <v>6300</v>
      </c>
      <c r="D162" s="337" t="s">
        <v>1302</v>
      </c>
      <c r="E162" s="1" t="s">
        <v>1302</v>
      </c>
      <c r="F162" s="53">
        <v>1578</v>
      </c>
      <c r="G162">
        <v>1389</v>
      </c>
      <c r="H162">
        <v>1279</v>
      </c>
      <c r="I162">
        <v>1402</v>
      </c>
      <c r="J162" s="1" t="s">
        <v>1344</v>
      </c>
    </row>
    <row r="163" spans="1:10" ht="15">
      <c r="A163" s="1" t="s">
        <v>726</v>
      </c>
      <c r="C163">
        <v>6300</v>
      </c>
      <c r="D163" s="337" t="s">
        <v>1302</v>
      </c>
      <c r="E163" s="1" t="s">
        <v>1302</v>
      </c>
      <c r="F163" s="53">
        <v>1227</v>
      </c>
      <c r="G163">
        <v>1198</v>
      </c>
      <c r="H163">
        <v>1059</v>
      </c>
      <c r="I163">
        <v>1272</v>
      </c>
      <c r="J163" s="1" t="s">
        <v>1344</v>
      </c>
    </row>
    <row r="164" spans="1:10" ht="15">
      <c r="A164" s="1" t="s">
        <v>731</v>
      </c>
      <c r="C164">
        <v>6320</v>
      </c>
      <c r="D164" s="337" t="s">
        <v>1302</v>
      </c>
      <c r="E164" s="1" t="s">
        <v>1302</v>
      </c>
      <c r="F164" s="53">
        <v>718</v>
      </c>
      <c r="G164">
        <v>618</v>
      </c>
      <c r="H164">
        <v>546</v>
      </c>
      <c r="I164">
        <v>552</v>
      </c>
      <c r="J164" s="1" t="s">
        <v>1344</v>
      </c>
    </row>
    <row r="165" spans="1:10" ht="15">
      <c r="A165" s="1" t="s">
        <v>1088</v>
      </c>
      <c r="C165">
        <v>6470</v>
      </c>
      <c r="D165" s="337" t="s">
        <v>1302</v>
      </c>
      <c r="E165" s="1" t="s">
        <v>1302</v>
      </c>
      <c r="F165" s="53">
        <v>14982</v>
      </c>
      <c r="G165">
        <v>14904</v>
      </c>
      <c r="H165">
        <v>14279</v>
      </c>
      <c r="I165">
        <v>13897</v>
      </c>
      <c r="J165" s="1" t="s">
        <v>1344</v>
      </c>
    </row>
    <row r="166" spans="1:10" ht="15">
      <c r="A166" s="1" t="s">
        <v>732</v>
      </c>
      <c r="C166">
        <v>6430</v>
      </c>
      <c r="D166" s="337" t="s">
        <v>1302</v>
      </c>
      <c r="E166" s="1" t="s">
        <v>1302</v>
      </c>
      <c r="F166" s="53">
        <v>5035</v>
      </c>
      <c r="G166">
        <v>5226</v>
      </c>
      <c r="H166">
        <v>4833</v>
      </c>
      <c r="I166">
        <v>5017</v>
      </c>
      <c r="J166" s="1" t="s">
        <v>1344</v>
      </c>
    </row>
    <row r="167" spans="1:10" ht="15">
      <c r="A167" s="1" t="s">
        <v>733</v>
      </c>
      <c r="B167">
        <v>48</v>
      </c>
      <c r="C167">
        <v>6320</v>
      </c>
      <c r="D167" s="337" t="s">
        <v>1302</v>
      </c>
      <c r="E167" s="1" t="s">
        <v>1302</v>
      </c>
      <c r="F167" s="53">
        <v>27320</v>
      </c>
      <c r="G167">
        <v>24876</v>
      </c>
      <c r="H167">
        <v>23143</v>
      </c>
      <c r="I167">
        <v>26419</v>
      </c>
      <c r="J167" s="1" t="s">
        <v>1344</v>
      </c>
    </row>
    <row r="168" spans="1:10" ht="15">
      <c r="A168" s="1" t="s">
        <v>734</v>
      </c>
      <c r="B168">
        <v>0</v>
      </c>
      <c r="C168">
        <v>6400</v>
      </c>
      <c r="D168" s="337" t="s">
        <v>1302</v>
      </c>
      <c r="E168" s="1" t="s">
        <v>1302</v>
      </c>
      <c r="F168" s="53">
        <v>24749</v>
      </c>
      <c r="G168">
        <v>23685</v>
      </c>
      <c r="H168">
        <v>23049</v>
      </c>
      <c r="I168">
        <v>24147</v>
      </c>
      <c r="J168" s="1" t="s">
        <v>1344</v>
      </c>
    </row>
    <row r="169" spans="1:10" ht="15">
      <c r="A169" s="1" t="s">
        <v>736</v>
      </c>
      <c r="B169">
        <v>99</v>
      </c>
      <c r="C169">
        <v>6300</v>
      </c>
      <c r="D169" s="337" t="s">
        <v>1302</v>
      </c>
      <c r="E169" s="1" t="s">
        <v>1302</v>
      </c>
      <c r="F169" s="53">
        <v>28506</v>
      </c>
      <c r="G169">
        <v>30271</v>
      </c>
      <c r="H169">
        <v>33176</v>
      </c>
      <c r="I169">
        <v>29586</v>
      </c>
      <c r="J169" s="1" t="s">
        <v>1344</v>
      </c>
    </row>
    <row r="170" spans="1:10" ht="15">
      <c r="A170" s="1" t="s">
        <v>738</v>
      </c>
      <c r="C170">
        <v>6430</v>
      </c>
      <c r="D170" s="337" t="s">
        <v>1302</v>
      </c>
      <c r="E170" s="1" t="s">
        <v>1302</v>
      </c>
      <c r="F170" s="53">
        <v>47702</v>
      </c>
      <c r="G170">
        <v>52090</v>
      </c>
      <c r="H170">
        <v>48565</v>
      </c>
      <c r="I170">
        <v>32192</v>
      </c>
      <c r="J170" s="1" t="s">
        <v>1344</v>
      </c>
    </row>
    <row r="171" spans="1:10" ht="15">
      <c r="A171" s="1" t="s">
        <v>739</v>
      </c>
      <c r="B171">
        <v>0</v>
      </c>
      <c r="C171">
        <v>6400</v>
      </c>
      <c r="D171" s="337" t="s">
        <v>1302</v>
      </c>
      <c r="E171" s="1" t="s">
        <v>1302</v>
      </c>
      <c r="F171" s="53">
        <v>33434</v>
      </c>
      <c r="G171">
        <v>34066</v>
      </c>
      <c r="H171">
        <v>30170</v>
      </c>
      <c r="I171">
        <v>35309</v>
      </c>
      <c r="J171" s="1" t="s">
        <v>1344</v>
      </c>
    </row>
    <row r="172" spans="1:10" ht="15">
      <c r="A172" s="1" t="s">
        <v>741</v>
      </c>
      <c r="C172">
        <v>6310</v>
      </c>
      <c r="D172" s="337" t="s">
        <v>1302</v>
      </c>
      <c r="E172" s="1" t="s">
        <v>1302</v>
      </c>
      <c r="F172" s="53">
        <v>39207</v>
      </c>
      <c r="G172">
        <v>38149</v>
      </c>
      <c r="H172">
        <v>35190</v>
      </c>
      <c r="I172">
        <v>38065</v>
      </c>
      <c r="J172" s="1" t="s">
        <v>1344</v>
      </c>
    </row>
    <row r="173" spans="1:10" ht="26.25">
      <c r="A173" s="1" t="s">
        <v>743</v>
      </c>
      <c r="B173">
        <v>3</v>
      </c>
      <c r="C173">
        <v>6300</v>
      </c>
      <c r="D173" s="337" t="s">
        <v>1143</v>
      </c>
      <c r="E173" s="1" t="s">
        <v>1143</v>
      </c>
      <c r="F173" s="53">
        <v>5677</v>
      </c>
      <c r="G173">
        <v>2728</v>
      </c>
      <c r="H173">
        <v>3470</v>
      </c>
      <c r="I173">
        <v>3321</v>
      </c>
      <c r="J173" s="1" t="s">
        <v>1152</v>
      </c>
    </row>
    <row r="174" spans="1:10" ht="15">
      <c r="A174" s="1" t="s">
        <v>744</v>
      </c>
      <c r="B174">
        <v>0</v>
      </c>
      <c r="C174">
        <v>6400</v>
      </c>
      <c r="D174" s="337" t="s">
        <v>1302</v>
      </c>
      <c r="E174" s="1" t="s">
        <v>1302</v>
      </c>
      <c r="F174" s="53">
        <v>11572</v>
      </c>
      <c r="G174">
        <v>12172</v>
      </c>
      <c r="H174">
        <v>10819</v>
      </c>
      <c r="I174">
        <v>12124</v>
      </c>
      <c r="J174" s="1" t="s">
        <v>1344</v>
      </c>
    </row>
    <row r="175" spans="1:10" ht="15">
      <c r="A175" s="1" t="s">
        <v>1426</v>
      </c>
      <c r="C175">
        <v>6400</v>
      </c>
      <c r="D175" s="337" t="s">
        <v>1144</v>
      </c>
      <c r="E175" s="1" t="s">
        <v>1302</v>
      </c>
      <c r="F175" s="53">
        <v>29176</v>
      </c>
      <c r="G175">
        <v>29093</v>
      </c>
      <c r="H175">
        <v>27489</v>
      </c>
      <c r="I175">
        <v>29823</v>
      </c>
      <c r="J175" s="1" t="s">
        <v>1344</v>
      </c>
    </row>
    <row r="176" spans="1:10" ht="15">
      <c r="A176" s="1" t="s">
        <v>745</v>
      </c>
      <c r="B176">
        <v>0</v>
      </c>
      <c r="C176">
        <v>6400</v>
      </c>
      <c r="D176" s="337" t="s">
        <v>1302</v>
      </c>
      <c r="E176" s="1" t="s">
        <v>1302</v>
      </c>
      <c r="F176" s="53">
        <v>10184</v>
      </c>
      <c r="G176">
        <v>10516</v>
      </c>
      <c r="H176">
        <v>9948</v>
      </c>
      <c r="I176">
        <v>8925</v>
      </c>
      <c r="J176" s="1" t="s">
        <v>1344</v>
      </c>
    </row>
    <row r="177" spans="1:10" ht="15">
      <c r="A177" s="1" t="s">
        <v>1288</v>
      </c>
      <c r="C177">
        <v>6430</v>
      </c>
      <c r="D177" s="337" t="s">
        <v>1302</v>
      </c>
      <c r="E177" s="1" t="s">
        <v>155</v>
      </c>
      <c r="F177" s="53">
        <v>2794</v>
      </c>
      <c r="G177">
        <v>2493</v>
      </c>
      <c r="H177">
        <v>2963</v>
      </c>
      <c r="I177">
        <v>2470</v>
      </c>
      <c r="J177" s="1" t="s">
        <v>1344</v>
      </c>
    </row>
    <row r="178" spans="1:10" ht="15">
      <c r="A178" s="1" t="s">
        <v>747</v>
      </c>
      <c r="C178">
        <v>6310</v>
      </c>
      <c r="D178" s="337" t="s">
        <v>1145</v>
      </c>
      <c r="E178" s="1" t="s">
        <v>1302</v>
      </c>
      <c r="F178" s="53">
        <v>13518</v>
      </c>
      <c r="G178">
        <v>13775</v>
      </c>
      <c r="H178">
        <v>13018</v>
      </c>
      <c r="I178">
        <v>14156</v>
      </c>
      <c r="J178" s="1" t="s">
        <v>1344</v>
      </c>
    </row>
    <row r="179" spans="1:10" ht="15">
      <c r="A179" s="1" t="s">
        <v>748</v>
      </c>
      <c r="C179">
        <v>6470</v>
      </c>
      <c r="D179" s="337" t="s">
        <v>1146</v>
      </c>
      <c r="E179" s="1" t="s">
        <v>1302</v>
      </c>
      <c r="F179" s="53">
        <v>27201</v>
      </c>
      <c r="G179">
        <v>26886</v>
      </c>
      <c r="H179">
        <v>26620</v>
      </c>
      <c r="I179">
        <v>19316</v>
      </c>
      <c r="J179" s="1" t="s">
        <v>1344</v>
      </c>
    </row>
    <row r="180" spans="1:10" ht="15">
      <c r="A180" s="1" t="s">
        <v>749</v>
      </c>
      <c r="C180">
        <v>6470</v>
      </c>
      <c r="D180" s="337" t="s">
        <v>1302</v>
      </c>
      <c r="E180" s="1" t="s">
        <v>1302</v>
      </c>
      <c r="F180" s="53">
        <v>2319</v>
      </c>
      <c r="G180">
        <v>2566</v>
      </c>
      <c r="H180">
        <v>2297</v>
      </c>
      <c r="I180">
        <v>1171</v>
      </c>
      <c r="J180" s="1" t="s">
        <v>1344</v>
      </c>
    </row>
    <row r="181" spans="1:10" ht="15">
      <c r="A181" s="1" t="s">
        <v>1432</v>
      </c>
      <c r="C181">
        <v>6400</v>
      </c>
      <c r="D181" s="337" t="s">
        <v>1302</v>
      </c>
      <c r="E181" s="1" t="s">
        <v>1302</v>
      </c>
      <c r="F181" s="53"/>
      <c r="G181">
        <v>0</v>
      </c>
      <c r="H181">
        <v>1</v>
      </c>
      <c r="I181">
        <v>-2</v>
      </c>
      <c r="J181" s="1" t="s">
        <v>1344</v>
      </c>
    </row>
    <row r="182" spans="1:10" ht="15">
      <c r="A182" s="1" t="s">
        <v>716</v>
      </c>
      <c r="C182">
        <v>6470</v>
      </c>
      <c r="D182" s="337" t="s">
        <v>1302</v>
      </c>
      <c r="E182" s="1" t="s">
        <v>1302</v>
      </c>
      <c r="F182" s="53">
        <v>15552</v>
      </c>
      <c r="G182">
        <v>14868</v>
      </c>
      <c r="H182">
        <v>14597</v>
      </c>
      <c r="I182">
        <v>10072</v>
      </c>
      <c r="J182" s="1" t="s">
        <v>1344</v>
      </c>
    </row>
    <row r="183" spans="1:10" ht="15">
      <c r="A183" s="1" t="s">
        <v>748</v>
      </c>
      <c r="B183">
        <v>21</v>
      </c>
      <c r="C183">
        <v>6470</v>
      </c>
      <c r="D183" s="337" t="s">
        <v>1147</v>
      </c>
      <c r="E183" s="1" t="s">
        <v>1302</v>
      </c>
      <c r="F183" s="53">
        <v>17658</v>
      </c>
      <c r="G183">
        <v>17119</v>
      </c>
      <c r="H183">
        <v>16344</v>
      </c>
      <c r="I183">
        <v>11207</v>
      </c>
      <c r="J183" s="1" t="s">
        <v>1344</v>
      </c>
    </row>
    <row r="184" spans="1:10" ht="15">
      <c r="A184" s="1" t="s">
        <v>751</v>
      </c>
      <c r="B184">
        <v>0</v>
      </c>
      <c r="C184">
        <v>6440</v>
      </c>
      <c r="D184" s="337" t="s">
        <v>1302</v>
      </c>
      <c r="E184" s="1" t="s">
        <v>1302</v>
      </c>
      <c r="F184" s="53">
        <v>11087</v>
      </c>
      <c r="G184">
        <v>11537</v>
      </c>
      <c r="H184">
        <v>12573</v>
      </c>
      <c r="I184">
        <v>12171</v>
      </c>
      <c r="J184" s="1" t="s">
        <v>1344</v>
      </c>
    </row>
    <row r="185" spans="1:10" s="16" customFormat="1" ht="15">
      <c r="A185" s="17" t="s">
        <v>752</v>
      </c>
      <c r="B185" s="16">
        <v>6</v>
      </c>
      <c r="C185" s="16">
        <v>6400</v>
      </c>
      <c r="D185" s="338" t="s">
        <v>1302</v>
      </c>
      <c r="E185" s="17" t="s">
        <v>1302</v>
      </c>
      <c r="F185" s="53">
        <v>17455</v>
      </c>
      <c r="G185" s="16">
        <v>18020</v>
      </c>
      <c r="H185" s="16">
        <v>18020</v>
      </c>
      <c r="I185" s="16">
        <v>18020</v>
      </c>
      <c r="J185" s="17" t="s">
        <v>1344</v>
      </c>
    </row>
    <row r="186" spans="1:10" ht="15">
      <c r="A186" s="1" t="s">
        <v>698</v>
      </c>
      <c r="B186">
        <v>2</v>
      </c>
      <c r="C186">
        <v>6440</v>
      </c>
      <c r="D186" s="337" t="s">
        <v>1302</v>
      </c>
      <c r="E186" s="1" t="s">
        <v>1302</v>
      </c>
      <c r="F186" s="53">
        <v>14609</v>
      </c>
      <c r="G186">
        <v>16219</v>
      </c>
      <c r="H186">
        <v>17757</v>
      </c>
      <c r="I186">
        <v>17321</v>
      </c>
      <c r="J186" s="1" t="s">
        <v>1344</v>
      </c>
    </row>
    <row r="187" spans="1:10" ht="15">
      <c r="A187" s="1" t="s">
        <v>757</v>
      </c>
      <c r="C187">
        <v>6430</v>
      </c>
      <c r="D187" s="337" t="s">
        <v>1302</v>
      </c>
      <c r="E187" s="1" t="s">
        <v>1302</v>
      </c>
      <c r="F187" s="53">
        <v>4291</v>
      </c>
      <c r="G187">
        <v>4475</v>
      </c>
      <c r="H187">
        <v>4079</v>
      </c>
      <c r="I187">
        <v>4328</v>
      </c>
      <c r="J187" s="1" t="s">
        <v>1344</v>
      </c>
    </row>
    <row r="188" spans="1:10" ht="15">
      <c r="A188" s="1" t="s">
        <v>1297</v>
      </c>
      <c r="B188">
        <v>91</v>
      </c>
      <c r="C188">
        <v>6440</v>
      </c>
      <c r="D188" s="337" t="s">
        <v>1302</v>
      </c>
      <c r="E188" s="1" t="s">
        <v>1302</v>
      </c>
      <c r="F188" s="53">
        <v>22539</v>
      </c>
      <c r="G188">
        <v>22190</v>
      </c>
      <c r="H188">
        <v>24059</v>
      </c>
      <c r="I188">
        <v>22631</v>
      </c>
      <c r="J188" s="1" t="s">
        <v>1344</v>
      </c>
    </row>
    <row r="189" spans="1:10" ht="15">
      <c r="A189" s="1" t="s">
        <v>452</v>
      </c>
      <c r="C189">
        <v>6400</v>
      </c>
      <c r="D189" s="337" t="s">
        <v>1302</v>
      </c>
      <c r="E189" s="1" t="s">
        <v>1302</v>
      </c>
      <c r="F189" s="53">
        <v>8964</v>
      </c>
      <c r="G189">
        <v>9295</v>
      </c>
      <c r="H189">
        <v>7875</v>
      </c>
      <c r="I189">
        <v>10347</v>
      </c>
      <c r="J189" s="1" t="s">
        <v>1344</v>
      </c>
    </row>
    <row r="190" spans="1:10" ht="15">
      <c r="A190" s="1" t="s">
        <v>1432</v>
      </c>
      <c r="C190">
        <v>6400</v>
      </c>
      <c r="D190" s="337" t="s">
        <v>1302</v>
      </c>
      <c r="E190" s="1" t="s">
        <v>1302</v>
      </c>
      <c r="F190" s="53">
        <v>4358</v>
      </c>
      <c r="G190">
        <v>4976</v>
      </c>
      <c r="H190">
        <v>4747</v>
      </c>
      <c r="I190">
        <v>4768</v>
      </c>
      <c r="J190" s="1" t="s">
        <v>1344</v>
      </c>
    </row>
    <row r="191" spans="1:10" ht="15">
      <c r="A191" s="1" t="s">
        <v>1070</v>
      </c>
      <c r="C191">
        <v>6430</v>
      </c>
      <c r="D191" s="337" t="s">
        <v>1302</v>
      </c>
      <c r="E191" s="1" t="s">
        <v>1302</v>
      </c>
      <c r="F191" s="53">
        <v>14947</v>
      </c>
      <c r="G191">
        <v>14308</v>
      </c>
      <c r="H191">
        <v>13617</v>
      </c>
      <c r="I191">
        <v>14687</v>
      </c>
      <c r="J191" s="1" t="s">
        <v>1344</v>
      </c>
    </row>
    <row r="192" spans="1:10" ht="15">
      <c r="A192" s="1" t="s">
        <v>453</v>
      </c>
      <c r="B192">
        <v>9</v>
      </c>
      <c r="C192">
        <v>6440</v>
      </c>
      <c r="D192" s="337" t="s">
        <v>1302</v>
      </c>
      <c r="E192" s="1" t="s">
        <v>1302</v>
      </c>
      <c r="F192" s="53">
        <v>15142</v>
      </c>
      <c r="G192">
        <v>15349</v>
      </c>
      <c r="H192">
        <v>17347</v>
      </c>
      <c r="I192">
        <v>14826</v>
      </c>
      <c r="J192" s="1" t="s">
        <v>1344</v>
      </c>
    </row>
    <row r="193" spans="1:10" ht="26.25">
      <c r="A193" s="1" t="s">
        <v>454</v>
      </c>
      <c r="C193">
        <v>6430</v>
      </c>
      <c r="D193" s="337" t="s">
        <v>1148</v>
      </c>
      <c r="E193" s="1" t="s">
        <v>1148</v>
      </c>
      <c r="F193" s="53">
        <v>299</v>
      </c>
      <c r="G193">
        <v>979</v>
      </c>
      <c r="H193">
        <v>928</v>
      </c>
      <c r="I193">
        <v>275</v>
      </c>
      <c r="J193" s="1" t="s">
        <v>1152</v>
      </c>
    </row>
    <row r="194" spans="1:10" ht="15">
      <c r="A194" s="1" t="s">
        <v>1086</v>
      </c>
      <c r="B194">
        <v>0</v>
      </c>
      <c r="C194">
        <v>6400</v>
      </c>
      <c r="D194" s="337" t="s">
        <v>1302</v>
      </c>
      <c r="E194" s="1" t="s">
        <v>1302</v>
      </c>
      <c r="F194" s="53">
        <v>8339</v>
      </c>
      <c r="G194">
        <v>8464</v>
      </c>
      <c r="H194">
        <v>8916</v>
      </c>
      <c r="I194">
        <v>8327</v>
      </c>
      <c r="J194" s="1" t="s">
        <v>1344</v>
      </c>
    </row>
    <row r="195" spans="1:10" ht="15">
      <c r="A195" s="1" t="s">
        <v>1085</v>
      </c>
      <c r="B195">
        <v>7</v>
      </c>
      <c r="C195">
        <v>6470</v>
      </c>
      <c r="D195" s="337" t="s">
        <v>1302</v>
      </c>
      <c r="E195" s="1" t="s">
        <v>1149</v>
      </c>
      <c r="F195" s="53">
        <v>7117</v>
      </c>
      <c r="G195">
        <v>7962</v>
      </c>
      <c r="H195">
        <v>7608</v>
      </c>
      <c r="I195">
        <v>5080</v>
      </c>
      <c r="J195" s="1" t="s">
        <v>1344</v>
      </c>
    </row>
    <row r="196" spans="1:10" ht="15">
      <c r="A196" s="1" t="s">
        <v>457</v>
      </c>
      <c r="C196">
        <v>6430</v>
      </c>
      <c r="D196" s="337" t="s">
        <v>1302</v>
      </c>
      <c r="E196" s="1" t="s">
        <v>1302</v>
      </c>
      <c r="F196" s="53">
        <v>10393</v>
      </c>
      <c r="G196">
        <v>10982</v>
      </c>
      <c r="H196">
        <v>10240</v>
      </c>
      <c r="I196">
        <v>8252</v>
      </c>
      <c r="J196" s="1" t="s">
        <v>1344</v>
      </c>
    </row>
    <row r="197" spans="1:10" ht="15">
      <c r="A197" s="1" t="s">
        <v>798</v>
      </c>
      <c r="C197">
        <v>6300</v>
      </c>
      <c r="D197" s="337" t="s">
        <v>1150</v>
      </c>
      <c r="E197" s="1" t="s">
        <v>1150</v>
      </c>
      <c r="F197" s="53">
        <v>98</v>
      </c>
      <c r="G197">
        <v>99</v>
      </c>
      <c r="H197">
        <v>0</v>
      </c>
      <c r="I197">
        <v>0</v>
      </c>
      <c r="J197" s="1" t="s">
        <v>1152</v>
      </c>
    </row>
    <row r="198" spans="1:10" s="16" customFormat="1" ht="15">
      <c r="A198" s="17" t="s">
        <v>746</v>
      </c>
      <c r="C198" s="16">
        <v>6440</v>
      </c>
      <c r="D198" s="338" t="s">
        <v>1302</v>
      </c>
      <c r="E198" s="17" t="s">
        <v>1302</v>
      </c>
      <c r="F198" s="53">
        <v>3507</v>
      </c>
      <c r="G198" s="16">
        <v>4079</v>
      </c>
      <c r="H198" s="16">
        <v>4079</v>
      </c>
      <c r="I198" s="16">
        <v>4079</v>
      </c>
      <c r="J198" s="17" t="s">
        <v>1344</v>
      </c>
    </row>
    <row r="199" spans="1:10" ht="15">
      <c r="A199" s="1" t="s">
        <v>1039</v>
      </c>
      <c r="B199">
        <v>17</v>
      </c>
      <c r="C199">
        <v>6300</v>
      </c>
      <c r="D199" s="337" t="s">
        <v>1302</v>
      </c>
      <c r="E199" s="1" t="s">
        <v>1302</v>
      </c>
      <c r="F199" s="53">
        <v>6600</v>
      </c>
      <c r="G199">
        <v>6816</v>
      </c>
      <c r="H199">
        <v>6590</v>
      </c>
      <c r="I199">
        <v>6816</v>
      </c>
      <c r="J199" s="1" t="s">
        <v>1344</v>
      </c>
    </row>
    <row r="200" spans="1:10" ht="15">
      <c r="A200" s="1" t="s">
        <v>462</v>
      </c>
      <c r="C200">
        <v>6310</v>
      </c>
      <c r="D200" s="337" t="s">
        <v>1178</v>
      </c>
      <c r="E200" s="1" t="s">
        <v>1302</v>
      </c>
      <c r="F200" s="53">
        <v>15023</v>
      </c>
      <c r="G200">
        <v>14255</v>
      </c>
      <c r="H200">
        <v>13494</v>
      </c>
      <c r="I200">
        <v>14323</v>
      </c>
      <c r="J200" s="1" t="s">
        <v>1344</v>
      </c>
    </row>
    <row r="201" spans="1:10" ht="15">
      <c r="A201" s="1" t="s">
        <v>1069</v>
      </c>
      <c r="B201">
        <v>11</v>
      </c>
      <c r="C201">
        <v>6300</v>
      </c>
      <c r="D201" s="337" t="s">
        <v>1302</v>
      </c>
      <c r="E201" s="1" t="s">
        <v>1302</v>
      </c>
      <c r="F201" s="53">
        <v>8190</v>
      </c>
      <c r="G201">
        <v>8375</v>
      </c>
      <c r="H201">
        <v>7721</v>
      </c>
      <c r="I201">
        <v>7206</v>
      </c>
      <c r="J201" s="1" t="s">
        <v>1344</v>
      </c>
    </row>
    <row r="202" spans="1:10" ht="15">
      <c r="A202" s="1" t="s">
        <v>463</v>
      </c>
      <c r="B202">
        <v>1</v>
      </c>
      <c r="C202">
        <v>6400</v>
      </c>
      <c r="D202" s="337" t="s">
        <v>1302</v>
      </c>
      <c r="E202" s="1" t="s">
        <v>1302</v>
      </c>
      <c r="F202" s="53">
        <v>12542</v>
      </c>
      <c r="G202">
        <v>12707</v>
      </c>
      <c r="H202">
        <v>11705</v>
      </c>
      <c r="I202">
        <v>13827</v>
      </c>
      <c r="J202" s="1" t="s">
        <v>1344</v>
      </c>
    </row>
    <row r="203" spans="1:10" ht="15">
      <c r="A203" s="1" t="s">
        <v>1283</v>
      </c>
      <c r="C203">
        <v>6300</v>
      </c>
      <c r="D203" s="337" t="s">
        <v>1302</v>
      </c>
      <c r="E203" s="1" t="s">
        <v>1302</v>
      </c>
      <c r="F203" s="53">
        <v>7233</v>
      </c>
      <c r="G203">
        <v>7527</v>
      </c>
      <c r="H203">
        <v>7094</v>
      </c>
      <c r="I203">
        <v>7802</v>
      </c>
      <c r="J203" s="1" t="s">
        <v>1344</v>
      </c>
    </row>
    <row r="204" spans="1:10" ht="15">
      <c r="A204" s="1" t="s">
        <v>464</v>
      </c>
      <c r="C204">
        <v>6300</v>
      </c>
      <c r="D204" s="337" t="s">
        <v>1302</v>
      </c>
      <c r="E204" s="1" t="s">
        <v>1302</v>
      </c>
      <c r="F204" s="53">
        <v>1680</v>
      </c>
      <c r="G204">
        <v>1590</v>
      </c>
      <c r="H204">
        <v>1573</v>
      </c>
      <c r="I204">
        <v>1930</v>
      </c>
      <c r="J204" s="1" t="s">
        <v>1344</v>
      </c>
    </row>
    <row r="205" spans="1:10" ht="15">
      <c r="A205" s="1" t="s">
        <v>465</v>
      </c>
      <c r="C205">
        <v>6300</v>
      </c>
      <c r="D205" s="337" t="s">
        <v>1302</v>
      </c>
      <c r="E205" s="1" t="s">
        <v>1302</v>
      </c>
      <c r="F205" s="53">
        <v>17445</v>
      </c>
      <c r="G205">
        <v>18088</v>
      </c>
      <c r="H205">
        <v>17462</v>
      </c>
      <c r="I205">
        <v>7427</v>
      </c>
      <c r="J205" s="1" t="s">
        <v>1344</v>
      </c>
    </row>
    <row r="206" spans="1:10" ht="15">
      <c r="A206" s="1" t="s">
        <v>1427</v>
      </c>
      <c r="B206">
        <v>0</v>
      </c>
      <c r="C206">
        <v>6440</v>
      </c>
      <c r="D206" s="337" t="s">
        <v>1302</v>
      </c>
      <c r="E206" s="1" t="s">
        <v>1302</v>
      </c>
      <c r="F206" s="53">
        <v>43737</v>
      </c>
      <c r="G206">
        <v>42049</v>
      </c>
      <c r="H206">
        <v>45603</v>
      </c>
      <c r="I206">
        <v>41806</v>
      </c>
      <c r="J206" s="1" t="s">
        <v>1344</v>
      </c>
    </row>
    <row r="207" spans="1:10" ht="15">
      <c r="A207" s="1" t="s">
        <v>1040</v>
      </c>
      <c r="B207">
        <v>161</v>
      </c>
      <c r="C207">
        <v>6400</v>
      </c>
      <c r="D207" s="337" t="s">
        <v>1302</v>
      </c>
      <c r="E207" s="1" t="s">
        <v>1302</v>
      </c>
      <c r="F207" s="53">
        <v>301</v>
      </c>
      <c r="G207">
        <v>299</v>
      </c>
      <c r="H207">
        <v>334</v>
      </c>
      <c r="I207">
        <v>293</v>
      </c>
      <c r="J207" s="1" t="s">
        <v>1344</v>
      </c>
    </row>
    <row r="208" spans="1:10" ht="15">
      <c r="A208" s="1" t="s">
        <v>467</v>
      </c>
      <c r="C208">
        <v>6400</v>
      </c>
      <c r="D208" s="337" t="s">
        <v>1302</v>
      </c>
      <c r="E208" s="1" t="s">
        <v>1302</v>
      </c>
      <c r="F208" s="53">
        <v>9858</v>
      </c>
      <c r="G208">
        <v>9924</v>
      </c>
      <c r="H208">
        <v>6557</v>
      </c>
      <c r="I208">
        <v>4786</v>
      </c>
      <c r="J208" s="1" t="s">
        <v>1344</v>
      </c>
    </row>
    <row r="209" spans="1:10" ht="15">
      <c r="A209" s="1" t="s">
        <v>720</v>
      </c>
      <c r="B209">
        <v>23</v>
      </c>
      <c r="C209">
        <v>6400</v>
      </c>
      <c r="D209" s="337" t="s">
        <v>1302</v>
      </c>
      <c r="E209" s="1" t="s">
        <v>1302</v>
      </c>
      <c r="F209" s="53">
        <v>8237</v>
      </c>
      <c r="G209">
        <v>10157</v>
      </c>
      <c r="H209">
        <v>9659</v>
      </c>
      <c r="I209">
        <v>9489</v>
      </c>
      <c r="J209" s="1" t="s">
        <v>1344</v>
      </c>
    </row>
    <row r="210" spans="1:10" ht="15">
      <c r="A210" s="1" t="s">
        <v>750</v>
      </c>
      <c r="C210">
        <v>6400</v>
      </c>
      <c r="D210" s="337" t="s">
        <v>1302</v>
      </c>
      <c r="E210" s="1" t="s">
        <v>1302</v>
      </c>
      <c r="F210" s="53">
        <v>2644</v>
      </c>
      <c r="G210">
        <v>2564</v>
      </c>
      <c r="H210">
        <v>2442</v>
      </c>
      <c r="I210">
        <v>3133</v>
      </c>
      <c r="J210" s="1" t="s">
        <v>1344</v>
      </c>
    </row>
    <row r="211" spans="1:10" ht="26.25">
      <c r="A211" s="1" t="s">
        <v>473</v>
      </c>
      <c r="B211">
        <v>999</v>
      </c>
      <c r="C211">
        <v>6400</v>
      </c>
      <c r="D211" s="337" t="s">
        <v>1179</v>
      </c>
      <c r="E211" s="1" t="s">
        <v>1179</v>
      </c>
      <c r="F211" s="53">
        <v>1164</v>
      </c>
      <c r="G211">
        <v>246</v>
      </c>
      <c r="H211">
        <v>1698</v>
      </c>
      <c r="I211">
        <v>2344</v>
      </c>
      <c r="J211" s="1" t="s">
        <v>1152</v>
      </c>
    </row>
    <row r="212" spans="1:10" ht="15">
      <c r="A212" s="1" t="s">
        <v>1053</v>
      </c>
      <c r="B212">
        <v>7</v>
      </c>
      <c r="C212">
        <v>6400</v>
      </c>
      <c r="D212" s="337" t="s">
        <v>1302</v>
      </c>
      <c r="E212" s="1" t="s">
        <v>1302</v>
      </c>
      <c r="F212" s="53">
        <v>2359</v>
      </c>
      <c r="G212">
        <v>1279</v>
      </c>
      <c r="H212">
        <v>1035</v>
      </c>
      <c r="I212">
        <v>3048</v>
      </c>
      <c r="J212" s="1" t="s">
        <v>1344</v>
      </c>
    </row>
    <row r="213" spans="1:10" ht="15">
      <c r="A213" s="1" t="s">
        <v>1053</v>
      </c>
      <c r="B213">
        <v>49</v>
      </c>
      <c r="C213">
        <v>6400</v>
      </c>
      <c r="D213" s="337" t="s">
        <v>1302</v>
      </c>
      <c r="E213" s="1" t="s">
        <v>1302</v>
      </c>
      <c r="F213" s="53">
        <v>3262</v>
      </c>
      <c r="G213">
        <v>3005</v>
      </c>
      <c r="H213">
        <v>3128</v>
      </c>
      <c r="I213">
        <v>3248</v>
      </c>
      <c r="J213" s="1" t="s">
        <v>1344</v>
      </c>
    </row>
    <row r="214" spans="1:10" ht="26.25">
      <c r="A214" s="1" t="s">
        <v>484</v>
      </c>
      <c r="B214">
        <v>51</v>
      </c>
      <c r="C214">
        <v>6400</v>
      </c>
      <c r="D214" s="337" t="s">
        <v>1180</v>
      </c>
      <c r="E214" s="1" t="s">
        <v>1180</v>
      </c>
      <c r="F214" s="53">
        <v>8699</v>
      </c>
      <c r="G214">
        <v>10700</v>
      </c>
      <c r="H214">
        <v>9453</v>
      </c>
      <c r="I214">
        <v>10193</v>
      </c>
      <c r="J214" s="1" t="s">
        <v>1152</v>
      </c>
    </row>
    <row r="215" spans="1:10" ht="15">
      <c r="A215" s="1" t="s">
        <v>133</v>
      </c>
      <c r="B215">
        <v>62</v>
      </c>
      <c r="C215">
        <v>6400</v>
      </c>
      <c r="D215" s="337" t="s">
        <v>1302</v>
      </c>
      <c r="E215" s="1" t="s">
        <v>684</v>
      </c>
      <c r="F215" s="53">
        <v>30190</v>
      </c>
      <c r="G215">
        <v>30076</v>
      </c>
      <c r="H215">
        <v>30119</v>
      </c>
      <c r="I215">
        <v>30152</v>
      </c>
      <c r="J215" s="1" t="s">
        <v>1344</v>
      </c>
    </row>
    <row r="216" spans="1:10" ht="15">
      <c r="A216" s="1" t="s">
        <v>470</v>
      </c>
      <c r="B216">
        <v>7</v>
      </c>
      <c r="C216">
        <v>6400</v>
      </c>
      <c r="D216" s="337" t="s">
        <v>1302</v>
      </c>
      <c r="E216" s="1" t="s">
        <v>1302</v>
      </c>
      <c r="F216" s="53">
        <v>37444</v>
      </c>
      <c r="G216">
        <v>39278</v>
      </c>
      <c r="H216">
        <v>40017</v>
      </c>
      <c r="I216">
        <v>40624</v>
      </c>
      <c r="J216" s="1" t="s">
        <v>1344</v>
      </c>
    </row>
    <row r="217" spans="1:10" ht="15">
      <c r="A217" s="1" t="s">
        <v>486</v>
      </c>
      <c r="B217">
        <v>18</v>
      </c>
      <c r="C217">
        <v>6400</v>
      </c>
      <c r="D217" s="337" t="s">
        <v>1302</v>
      </c>
      <c r="E217" s="1" t="s">
        <v>1302</v>
      </c>
      <c r="F217" s="53">
        <v>9658</v>
      </c>
      <c r="G217">
        <v>9906</v>
      </c>
      <c r="H217">
        <v>9703</v>
      </c>
      <c r="I217">
        <v>9895</v>
      </c>
      <c r="J217" s="1" t="s">
        <v>1344</v>
      </c>
    </row>
    <row r="218" spans="1:10" ht="15">
      <c r="A218" s="1" t="s">
        <v>1053</v>
      </c>
      <c r="B218">
        <v>20</v>
      </c>
      <c r="C218">
        <v>6400</v>
      </c>
      <c r="D218" s="337" t="s">
        <v>1302</v>
      </c>
      <c r="E218" s="1" t="s">
        <v>1302</v>
      </c>
      <c r="F218" s="53">
        <v>28265</v>
      </c>
      <c r="G218">
        <v>29846</v>
      </c>
      <c r="H218">
        <v>30346</v>
      </c>
      <c r="I218">
        <v>26152</v>
      </c>
      <c r="J218" s="1" t="s">
        <v>1344</v>
      </c>
    </row>
    <row r="219" spans="1:10" ht="15">
      <c r="A219" s="1" t="s">
        <v>1040</v>
      </c>
      <c r="B219">
        <v>174</v>
      </c>
      <c r="C219">
        <v>6400</v>
      </c>
      <c r="D219" s="337" t="s">
        <v>1302</v>
      </c>
      <c r="E219" s="1" t="s">
        <v>1302</v>
      </c>
      <c r="F219" s="53">
        <v>22807</v>
      </c>
      <c r="G219">
        <v>24911</v>
      </c>
      <c r="H219">
        <v>25880</v>
      </c>
      <c r="I219">
        <v>26877</v>
      </c>
      <c r="J219" s="1" t="s">
        <v>1344</v>
      </c>
    </row>
    <row r="220" spans="1:10" ht="15">
      <c r="A220" s="1" t="s">
        <v>134</v>
      </c>
      <c r="B220">
        <v>40</v>
      </c>
      <c r="C220">
        <v>6400</v>
      </c>
      <c r="D220" s="337" t="s">
        <v>1302</v>
      </c>
      <c r="E220" s="1" t="s">
        <v>1302</v>
      </c>
      <c r="F220" s="53">
        <v>11388</v>
      </c>
      <c r="G220">
        <v>12881</v>
      </c>
      <c r="H220">
        <v>13337</v>
      </c>
      <c r="I220">
        <v>13644</v>
      </c>
      <c r="J220" s="1" t="s">
        <v>1344</v>
      </c>
    </row>
    <row r="221" spans="1:10" ht="15">
      <c r="A221" s="1" t="s">
        <v>135</v>
      </c>
      <c r="B221">
        <v>1</v>
      </c>
      <c r="C221">
        <v>6400</v>
      </c>
      <c r="D221" s="337" t="s">
        <v>1302</v>
      </c>
      <c r="E221" s="1" t="s">
        <v>1302</v>
      </c>
      <c r="F221" s="53">
        <v>22101</v>
      </c>
      <c r="G221">
        <v>23870</v>
      </c>
      <c r="H221">
        <v>21958</v>
      </c>
      <c r="I221">
        <v>23956</v>
      </c>
      <c r="J221" s="1" t="s">
        <v>1344</v>
      </c>
    </row>
    <row r="222" spans="1:10" s="16" customFormat="1" ht="15">
      <c r="A222" s="17" t="s">
        <v>136</v>
      </c>
      <c r="B222" s="16">
        <v>2</v>
      </c>
      <c r="C222" s="16">
        <v>6400</v>
      </c>
      <c r="D222" s="338" t="s">
        <v>1302</v>
      </c>
      <c r="E222" s="17" t="s">
        <v>1302</v>
      </c>
      <c r="F222" s="53">
        <v>15442</v>
      </c>
      <c r="G222" s="16">
        <v>16102</v>
      </c>
      <c r="H222" s="16">
        <v>15764</v>
      </c>
      <c r="I222" s="16">
        <v>16055</v>
      </c>
      <c r="J222" s="17" t="s">
        <v>1344</v>
      </c>
    </row>
    <row r="223" spans="1:10" s="16" customFormat="1" ht="15">
      <c r="A223" s="17" t="s">
        <v>1040</v>
      </c>
      <c r="B223" s="16">
        <v>180</v>
      </c>
      <c r="C223" s="16">
        <v>6400</v>
      </c>
      <c r="D223" s="338" t="s">
        <v>1302</v>
      </c>
      <c r="E223" s="17" t="s">
        <v>1302</v>
      </c>
      <c r="F223" s="53">
        <v>14050</v>
      </c>
      <c r="G223" s="16">
        <v>14128</v>
      </c>
      <c r="H223" s="16">
        <v>13929</v>
      </c>
      <c r="I223" s="16">
        <v>14987</v>
      </c>
      <c r="J223" s="17" t="s">
        <v>1344</v>
      </c>
    </row>
    <row r="224" spans="1:10" ht="15">
      <c r="A224" s="1" t="s">
        <v>484</v>
      </c>
      <c r="B224">
        <v>35</v>
      </c>
      <c r="C224">
        <v>6400</v>
      </c>
      <c r="D224" s="337" t="s">
        <v>1302</v>
      </c>
      <c r="E224" s="1" t="s">
        <v>1302</v>
      </c>
      <c r="F224" s="53">
        <v>36375</v>
      </c>
      <c r="G224">
        <v>38792</v>
      </c>
      <c r="H224">
        <v>40196</v>
      </c>
      <c r="I224">
        <v>39672</v>
      </c>
      <c r="J224" s="1" t="s">
        <v>1344</v>
      </c>
    </row>
    <row r="225" spans="1:10" ht="15">
      <c r="A225" s="1" t="s">
        <v>137</v>
      </c>
      <c r="B225">
        <v>0</v>
      </c>
      <c r="C225">
        <v>6400</v>
      </c>
      <c r="D225" s="337" t="s">
        <v>1181</v>
      </c>
      <c r="E225" s="1" t="s">
        <v>1302</v>
      </c>
      <c r="F225" s="53">
        <v>32334</v>
      </c>
      <c r="G225">
        <v>33233</v>
      </c>
      <c r="H225">
        <v>33190</v>
      </c>
      <c r="I225">
        <v>19680</v>
      </c>
      <c r="J225" s="1" t="s">
        <v>1344</v>
      </c>
    </row>
    <row r="226" spans="1:10" ht="15">
      <c r="A226" s="1" t="s">
        <v>138</v>
      </c>
      <c r="B226">
        <v>34</v>
      </c>
      <c r="C226">
        <v>6400</v>
      </c>
      <c r="D226" s="337" t="s">
        <v>1182</v>
      </c>
      <c r="E226" s="1" t="s">
        <v>1302</v>
      </c>
      <c r="F226" s="53">
        <v>31304</v>
      </c>
      <c r="G226">
        <v>32148</v>
      </c>
      <c r="H226">
        <v>31064</v>
      </c>
      <c r="I226">
        <v>27367</v>
      </c>
      <c r="J226" s="1" t="s">
        <v>1344</v>
      </c>
    </row>
    <row r="227" spans="1:10" ht="15">
      <c r="A227" s="1" t="s">
        <v>480</v>
      </c>
      <c r="B227">
        <v>6</v>
      </c>
      <c r="C227">
        <v>6400</v>
      </c>
      <c r="D227" s="337" t="s">
        <v>1302</v>
      </c>
      <c r="E227" s="1" t="s">
        <v>1302</v>
      </c>
      <c r="F227" s="53">
        <v>24651</v>
      </c>
      <c r="G227">
        <v>28592</v>
      </c>
      <c r="H227">
        <v>29056</v>
      </c>
      <c r="I227">
        <v>24317</v>
      </c>
      <c r="J227" s="1" t="s">
        <v>1344</v>
      </c>
    </row>
    <row r="228" spans="1:10" ht="15">
      <c r="A228" s="1" t="s">
        <v>480</v>
      </c>
      <c r="B228">
        <v>84</v>
      </c>
      <c r="C228">
        <v>6400</v>
      </c>
      <c r="D228" s="337" t="s">
        <v>447</v>
      </c>
      <c r="E228" s="1" t="s">
        <v>1302</v>
      </c>
      <c r="F228" s="53">
        <v>21026</v>
      </c>
      <c r="G228">
        <v>23432</v>
      </c>
      <c r="H228">
        <v>23313</v>
      </c>
      <c r="I228">
        <v>20023</v>
      </c>
      <c r="J228" s="1" t="s">
        <v>1344</v>
      </c>
    </row>
    <row r="229" spans="1:10" ht="15">
      <c r="A229" s="1" t="s">
        <v>452</v>
      </c>
      <c r="B229">
        <v>106</v>
      </c>
      <c r="C229">
        <v>6400</v>
      </c>
      <c r="D229" s="337" t="s">
        <v>1302</v>
      </c>
      <c r="E229" s="1" t="s">
        <v>1302</v>
      </c>
      <c r="F229" s="53">
        <v>13018</v>
      </c>
      <c r="G229">
        <v>13248</v>
      </c>
      <c r="H229">
        <v>13377</v>
      </c>
      <c r="I229">
        <v>10557</v>
      </c>
      <c r="J229" s="1" t="s">
        <v>1344</v>
      </c>
    </row>
    <row r="230" spans="1:10" ht="15">
      <c r="A230" s="1" t="s">
        <v>478</v>
      </c>
      <c r="B230">
        <v>5</v>
      </c>
      <c r="C230">
        <v>6400</v>
      </c>
      <c r="D230" s="337" t="s">
        <v>1302</v>
      </c>
      <c r="E230" s="1" t="s">
        <v>1302</v>
      </c>
      <c r="F230" s="53">
        <v>8337</v>
      </c>
      <c r="G230">
        <v>8610</v>
      </c>
      <c r="H230">
        <v>8713</v>
      </c>
      <c r="I230">
        <v>7794</v>
      </c>
      <c r="J230" s="1" t="s">
        <v>1344</v>
      </c>
    </row>
    <row r="231" spans="1:10" ht="26.25">
      <c r="A231" s="1" t="s">
        <v>1043</v>
      </c>
      <c r="B231">
        <v>4</v>
      </c>
      <c r="C231">
        <v>6400</v>
      </c>
      <c r="D231" s="337" t="s">
        <v>1183</v>
      </c>
      <c r="E231" s="1" t="s">
        <v>1302</v>
      </c>
      <c r="F231" s="53">
        <v>17997</v>
      </c>
      <c r="G231">
        <v>19495</v>
      </c>
      <c r="H231">
        <v>15719</v>
      </c>
      <c r="I231">
        <v>13952</v>
      </c>
      <c r="J231" s="1" t="s">
        <v>1344</v>
      </c>
    </row>
    <row r="232" spans="1:10" ht="15">
      <c r="A232" s="1" t="s">
        <v>484</v>
      </c>
      <c r="B232">
        <v>4</v>
      </c>
      <c r="C232">
        <v>6400</v>
      </c>
      <c r="D232" s="337" t="s">
        <v>1302</v>
      </c>
      <c r="E232" s="1" t="s">
        <v>1302</v>
      </c>
      <c r="F232" s="53">
        <v>24420</v>
      </c>
      <c r="G232">
        <v>30877</v>
      </c>
      <c r="H232">
        <v>26926</v>
      </c>
      <c r="I232">
        <v>25510</v>
      </c>
      <c r="J232" s="1" t="s">
        <v>1344</v>
      </c>
    </row>
    <row r="233" spans="1:10" ht="15">
      <c r="A233" s="1" t="s">
        <v>762</v>
      </c>
      <c r="B233">
        <v>4</v>
      </c>
      <c r="C233">
        <v>6400</v>
      </c>
      <c r="D233" s="337" t="s">
        <v>1302</v>
      </c>
      <c r="E233" s="1" t="s">
        <v>1302</v>
      </c>
      <c r="F233" s="53">
        <v>10814</v>
      </c>
      <c r="G233">
        <v>11651</v>
      </c>
      <c r="H233">
        <v>12622</v>
      </c>
      <c r="I233">
        <v>12907</v>
      </c>
      <c r="J233" s="1" t="s">
        <v>1344</v>
      </c>
    </row>
    <row r="234" spans="1:10" ht="15">
      <c r="A234" s="1" t="s">
        <v>811</v>
      </c>
      <c r="B234">
        <v>2</v>
      </c>
      <c r="C234">
        <v>6400</v>
      </c>
      <c r="D234" s="337" t="s">
        <v>1302</v>
      </c>
      <c r="E234" s="1" t="s">
        <v>1302</v>
      </c>
      <c r="F234" s="53">
        <v>16360</v>
      </c>
      <c r="G234">
        <v>16786</v>
      </c>
      <c r="H234">
        <v>15143</v>
      </c>
      <c r="I234">
        <v>16518</v>
      </c>
      <c r="J234" s="1" t="s">
        <v>1344</v>
      </c>
    </row>
    <row r="235" spans="1:10" s="16" customFormat="1" ht="15">
      <c r="A235" s="17" t="s">
        <v>1040</v>
      </c>
      <c r="B235" s="16">
        <v>200</v>
      </c>
      <c r="C235" s="16">
        <v>6400</v>
      </c>
      <c r="D235" s="338" t="s">
        <v>1302</v>
      </c>
      <c r="E235" s="17" t="s">
        <v>1302</v>
      </c>
      <c r="F235" s="53">
        <v>23712</v>
      </c>
      <c r="G235" s="16">
        <v>24190</v>
      </c>
      <c r="H235" s="16">
        <v>24105</v>
      </c>
      <c r="I235" s="16">
        <v>24399</v>
      </c>
      <c r="J235" s="17" t="s">
        <v>1344</v>
      </c>
    </row>
    <row r="236" spans="1:10" ht="15">
      <c r="A236" s="1" t="s">
        <v>811</v>
      </c>
      <c r="B236">
        <v>64</v>
      </c>
      <c r="C236">
        <v>6400</v>
      </c>
      <c r="D236" s="337" t="s">
        <v>1302</v>
      </c>
      <c r="E236" s="1" t="s">
        <v>1302</v>
      </c>
      <c r="F236" s="53">
        <v>20025</v>
      </c>
      <c r="G236">
        <v>14344</v>
      </c>
      <c r="H236">
        <v>14525</v>
      </c>
      <c r="I236">
        <v>14425</v>
      </c>
      <c r="J236" s="1" t="s">
        <v>1344</v>
      </c>
    </row>
    <row r="237" spans="1:10" ht="15">
      <c r="A237" s="1" t="s">
        <v>472</v>
      </c>
      <c r="B237">
        <v>64</v>
      </c>
      <c r="C237">
        <v>6400</v>
      </c>
      <c r="D237" s="337" t="s">
        <v>1302</v>
      </c>
      <c r="E237" s="1" t="s">
        <v>1302</v>
      </c>
      <c r="F237" s="53">
        <v>28568</v>
      </c>
      <c r="G237">
        <v>30160</v>
      </c>
      <c r="H237">
        <v>30892</v>
      </c>
      <c r="I237">
        <v>30174</v>
      </c>
      <c r="J237" s="1" t="s">
        <v>1344</v>
      </c>
    </row>
    <row r="238" spans="1:10" s="16" customFormat="1" ht="15">
      <c r="A238" s="17" t="s">
        <v>472</v>
      </c>
      <c r="B238" s="16">
        <v>90</v>
      </c>
      <c r="C238" s="16">
        <v>6400</v>
      </c>
      <c r="D238" s="338" t="s">
        <v>1302</v>
      </c>
      <c r="E238" s="17" t="s">
        <v>1302</v>
      </c>
      <c r="F238" s="53">
        <v>36758</v>
      </c>
      <c r="G238" s="16">
        <v>38906</v>
      </c>
      <c r="H238" s="16">
        <v>36514</v>
      </c>
      <c r="I238" s="16">
        <v>27904</v>
      </c>
      <c r="J238" s="17" t="s">
        <v>1344</v>
      </c>
    </row>
    <row r="239" spans="1:10" ht="15">
      <c r="A239" s="1" t="s">
        <v>139</v>
      </c>
      <c r="B239">
        <v>0</v>
      </c>
      <c r="C239">
        <v>6400</v>
      </c>
      <c r="D239" s="337" t="s">
        <v>1302</v>
      </c>
      <c r="E239" s="1" t="s">
        <v>1302</v>
      </c>
      <c r="F239" s="53">
        <v>15918</v>
      </c>
      <c r="G239">
        <v>17201</v>
      </c>
      <c r="H239">
        <v>17809</v>
      </c>
      <c r="I239">
        <v>17469</v>
      </c>
      <c r="J239" s="1" t="s">
        <v>1344</v>
      </c>
    </row>
    <row r="240" spans="1:10" ht="15">
      <c r="A240" s="1" t="s">
        <v>496</v>
      </c>
      <c r="B240">
        <v>1</v>
      </c>
      <c r="C240">
        <v>6400</v>
      </c>
      <c r="D240" s="337" t="s">
        <v>1302</v>
      </c>
      <c r="E240" s="1" t="s">
        <v>684</v>
      </c>
      <c r="F240" s="53">
        <v>58735</v>
      </c>
      <c r="G240">
        <v>77650</v>
      </c>
      <c r="H240">
        <v>68563</v>
      </c>
      <c r="I240">
        <v>64735</v>
      </c>
      <c r="J240" s="1" t="s">
        <v>1344</v>
      </c>
    </row>
    <row r="241" spans="1:10" ht="15">
      <c r="A241" s="1" t="s">
        <v>458</v>
      </c>
      <c r="B241">
        <v>15</v>
      </c>
      <c r="C241">
        <v>6400</v>
      </c>
      <c r="D241" s="337" t="s">
        <v>1302</v>
      </c>
      <c r="E241" s="1" t="s">
        <v>1302</v>
      </c>
      <c r="F241" s="53">
        <v>11020</v>
      </c>
      <c r="G241">
        <v>11630</v>
      </c>
      <c r="H241">
        <v>11461</v>
      </c>
      <c r="I241">
        <v>12285</v>
      </c>
      <c r="J241" s="1" t="s">
        <v>1344</v>
      </c>
    </row>
    <row r="242" spans="1:10" ht="15">
      <c r="A242" s="1" t="s">
        <v>497</v>
      </c>
      <c r="B242">
        <v>3</v>
      </c>
      <c r="C242">
        <v>6400</v>
      </c>
      <c r="D242" s="337" t="s">
        <v>1302</v>
      </c>
      <c r="E242" s="1" t="s">
        <v>1302</v>
      </c>
      <c r="F242" s="53">
        <v>3748</v>
      </c>
      <c r="G242">
        <v>3512</v>
      </c>
      <c r="H242">
        <v>3570</v>
      </c>
      <c r="I242">
        <v>3789</v>
      </c>
      <c r="J242" s="1" t="s">
        <v>1344</v>
      </c>
    </row>
    <row r="243" spans="1:10" ht="15">
      <c r="A243" s="1" t="s">
        <v>497</v>
      </c>
      <c r="B243">
        <v>27</v>
      </c>
      <c r="C243">
        <v>6400</v>
      </c>
      <c r="D243" s="337" t="s">
        <v>1302</v>
      </c>
      <c r="E243" s="1" t="s">
        <v>1302</v>
      </c>
      <c r="F243" s="53">
        <v>14818</v>
      </c>
      <c r="G243">
        <v>15439</v>
      </c>
      <c r="H243">
        <v>16203</v>
      </c>
      <c r="I243">
        <v>14819</v>
      </c>
      <c r="J243" s="1" t="s">
        <v>1344</v>
      </c>
    </row>
    <row r="244" spans="1:10" ht="15">
      <c r="A244" s="1" t="s">
        <v>1287</v>
      </c>
      <c r="B244">
        <v>40</v>
      </c>
      <c r="C244">
        <v>6400</v>
      </c>
      <c r="D244" s="337" t="s">
        <v>1302</v>
      </c>
      <c r="E244" s="1" t="s">
        <v>1302</v>
      </c>
      <c r="F244" s="53">
        <v>4685</v>
      </c>
      <c r="G244">
        <v>5195</v>
      </c>
      <c r="H244">
        <v>5089</v>
      </c>
      <c r="I244">
        <v>4675</v>
      </c>
      <c r="J244" s="1" t="s">
        <v>1344</v>
      </c>
    </row>
    <row r="245" spans="1:10" ht="15">
      <c r="A245" s="1" t="s">
        <v>140</v>
      </c>
      <c r="B245">
        <v>2</v>
      </c>
      <c r="C245">
        <v>6400</v>
      </c>
      <c r="D245" s="337" t="s">
        <v>1302</v>
      </c>
      <c r="E245" s="1" t="s">
        <v>1302</v>
      </c>
      <c r="F245" s="53">
        <v>11077</v>
      </c>
      <c r="G245">
        <v>11181</v>
      </c>
      <c r="H245">
        <v>11511</v>
      </c>
      <c r="I245">
        <v>11199</v>
      </c>
      <c r="J245" s="1" t="s">
        <v>1344</v>
      </c>
    </row>
    <row r="246" spans="1:10" ht="15">
      <c r="A246" s="1" t="s">
        <v>140</v>
      </c>
      <c r="B246">
        <v>44</v>
      </c>
      <c r="C246">
        <v>6400</v>
      </c>
      <c r="D246" s="337" t="s">
        <v>1302</v>
      </c>
      <c r="E246" s="1" t="s">
        <v>1302</v>
      </c>
      <c r="F246" s="53">
        <v>9023</v>
      </c>
      <c r="G246">
        <v>9374</v>
      </c>
      <c r="H246">
        <v>9616</v>
      </c>
      <c r="I246">
        <v>9890</v>
      </c>
      <c r="J246" s="1" t="s">
        <v>1344</v>
      </c>
    </row>
    <row r="247" spans="1:10" ht="15">
      <c r="A247" s="1" t="s">
        <v>801</v>
      </c>
      <c r="B247">
        <v>7</v>
      </c>
      <c r="C247">
        <v>6400</v>
      </c>
      <c r="D247" s="337" t="s">
        <v>1302</v>
      </c>
      <c r="E247" s="1" t="s">
        <v>1302</v>
      </c>
      <c r="F247" s="53">
        <v>17388</v>
      </c>
      <c r="G247">
        <v>16050</v>
      </c>
      <c r="H247">
        <v>20132</v>
      </c>
      <c r="I247">
        <v>21134</v>
      </c>
      <c r="J247" s="1" t="s">
        <v>1344</v>
      </c>
    </row>
    <row r="248" spans="1:10" ht="15">
      <c r="A248" s="1" t="s">
        <v>607</v>
      </c>
      <c r="B248">
        <v>19</v>
      </c>
      <c r="C248">
        <v>6400</v>
      </c>
      <c r="D248" s="337" t="s">
        <v>1302</v>
      </c>
      <c r="E248" s="1" t="s">
        <v>1302</v>
      </c>
      <c r="F248" s="53">
        <v>7786</v>
      </c>
      <c r="G248">
        <v>8148</v>
      </c>
      <c r="H248">
        <v>8453</v>
      </c>
      <c r="I248">
        <v>7332</v>
      </c>
      <c r="J248" s="1" t="s">
        <v>1344</v>
      </c>
    </row>
    <row r="249" spans="1:10" ht="15">
      <c r="A249" s="1" t="s">
        <v>141</v>
      </c>
      <c r="B249">
        <v>5</v>
      </c>
      <c r="C249">
        <v>6400</v>
      </c>
      <c r="D249" s="337" t="s">
        <v>1302</v>
      </c>
      <c r="E249" s="1" t="s">
        <v>1302</v>
      </c>
      <c r="F249" s="53">
        <v>23889</v>
      </c>
      <c r="G249">
        <v>24074</v>
      </c>
      <c r="H249">
        <v>24191</v>
      </c>
      <c r="I249">
        <v>22792</v>
      </c>
      <c r="J249" s="1" t="s">
        <v>1344</v>
      </c>
    </row>
    <row r="250" spans="1:10" ht="15">
      <c r="A250" s="1" t="s">
        <v>1040</v>
      </c>
      <c r="B250">
        <v>151</v>
      </c>
      <c r="C250">
        <v>6400</v>
      </c>
      <c r="D250" s="337" t="s">
        <v>1302</v>
      </c>
      <c r="E250" s="1" t="s">
        <v>1302</v>
      </c>
      <c r="F250" s="53">
        <v>12466</v>
      </c>
      <c r="G250">
        <v>12937</v>
      </c>
      <c r="H250">
        <v>13111</v>
      </c>
      <c r="I250">
        <v>13445</v>
      </c>
      <c r="J250" s="1" t="s">
        <v>1344</v>
      </c>
    </row>
    <row r="251" spans="1:10" ht="15">
      <c r="A251" s="1" t="s">
        <v>142</v>
      </c>
      <c r="B251">
        <v>25</v>
      </c>
      <c r="C251">
        <v>6400</v>
      </c>
      <c r="D251" s="337" t="s">
        <v>1302</v>
      </c>
      <c r="E251" s="1" t="s">
        <v>1302</v>
      </c>
      <c r="F251" s="53">
        <v>10537</v>
      </c>
      <c r="G251">
        <v>11676</v>
      </c>
      <c r="H251">
        <v>12640</v>
      </c>
      <c r="I251">
        <v>10478</v>
      </c>
      <c r="J251" s="1" t="s">
        <v>1344</v>
      </c>
    </row>
    <row r="252" spans="1:10" ht="15">
      <c r="A252" s="1" t="s">
        <v>143</v>
      </c>
      <c r="B252">
        <v>43</v>
      </c>
      <c r="C252">
        <v>6400</v>
      </c>
      <c r="D252" s="337" t="s">
        <v>1302</v>
      </c>
      <c r="E252" s="1" t="s">
        <v>1302</v>
      </c>
      <c r="F252" s="53">
        <v>10136</v>
      </c>
      <c r="G252">
        <v>9314</v>
      </c>
      <c r="H252">
        <v>13052</v>
      </c>
      <c r="I252">
        <v>12179</v>
      </c>
      <c r="J252" s="1" t="s">
        <v>1344</v>
      </c>
    </row>
    <row r="253" spans="1:10" ht="15">
      <c r="A253" s="1" t="s">
        <v>130</v>
      </c>
      <c r="B253">
        <v>23</v>
      </c>
      <c r="C253">
        <v>6400</v>
      </c>
      <c r="D253" s="337" t="s">
        <v>1302</v>
      </c>
      <c r="E253" s="1" t="s">
        <v>1302</v>
      </c>
      <c r="F253" s="53">
        <v>5657</v>
      </c>
      <c r="G253">
        <v>5744</v>
      </c>
      <c r="H253">
        <v>5452</v>
      </c>
      <c r="I253">
        <v>5577</v>
      </c>
      <c r="J253" s="1" t="s">
        <v>1344</v>
      </c>
    </row>
    <row r="254" spans="1:10" ht="15">
      <c r="A254" s="1" t="s">
        <v>144</v>
      </c>
      <c r="B254">
        <v>61</v>
      </c>
      <c r="C254">
        <v>6400</v>
      </c>
      <c r="D254" s="337" t="s">
        <v>1302</v>
      </c>
      <c r="E254" s="1" t="s">
        <v>1302</v>
      </c>
      <c r="F254" s="53">
        <v>30058</v>
      </c>
      <c r="G254">
        <v>31812</v>
      </c>
      <c r="H254">
        <v>30285</v>
      </c>
      <c r="I254">
        <v>32891</v>
      </c>
      <c r="J254" s="1" t="s">
        <v>1344</v>
      </c>
    </row>
    <row r="255" spans="1:10" ht="15">
      <c r="A255" s="1" t="s">
        <v>144</v>
      </c>
      <c r="C255">
        <v>6400</v>
      </c>
      <c r="D255" s="337" t="s">
        <v>1184</v>
      </c>
      <c r="E255" s="1" t="s">
        <v>1302</v>
      </c>
      <c r="F255" s="53">
        <v>19211</v>
      </c>
      <c r="G255">
        <v>22392</v>
      </c>
      <c r="H255">
        <v>18932</v>
      </c>
      <c r="I255">
        <v>21214</v>
      </c>
      <c r="J255" s="1" t="s">
        <v>1344</v>
      </c>
    </row>
    <row r="256" spans="1:10" ht="15">
      <c r="A256" s="1" t="s">
        <v>1053</v>
      </c>
      <c r="B256">
        <v>41</v>
      </c>
      <c r="C256">
        <v>6400</v>
      </c>
      <c r="D256" s="337" t="s">
        <v>1302</v>
      </c>
      <c r="E256" s="1" t="s">
        <v>1302</v>
      </c>
      <c r="F256" s="53">
        <v>13716</v>
      </c>
      <c r="G256">
        <v>13938</v>
      </c>
      <c r="H256">
        <v>13865</v>
      </c>
      <c r="I256">
        <v>12253</v>
      </c>
      <c r="J256" s="1" t="s">
        <v>1344</v>
      </c>
    </row>
    <row r="257" spans="1:10" ht="15">
      <c r="A257" s="1" t="s">
        <v>657</v>
      </c>
      <c r="B257">
        <v>42</v>
      </c>
      <c r="C257">
        <v>6400</v>
      </c>
      <c r="D257" s="337" t="s">
        <v>1302</v>
      </c>
      <c r="E257" s="1" t="s">
        <v>1302</v>
      </c>
      <c r="F257" s="53">
        <v>21150</v>
      </c>
      <c r="G257">
        <v>22008</v>
      </c>
      <c r="H257">
        <v>22292</v>
      </c>
      <c r="I257">
        <v>19356</v>
      </c>
      <c r="J257" s="1" t="s">
        <v>1344</v>
      </c>
    </row>
    <row r="258" spans="1:10" ht="15">
      <c r="A258" s="1" t="s">
        <v>652</v>
      </c>
      <c r="B258">
        <v>1</v>
      </c>
      <c r="C258">
        <v>6400</v>
      </c>
      <c r="D258" s="337" t="s">
        <v>1302</v>
      </c>
      <c r="E258" s="1" t="s">
        <v>1302</v>
      </c>
      <c r="F258" s="53">
        <v>24233</v>
      </c>
      <c r="G258">
        <v>24518</v>
      </c>
      <c r="H258">
        <v>24851</v>
      </c>
      <c r="I258">
        <v>25799</v>
      </c>
      <c r="J258" s="1" t="s">
        <v>1344</v>
      </c>
    </row>
    <row r="259" spans="1:10" ht="15">
      <c r="A259" s="1" t="s">
        <v>145</v>
      </c>
      <c r="B259">
        <v>39</v>
      </c>
      <c r="C259">
        <v>6400</v>
      </c>
      <c r="D259" s="337" t="s">
        <v>1302</v>
      </c>
      <c r="E259" s="1" t="s">
        <v>1302</v>
      </c>
      <c r="F259" s="53">
        <v>28675</v>
      </c>
      <c r="G259">
        <v>30006</v>
      </c>
      <c r="H259">
        <v>30906</v>
      </c>
      <c r="I259">
        <v>27929</v>
      </c>
      <c r="J259" s="1" t="s">
        <v>1344</v>
      </c>
    </row>
    <row r="260" spans="1:10" ht="15">
      <c r="A260" s="1" t="s">
        <v>471</v>
      </c>
      <c r="B260">
        <v>98</v>
      </c>
      <c r="C260">
        <v>6400</v>
      </c>
      <c r="D260" s="337" t="s">
        <v>1302</v>
      </c>
      <c r="E260" s="1" t="s">
        <v>1302</v>
      </c>
      <c r="F260" s="53">
        <v>17447</v>
      </c>
      <c r="G260">
        <v>17306</v>
      </c>
      <c r="H260">
        <v>17089</v>
      </c>
      <c r="I260">
        <v>17632</v>
      </c>
      <c r="J260" s="1" t="s">
        <v>1344</v>
      </c>
    </row>
    <row r="261" spans="1:10" ht="15">
      <c r="A261" s="1" t="s">
        <v>498</v>
      </c>
      <c r="B261">
        <v>6</v>
      </c>
      <c r="C261">
        <v>6400</v>
      </c>
      <c r="D261" s="337" t="s">
        <v>1302</v>
      </c>
      <c r="E261" s="1" t="s">
        <v>1302</v>
      </c>
      <c r="F261" s="53">
        <v>23085</v>
      </c>
      <c r="G261">
        <v>19628</v>
      </c>
      <c r="H261">
        <v>23693</v>
      </c>
      <c r="I261">
        <v>23866</v>
      </c>
      <c r="J261" s="1" t="s">
        <v>1344</v>
      </c>
    </row>
    <row r="262" spans="1:10" ht="15">
      <c r="A262" s="1" t="s">
        <v>471</v>
      </c>
      <c r="B262">
        <v>24</v>
      </c>
      <c r="C262">
        <v>6400</v>
      </c>
      <c r="D262" s="337" t="s">
        <v>1302</v>
      </c>
      <c r="E262" s="1" t="s">
        <v>1302</v>
      </c>
      <c r="F262" s="53">
        <v>24526</v>
      </c>
      <c r="G262">
        <v>25328</v>
      </c>
      <c r="H262">
        <v>28626</v>
      </c>
      <c r="I262">
        <v>27330</v>
      </c>
      <c r="J262" s="1" t="s">
        <v>1344</v>
      </c>
    </row>
    <row r="263" spans="1:10" s="16" customFormat="1" ht="15">
      <c r="A263" s="17" t="s">
        <v>735</v>
      </c>
      <c r="B263" s="16">
        <v>20</v>
      </c>
      <c r="C263" s="16">
        <v>6400</v>
      </c>
      <c r="D263" s="338" t="s">
        <v>1302</v>
      </c>
      <c r="E263" s="17" t="s">
        <v>1302</v>
      </c>
      <c r="F263" s="53">
        <v>14063</v>
      </c>
      <c r="G263" s="16">
        <v>14762</v>
      </c>
      <c r="H263" s="16">
        <v>14729</v>
      </c>
      <c r="I263" s="16">
        <v>14935</v>
      </c>
      <c r="J263" s="17" t="s">
        <v>1344</v>
      </c>
    </row>
    <row r="264" spans="1:10" ht="15">
      <c r="A264" s="1" t="s">
        <v>146</v>
      </c>
      <c r="B264">
        <v>2</v>
      </c>
      <c r="C264">
        <v>6400</v>
      </c>
      <c r="D264" s="337" t="s">
        <v>1302</v>
      </c>
      <c r="E264" s="1" t="s">
        <v>1302</v>
      </c>
      <c r="F264" s="53">
        <v>12416</v>
      </c>
      <c r="G264">
        <v>11420</v>
      </c>
      <c r="H264">
        <v>14428</v>
      </c>
      <c r="I264">
        <v>13385</v>
      </c>
      <c r="J264" s="1" t="s">
        <v>1344</v>
      </c>
    </row>
    <row r="265" spans="1:10" ht="15">
      <c r="A265" s="1" t="s">
        <v>147</v>
      </c>
      <c r="B265">
        <v>2</v>
      </c>
      <c r="C265">
        <v>6400</v>
      </c>
      <c r="D265" s="337" t="s">
        <v>1302</v>
      </c>
      <c r="E265" s="1" t="s">
        <v>1302</v>
      </c>
      <c r="F265" s="53">
        <v>18709</v>
      </c>
      <c r="G265">
        <v>18196</v>
      </c>
      <c r="H265">
        <v>18570</v>
      </c>
      <c r="I265">
        <v>17791</v>
      </c>
      <c r="J265" s="1" t="s">
        <v>1344</v>
      </c>
    </row>
    <row r="266" spans="1:10" s="16" customFormat="1" ht="15">
      <c r="A266" s="17" t="s">
        <v>762</v>
      </c>
      <c r="B266" s="16">
        <v>104</v>
      </c>
      <c r="C266" s="16">
        <v>6400</v>
      </c>
      <c r="D266" s="338" t="s">
        <v>1302</v>
      </c>
      <c r="E266" s="17" t="s">
        <v>1302</v>
      </c>
      <c r="F266" s="53">
        <v>20998</v>
      </c>
      <c r="G266" s="16">
        <v>20511</v>
      </c>
      <c r="H266" s="16">
        <v>19049</v>
      </c>
      <c r="I266" s="16">
        <v>19374</v>
      </c>
      <c r="J266" s="17" t="s">
        <v>1344</v>
      </c>
    </row>
    <row r="267" spans="1:10" s="16" customFormat="1" ht="15">
      <c r="A267" s="17" t="s">
        <v>148</v>
      </c>
      <c r="B267" s="16">
        <v>22</v>
      </c>
      <c r="C267" s="16">
        <v>6400</v>
      </c>
      <c r="D267" s="338" t="s">
        <v>1302</v>
      </c>
      <c r="E267" s="17" t="s">
        <v>1302</v>
      </c>
      <c r="F267" s="53">
        <v>11945</v>
      </c>
      <c r="G267" s="16">
        <v>12657</v>
      </c>
      <c r="H267" s="16">
        <v>11322</v>
      </c>
      <c r="I267" s="16">
        <v>10879</v>
      </c>
      <c r="J267" s="17" t="s">
        <v>1344</v>
      </c>
    </row>
    <row r="268" spans="1:10" ht="15">
      <c r="A268" s="1" t="s">
        <v>484</v>
      </c>
      <c r="B268">
        <v>11</v>
      </c>
      <c r="C268">
        <v>6400</v>
      </c>
      <c r="D268" s="337" t="s">
        <v>1185</v>
      </c>
      <c r="E268" s="1" t="s">
        <v>1302</v>
      </c>
      <c r="F268" s="53">
        <v>55998</v>
      </c>
      <c r="G268">
        <v>60532</v>
      </c>
      <c r="H268">
        <v>60673</v>
      </c>
      <c r="I268">
        <v>61299</v>
      </c>
      <c r="J268" s="1" t="s">
        <v>1344</v>
      </c>
    </row>
    <row r="269" spans="1:10" ht="15">
      <c r="A269" s="1" t="s">
        <v>149</v>
      </c>
      <c r="B269">
        <v>0</v>
      </c>
      <c r="C269">
        <v>6400</v>
      </c>
      <c r="D269" s="337" t="s">
        <v>1302</v>
      </c>
      <c r="E269" s="1" t="s">
        <v>1302</v>
      </c>
      <c r="F269" s="53">
        <v>12481</v>
      </c>
      <c r="G269">
        <v>15060</v>
      </c>
      <c r="H269">
        <v>17324</v>
      </c>
      <c r="I269">
        <v>15868</v>
      </c>
      <c r="J269" s="1" t="s">
        <v>1344</v>
      </c>
    </row>
    <row r="270" spans="1:10" s="16" customFormat="1" ht="15">
      <c r="A270" s="17" t="s">
        <v>149</v>
      </c>
      <c r="B270" s="16">
        <v>999</v>
      </c>
      <c r="C270" s="16">
        <v>6400</v>
      </c>
      <c r="D270" s="338" t="s">
        <v>1302</v>
      </c>
      <c r="E270" s="17" t="s">
        <v>1302</v>
      </c>
      <c r="F270" s="53">
        <v>21492</v>
      </c>
      <c r="G270" s="16">
        <v>22692</v>
      </c>
      <c r="H270" s="16">
        <v>32725</v>
      </c>
      <c r="I270" s="16">
        <v>30784</v>
      </c>
      <c r="J270" s="17" t="s">
        <v>1344</v>
      </c>
    </row>
    <row r="271" spans="1:10" ht="15">
      <c r="A271" s="1" t="s">
        <v>482</v>
      </c>
      <c r="B271">
        <v>9</v>
      </c>
      <c r="C271">
        <v>6400</v>
      </c>
      <c r="D271" s="337" t="s">
        <v>1302</v>
      </c>
      <c r="E271" s="1" t="s">
        <v>1302</v>
      </c>
      <c r="F271" s="53">
        <v>13520</v>
      </c>
      <c r="G271">
        <v>16540</v>
      </c>
      <c r="H271">
        <v>14425</v>
      </c>
      <c r="I271">
        <v>14267</v>
      </c>
      <c r="J271" s="1" t="s">
        <v>1344</v>
      </c>
    </row>
    <row r="272" spans="1:10" ht="15">
      <c r="A272" s="1" t="s">
        <v>494</v>
      </c>
      <c r="B272">
        <v>0</v>
      </c>
      <c r="C272">
        <v>6400</v>
      </c>
      <c r="D272" s="337" t="s">
        <v>1302</v>
      </c>
      <c r="E272" s="1" t="s">
        <v>1302</v>
      </c>
      <c r="F272" s="53">
        <v>23500</v>
      </c>
      <c r="G272">
        <v>28404</v>
      </c>
      <c r="H272">
        <v>24498</v>
      </c>
      <c r="I272">
        <v>28217</v>
      </c>
      <c r="J272" s="1" t="s">
        <v>1344</v>
      </c>
    </row>
    <row r="273" spans="1:10" ht="15">
      <c r="A273" s="1" t="s">
        <v>150</v>
      </c>
      <c r="B273">
        <v>2</v>
      </c>
      <c r="C273">
        <v>6400</v>
      </c>
      <c r="D273" s="337" t="s">
        <v>1302</v>
      </c>
      <c r="E273" s="1" t="s">
        <v>1302</v>
      </c>
      <c r="F273" s="53">
        <v>12405</v>
      </c>
      <c r="G273">
        <v>13907</v>
      </c>
      <c r="H273">
        <v>12963</v>
      </c>
      <c r="I273">
        <v>11246</v>
      </c>
      <c r="J273" s="1" t="s">
        <v>1344</v>
      </c>
    </row>
    <row r="274" spans="1:10" ht="15">
      <c r="A274" s="1" t="s">
        <v>151</v>
      </c>
      <c r="B274">
        <v>30</v>
      </c>
      <c r="C274">
        <v>6400</v>
      </c>
      <c r="D274" s="337" t="s">
        <v>1302</v>
      </c>
      <c r="E274" s="1" t="s">
        <v>1302</v>
      </c>
      <c r="F274" s="53">
        <v>7106</v>
      </c>
      <c r="G274">
        <v>7272</v>
      </c>
      <c r="H274">
        <v>7503</v>
      </c>
      <c r="I274">
        <v>7482</v>
      </c>
      <c r="J274" s="1" t="s">
        <v>1344</v>
      </c>
    </row>
    <row r="275" spans="1:10" ht="15">
      <c r="A275" s="1" t="s">
        <v>475</v>
      </c>
      <c r="B275">
        <v>0</v>
      </c>
      <c r="C275">
        <v>6400</v>
      </c>
      <c r="D275" s="337" t="s">
        <v>1302</v>
      </c>
      <c r="E275" s="1" t="s">
        <v>1302</v>
      </c>
      <c r="F275" s="53">
        <v>6673</v>
      </c>
      <c r="G275">
        <v>8338</v>
      </c>
      <c r="H275">
        <v>8736</v>
      </c>
      <c r="I275">
        <v>9003</v>
      </c>
      <c r="J275" s="1" t="s">
        <v>1344</v>
      </c>
    </row>
    <row r="276" spans="1:10" s="16" customFormat="1" ht="15">
      <c r="A276" s="17" t="s">
        <v>472</v>
      </c>
      <c r="B276" s="16">
        <v>10</v>
      </c>
      <c r="C276" s="16">
        <v>6400</v>
      </c>
      <c r="D276" s="338" t="s">
        <v>1302</v>
      </c>
      <c r="E276" s="17" t="s">
        <v>1302</v>
      </c>
      <c r="F276" s="53">
        <v>9142</v>
      </c>
      <c r="G276" s="16">
        <v>10759</v>
      </c>
      <c r="H276" s="16">
        <v>8997</v>
      </c>
      <c r="I276" s="16">
        <v>8807</v>
      </c>
      <c r="J276" s="17" t="s">
        <v>1344</v>
      </c>
    </row>
    <row r="277" spans="1:10" ht="15">
      <c r="A277" s="1" t="s">
        <v>149</v>
      </c>
      <c r="B277">
        <v>0</v>
      </c>
      <c r="C277">
        <v>6400</v>
      </c>
      <c r="D277" s="337" t="s">
        <v>1302</v>
      </c>
      <c r="E277" s="1" t="s">
        <v>1302</v>
      </c>
      <c r="F277" s="53">
        <v>7767</v>
      </c>
      <c r="G277">
        <v>6460</v>
      </c>
      <c r="H277">
        <v>2158</v>
      </c>
      <c r="I277">
        <v>7187</v>
      </c>
      <c r="J277" s="1" t="s">
        <v>1344</v>
      </c>
    </row>
    <row r="278" spans="1:10" s="16" customFormat="1" ht="15">
      <c r="A278" s="17" t="s">
        <v>471</v>
      </c>
      <c r="C278" s="16">
        <v>6400</v>
      </c>
      <c r="D278" s="338" t="s">
        <v>1302</v>
      </c>
      <c r="E278" s="17" t="s">
        <v>1302</v>
      </c>
      <c r="F278" s="53">
        <v>7484</v>
      </c>
      <c r="G278" s="16">
        <v>7184</v>
      </c>
      <c r="H278" s="16">
        <v>7184</v>
      </c>
      <c r="I278" s="16">
        <v>8298</v>
      </c>
      <c r="J278" s="17" t="s">
        <v>1344</v>
      </c>
    </row>
    <row r="279" spans="1:10" ht="15">
      <c r="A279" s="1" t="s">
        <v>458</v>
      </c>
      <c r="B279">
        <v>23</v>
      </c>
      <c r="C279">
        <v>6400</v>
      </c>
      <c r="D279" s="337" t="s">
        <v>1186</v>
      </c>
      <c r="E279" s="1" t="s">
        <v>1186</v>
      </c>
      <c r="F279" s="53">
        <v>6842</v>
      </c>
      <c r="G279">
        <v>7716</v>
      </c>
      <c r="H279">
        <v>7924</v>
      </c>
      <c r="I279">
        <v>8845</v>
      </c>
      <c r="J279" s="1" t="s">
        <v>1152</v>
      </c>
    </row>
    <row r="280" spans="1:10" ht="15">
      <c r="A280" s="1" t="s">
        <v>144</v>
      </c>
      <c r="B280">
        <v>106</v>
      </c>
      <c r="C280">
        <v>6400</v>
      </c>
      <c r="D280" s="337" t="s">
        <v>1302</v>
      </c>
      <c r="E280" s="1" t="s">
        <v>1302</v>
      </c>
      <c r="F280" s="53">
        <v>1753</v>
      </c>
      <c r="G280">
        <v>1751</v>
      </c>
      <c r="H280">
        <v>1762</v>
      </c>
      <c r="I280">
        <v>3405</v>
      </c>
      <c r="J280" s="1" t="s">
        <v>1344</v>
      </c>
    </row>
    <row r="281" spans="1:10" ht="15">
      <c r="A281" s="1" t="s">
        <v>1053</v>
      </c>
      <c r="B281">
        <v>52</v>
      </c>
      <c r="C281">
        <v>6400</v>
      </c>
      <c r="D281" s="337" t="s">
        <v>1302</v>
      </c>
      <c r="E281" s="1" t="s">
        <v>1302</v>
      </c>
      <c r="F281" s="53">
        <v>1753</v>
      </c>
      <c r="G281">
        <v>1751</v>
      </c>
      <c r="H281">
        <v>1762</v>
      </c>
      <c r="I281">
        <v>3405</v>
      </c>
      <c r="J281" s="1" t="s">
        <v>1344</v>
      </c>
    </row>
    <row r="282" spans="1:10" ht="15">
      <c r="A282" s="1" t="s">
        <v>811</v>
      </c>
      <c r="B282">
        <v>90</v>
      </c>
      <c r="C282">
        <v>6400</v>
      </c>
      <c r="D282" s="337" t="s">
        <v>1302</v>
      </c>
      <c r="E282" s="1" t="s">
        <v>1302</v>
      </c>
      <c r="F282" s="53">
        <v>1753</v>
      </c>
      <c r="G282">
        <v>1751</v>
      </c>
      <c r="H282">
        <v>1762</v>
      </c>
      <c r="I282">
        <v>3405</v>
      </c>
      <c r="J282" s="1" t="s">
        <v>1344</v>
      </c>
    </row>
    <row r="283" spans="1:10" ht="15">
      <c r="A283" s="1" t="s">
        <v>471</v>
      </c>
      <c r="B283">
        <v>156</v>
      </c>
      <c r="C283">
        <v>6400</v>
      </c>
      <c r="D283" s="337" t="s">
        <v>1302</v>
      </c>
      <c r="E283" s="1" t="s">
        <v>1302</v>
      </c>
      <c r="F283" s="53">
        <v>1753</v>
      </c>
      <c r="G283">
        <v>1751</v>
      </c>
      <c r="H283">
        <v>1762</v>
      </c>
      <c r="I283">
        <v>3405</v>
      </c>
      <c r="J283" s="1" t="s">
        <v>1344</v>
      </c>
    </row>
    <row r="284" spans="1:10">
      <c r="F284">
        <f>SUM(F2:F283)</f>
        <v>4372792</v>
      </c>
      <c r="G284">
        <f>SUM(G2:G283)</f>
        <v>4464063</v>
      </c>
      <c r="H284">
        <f>SUM(H2:H283)</f>
        <v>4407271</v>
      </c>
      <c r="I284">
        <f>SUM(I2:I283)</f>
        <v>4463027</v>
      </c>
    </row>
  </sheetData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topLeftCell="A7" workbookViewId="0">
      <selection activeCell="A39" sqref="A39"/>
    </sheetView>
  </sheetViews>
  <sheetFormatPr defaultRowHeight="12.75"/>
  <cols>
    <col min="2" max="2" width="13.140625" customWidth="1"/>
    <col min="3" max="3" width="12.42578125" bestFit="1" customWidth="1"/>
    <col min="4" max="5" width="14.140625" bestFit="1" customWidth="1"/>
    <col min="6" max="6" width="13.140625" bestFit="1" customWidth="1"/>
    <col min="8" max="8" width="11.7109375" customWidth="1"/>
    <col min="10" max="10" width="14.7109375" customWidth="1"/>
  </cols>
  <sheetData>
    <row r="1" spans="1:14">
      <c r="A1" s="2" t="s">
        <v>20</v>
      </c>
    </row>
    <row r="2" spans="1:14">
      <c r="A2" t="s">
        <v>1152</v>
      </c>
    </row>
    <row r="3" spans="1:14">
      <c r="A3" s="3" t="s">
        <v>21</v>
      </c>
    </row>
    <row r="4" spans="1:14">
      <c r="A4" t="s">
        <v>22</v>
      </c>
    </row>
    <row r="5" spans="1:14">
      <c r="A5" t="s">
        <v>23</v>
      </c>
      <c r="I5" s="3"/>
    </row>
    <row r="6" spans="1:14">
      <c r="I6" s="285"/>
    </row>
    <row r="7" spans="1:14">
      <c r="H7" s="3"/>
    </row>
    <row r="8" spans="1:14">
      <c r="C8" t="s">
        <v>24</v>
      </c>
      <c r="D8" t="s">
        <v>24</v>
      </c>
      <c r="E8" t="s">
        <v>24</v>
      </c>
      <c r="F8" t="s">
        <v>24</v>
      </c>
    </row>
    <row r="9" spans="1:14">
      <c r="B9" t="s">
        <v>25</v>
      </c>
      <c r="C9">
        <v>2007</v>
      </c>
      <c r="D9">
        <v>2008</v>
      </c>
      <c r="E9">
        <v>2009</v>
      </c>
      <c r="F9">
        <v>2010</v>
      </c>
      <c r="H9" t="s">
        <v>26</v>
      </c>
    </row>
    <row r="10" spans="1:14">
      <c r="A10" t="s">
        <v>27</v>
      </c>
      <c r="B10" s="132">
        <v>0.7</v>
      </c>
      <c r="C10">
        <f>'[1]priser, benzin'!D14</f>
        <v>10.064166666666665</v>
      </c>
      <c r="D10">
        <f>'[1]priser, benzin'!D28</f>
        <v>10.491666666666665</v>
      </c>
      <c r="E10">
        <f>'[1]priser, benzin'!D42</f>
        <v>9.8783333333333356</v>
      </c>
      <c r="F10">
        <f>'[1]priser, benzin'!D56</f>
        <v>11.053333333333333</v>
      </c>
      <c r="G10" s="3" t="s">
        <v>27</v>
      </c>
      <c r="H10" s="22">
        <v>2.39805</v>
      </c>
      <c r="I10" s="22"/>
      <c r="J10" s="22"/>
      <c r="K10" s="22"/>
      <c r="L10" s="22"/>
      <c r="M10" s="22"/>
      <c r="N10" s="22"/>
    </row>
    <row r="11" spans="1:14">
      <c r="A11" t="s">
        <v>28</v>
      </c>
      <c r="B11" s="132">
        <v>0.3</v>
      </c>
      <c r="C11">
        <f>'[1]priser, diesel'!D15</f>
        <v>8.9608333333333334</v>
      </c>
      <c r="D11">
        <f>'[1]priser, diesel'!D29</f>
        <v>10.092499999999999</v>
      </c>
      <c r="E11">
        <f>'[1]priser, diesel'!D43</f>
        <v>8.5366666666666653</v>
      </c>
      <c r="F11">
        <f>'[1]priser, diesel'!D57</f>
        <v>9.7258333333333358</v>
      </c>
      <c r="G11" s="3" t="s">
        <v>28</v>
      </c>
      <c r="H11" s="22">
        <v>2.6543800000000002</v>
      </c>
      <c r="I11" s="22"/>
      <c r="J11" s="22"/>
      <c r="K11" s="22"/>
      <c r="L11" s="22"/>
      <c r="M11" s="22"/>
      <c r="N11" s="22"/>
    </row>
    <row r="12" spans="1:14">
      <c r="A12" s="3" t="s">
        <v>29</v>
      </c>
      <c r="B12" s="132">
        <v>1</v>
      </c>
      <c r="C12">
        <f>$B$10*C10+$B$11*C11</f>
        <v>9.7331666666666656</v>
      </c>
      <c r="D12">
        <f>$B$10*D10+$B$11*D11</f>
        <v>10.371916666666666</v>
      </c>
      <c r="E12">
        <f>$B$10*E10+$B$11*E11</f>
        <v>9.475833333333334</v>
      </c>
      <c r="F12">
        <f>$B$10*F10+$B$11*F11</f>
        <v>10.655083333333334</v>
      </c>
      <c r="G12" s="3" t="s">
        <v>29</v>
      </c>
      <c r="H12" s="22">
        <f>H11*B11+H10*B10</f>
        <v>2.4749490000000001</v>
      </c>
      <c r="I12" s="22"/>
      <c r="J12" s="22"/>
      <c r="K12" s="22"/>
      <c r="L12" s="22"/>
      <c r="M12" s="22"/>
      <c r="N12" s="22"/>
    </row>
    <row r="13" spans="1:14">
      <c r="G13" s="286" t="s">
        <v>1230</v>
      </c>
      <c r="H13" s="286">
        <v>2990</v>
      </c>
      <c r="I13" s="286" t="s">
        <v>1231</v>
      </c>
      <c r="J13" s="3" t="s">
        <v>1233</v>
      </c>
      <c r="K13">
        <v>0.54</v>
      </c>
      <c r="L13" s="3" t="s">
        <v>1232</v>
      </c>
      <c r="M13" s="304">
        <f>K13*H13</f>
        <v>1614.6000000000001</v>
      </c>
      <c r="N13" s="3" t="s">
        <v>45</v>
      </c>
    </row>
    <row r="14" spans="1:14">
      <c r="H14" s="3" t="s">
        <v>30</v>
      </c>
    </row>
    <row r="16" spans="1:14">
      <c r="A16" s="2" t="s">
        <v>31</v>
      </c>
    </row>
    <row r="17" spans="2:16">
      <c r="B17" s="2" t="s">
        <v>32</v>
      </c>
    </row>
    <row r="18" spans="2:16">
      <c r="C18">
        <v>2007</v>
      </c>
      <c r="D18">
        <v>2008</v>
      </c>
      <c r="E18">
        <v>2009</v>
      </c>
      <c r="F18">
        <v>2010</v>
      </c>
    </row>
    <row r="19" spans="2:16">
      <c r="B19" s="3" t="s">
        <v>33</v>
      </c>
      <c r="C19" s="287"/>
      <c r="D19" s="287">
        <v>2539104</v>
      </c>
      <c r="E19" s="287">
        <f>'[1]Brændsel og drivmidler 2009, rå'!D981</f>
        <v>2445921</v>
      </c>
      <c r="F19" s="287">
        <f>'[1]Brændsel og drivmidler 2010, rå'!D778</f>
        <v>2556885</v>
      </c>
    </row>
    <row r="20" spans="2:16">
      <c r="B20" s="3" t="s">
        <v>34</v>
      </c>
      <c r="C20" s="287">
        <v>201283</v>
      </c>
      <c r="D20" s="287">
        <f>D19/D12</f>
        <v>244805.66915468857</v>
      </c>
      <c r="E20" s="287">
        <f>E19/E12</f>
        <v>258121.99454753319</v>
      </c>
      <c r="F20" s="287">
        <f>F19/F12</f>
        <v>239968.55960769899</v>
      </c>
    </row>
    <row r="21" spans="2:16">
      <c r="B21" s="2" t="s">
        <v>35</v>
      </c>
      <c r="C21" s="288">
        <f>$H$12*C20/1000</f>
        <v>498.16515956699999</v>
      </c>
      <c r="D21" s="288">
        <f>$H$12*D20/1000</f>
        <v>605.8815460687274</v>
      </c>
      <c r="E21" s="288">
        <f>$H$12*E20/1000</f>
        <v>638.83877228342271</v>
      </c>
      <c r="F21" s="288">
        <f>$H$12*F20/1000</f>
        <v>593.90994663251502</v>
      </c>
    </row>
    <row r="22" spans="2:16">
      <c r="F22" s="305"/>
    </row>
    <row r="24" spans="2:16">
      <c r="B24" s="2" t="s">
        <v>53</v>
      </c>
    </row>
    <row r="25" spans="2:16">
      <c r="C25">
        <v>2007</v>
      </c>
      <c r="D25">
        <v>2008</v>
      </c>
      <c r="E25">
        <v>2009</v>
      </c>
      <c r="F25">
        <v>2010</v>
      </c>
      <c r="J25" s="2"/>
      <c r="K25" s="2"/>
      <c r="L25" s="2"/>
      <c r="M25" s="2"/>
      <c r="N25" s="2"/>
      <c r="O25" s="2"/>
      <c r="P25" s="2"/>
    </row>
    <row r="26" spans="2:16">
      <c r="B26" s="3" t="s">
        <v>36</v>
      </c>
      <c r="C26" s="287">
        <v>11856</v>
      </c>
      <c r="D26" s="287">
        <v>11856</v>
      </c>
      <c r="E26" s="287">
        <v>9100</v>
      </c>
      <c r="F26" s="287">
        <f>200+2600+400+3903</f>
        <v>7103</v>
      </c>
      <c r="J26" s="2"/>
      <c r="K26" s="2"/>
      <c r="L26" s="2"/>
      <c r="M26" s="2"/>
      <c r="N26" s="2"/>
      <c r="O26" s="2"/>
      <c r="P26" s="2"/>
    </row>
    <row r="27" spans="2:16">
      <c r="B27" s="3" t="s">
        <v>37</v>
      </c>
      <c r="C27" s="287">
        <v>344134</v>
      </c>
      <c r="D27" s="287">
        <v>292612</v>
      </c>
      <c r="E27" s="287">
        <v>297838</v>
      </c>
      <c r="F27" s="287">
        <f>28885+37367+161124+78927+20159+65198</f>
        <v>391660</v>
      </c>
      <c r="J27" s="2"/>
      <c r="K27" s="3"/>
      <c r="P27" s="3"/>
    </row>
    <row r="28" spans="2:16">
      <c r="B28" s="2" t="s">
        <v>39</v>
      </c>
      <c r="C28" s="288">
        <f>(C26*$H$10+C27*$H$11)/1000</f>
        <v>941.89368772</v>
      </c>
      <c r="D28" s="288">
        <f>(D26*$H$10+D27*$H$11)/1000</f>
        <v>805.13472135999996</v>
      </c>
      <c r="E28" s="288">
        <f>(E26*$H$10+E27*$H$11)/1000</f>
        <v>812.39748544000008</v>
      </c>
      <c r="F28" s="288">
        <f>(F26*$H$10+F27*$H$11)/1000</f>
        <v>1056.6478199500002</v>
      </c>
      <c r="G28" s="3"/>
      <c r="J28" s="2"/>
      <c r="K28" s="3"/>
      <c r="P28" s="3"/>
    </row>
    <row r="29" spans="2:16">
      <c r="B29" s="2"/>
      <c r="C29" s="288"/>
      <c r="D29" s="288"/>
      <c r="E29" s="288"/>
      <c r="F29" s="288"/>
      <c r="G29" s="3"/>
      <c r="J29" s="2"/>
      <c r="K29" s="3"/>
      <c r="P29" s="3"/>
    </row>
    <row r="30" spans="2:16">
      <c r="B30" s="3" t="s">
        <v>38</v>
      </c>
      <c r="C30" s="287">
        <f>9213*0.54+6884+1718</f>
        <v>13577.02</v>
      </c>
      <c r="D30" s="20">
        <f>2702*K1+8475+8811</f>
        <v>17286</v>
      </c>
      <c r="E30" s="287">
        <f>7651+12619</f>
        <v>20270</v>
      </c>
      <c r="F30" s="287">
        <f>9098+7582</f>
        <v>16680</v>
      </c>
      <c r="G30" s="3" t="s">
        <v>57</v>
      </c>
      <c r="J30" s="2"/>
      <c r="K30" s="3"/>
      <c r="P30" s="3"/>
    </row>
    <row r="31" spans="2:16">
      <c r="B31" s="2" t="s">
        <v>35</v>
      </c>
      <c r="C31" s="23">
        <f>C30*$H$13/1000000</f>
        <v>40.595289800000003</v>
      </c>
      <c r="D31" s="23">
        <f>D30*$H$13/1000000</f>
        <v>51.685139999999997</v>
      </c>
      <c r="E31" s="23">
        <f>E30*$H$13/1000000</f>
        <v>60.607300000000002</v>
      </c>
      <c r="F31" s="23">
        <f>F30*$H$13/1000000</f>
        <v>49.873199999999997</v>
      </c>
      <c r="K31" s="3"/>
    </row>
    <row r="32" spans="2:16">
      <c r="C32" s="287"/>
      <c r="D32" s="287"/>
      <c r="E32" s="287"/>
      <c r="F32" s="287"/>
      <c r="J32" s="2"/>
      <c r="K32" s="3"/>
      <c r="L32" s="20"/>
      <c r="M32" s="20"/>
      <c r="N32" s="20"/>
      <c r="O32" s="20"/>
    </row>
    <row r="33" spans="1:16">
      <c r="B33" s="316" t="s">
        <v>54</v>
      </c>
      <c r="C33" s="316">
        <v>5569</v>
      </c>
      <c r="D33" s="316">
        <v>1606</v>
      </c>
      <c r="E33" s="316" t="s">
        <v>55</v>
      </c>
      <c r="F33" s="316"/>
      <c r="G33" s="3"/>
      <c r="J33" s="2"/>
      <c r="K33" s="3"/>
      <c r="L33" s="20"/>
      <c r="M33" s="20"/>
      <c r="N33" s="20"/>
      <c r="O33" s="20"/>
    </row>
    <row r="34" spans="1:16">
      <c r="B34" s="316" t="s">
        <v>56</v>
      </c>
      <c r="C34" s="316">
        <v>9118</v>
      </c>
      <c r="D34" s="316">
        <v>27395</v>
      </c>
      <c r="E34" s="316"/>
      <c r="F34" s="316"/>
      <c r="K34" s="3"/>
      <c r="L34" s="20"/>
      <c r="M34" s="20"/>
      <c r="N34" s="20"/>
      <c r="O34" s="20"/>
      <c r="P34" s="3"/>
    </row>
    <row r="41" spans="1:16">
      <c r="A41" s="285" t="s">
        <v>40</v>
      </c>
    </row>
    <row r="42" spans="1:16">
      <c r="A42" s="3" t="s">
        <v>49</v>
      </c>
    </row>
    <row r="43" spans="1:16">
      <c r="A43" s="3" t="s">
        <v>48</v>
      </c>
    </row>
  </sheetData>
  <phoneticPr fontId="18" type="noConversion"/>
  <hyperlinks>
    <hyperlink ref="A4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1</vt:i4>
      </vt:variant>
    </vt:vector>
  </HeadingPairs>
  <TitlesOfParts>
    <vt:vector size="15" baseType="lpstr">
      <vt:lpstr>grafer</vt:lpstr>
      <vt:lpstr>Total </vt:lpstr>
      <vt:lpstr>Ejendomme samlet beregning</vt:lpstr>
      <vt:lpstr>CO2 fjernvarme</vt:lpstr>
      <vt:lpstr>Elforbrug ejendomme</vt:lpstr>
      <vt:lpstr>Varmeforbrug ejendomme</vt:lpstr>
      <vt:lpstr>graddage</vt:lpstr>
      <vt:lpstr>El til gadebelysning</vt:lpstr>
      <vt:lpstr>egne og leasede køretøjer</vt:lpstr>
      <vt:lpstr>Vand KMD</vt:lpstr>
      <vt:lpstr>Gadebelysning fra vand</vt:lpstr>
      <vt:lpstr>Plejehjem</vt:lpstr>
      <vt:lpstr>Børnehaver</vt:lpstr>
      <vt:lpstr>Skoler</vt:lpstr>
      <vt:lpstr>'Elforbrug ejendomme'!Udskriftstitler</vt:lpstr>
    </vt:vector>
  </TitlesOfParts>
  <Company>Sønderborg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dkasto</dc:creator>
  <cp:lastModifiedBy>Gustav Brade</cp:lastModifiedBy>
  <cp:lastPrinted>2011-08-04T13:10:57Z</cp:lastPrinted>
  <dcterms:created xsi:type="dcterms:W3CDTF">2009-08-13T06:01:43Z</dcterms:created>
  <dcterms:modified xsi:type="dcterms:W3CDTF">2011-08-11T12:08:55Z</dcterms:modified>
</cp:coreProperties>
</file>