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95" windowHeight="11640" activeTab="5"/>
  </bookViews>
  <sheets>
    <sheet name="faktorer" sheetId="1" r:id="rId1"/>
    <sheet name="teknik" sheetId="2" r:id="rId2"/>
    <sheet name="affald" sheetId="3" r:id="rId3"/>
    <sheet name="kom byg" sheetId="4" r:id="rId4"/>
    <sheet name="transport" sheetId="5" r:id="rId5"/>
    <sheet name="total" sheetId="6" r:id="rId6"/>
    <sheet name="pr borger" sheetId="7" r:id="rId7"/>
    <sheet name="pr m2" sheetId="8" r:id="rId8"/>
  </sheets>
  <definedNames/>
  <calcPr fullCalcOnLoad="1"/>
</workbook>
</file>

<file path=xl/comments5.xml><?xml version="1.0" encoding="utf-8"?>
<comments xmlns="http://schemas.openxmlformats.org/spreadsheetml/2006/main">
  <authors>
    <author>pel</author>
  </authors>
  <commentList>
    <comment ref="C61" authorId="0">
      <text>
        <r>
          <rPr>
            <b/>
            <sz val="8"/>
            <rFont val="Tahoma"/>
            <family val="2"/>
          </rPr>
          <t xml:space="preserve">pel: </t>
        </r>
        <r>
          <rPr>
            <sz val="8"/>
            <rFont val="Tahoma"/>
            <family val="2"/>
          </rPr>
          <t>Jf. Trafik-selskabernes omkostningsindeks for buskørsel. Andel af indeks, der hidrører fra entreprenørers brændstofsudgifter.</t>
        </r>
      </text>
    </comment>
  </commentList>
</comments>
</file>

<file path=xl/sharedStrings.xml><?xml version="1.0" encoding="utf-8"?>
<sst xmlns="http://schemas.openxmlformats.org/spreadsheetml/2006/main" count="471" uniqueCount="281">
  <si>
    <t>Område/delområde</t>
  </si>
  <si>
    <t>administrationsbygninger</t>
  </si>
  <si>
    <t>skoler</t>
  </si>
  <si>
    <t>daginstitutioner</t>
  </si>
  <si>
    <t>fritids- og ungdomsklubber</t>
  </si>
  <si>
    <t>ældrepleje</t>
  </si>
  <si>
    <t>specialinstitutioner</t>
  </si>
  <si>
    <t>andre bygninger</t>
  </si>
  <si>
    <t>Transport i alt</t>
  </si>
  <si>
    <t>plejepersonalekørsel (hjemmepleje mv)</t>
  </si>
  <si>
    <t>Energiforbrug i kommunale bygninger i alt</t>
  </si>
  <si>
    <t>Offentlig transport i alt</t>
  </si>
  <si>
    <t>offentlige busser</t>
  </si>
  <si>
    <t>færger</t>
  </si>
  <si>
    <t>skolebusser</t>
  </si>
  <si>
    <t>Vejbelysning</t>
  </si>
  <si>
    <t>Idrætsanlæg i alt</t>
  </si>
  <si>
    <t>udendørs boldbaner</t>
  </si>
  <si>
    <t>sportshaller</t>
  </si>
  <si>
    <t>svømmehaller</t>
  </si>
  <si>
    <t>udendørssvømmebassiner</t>
  </si>
  <si>
    <t>skøjtehaller</t>
  </si>
  <si>
    <t>andre</t>
  </si>
  <si>
    <t>Affald i alt</t>
  </si>
  <si>
    <t>behandling af husholdningsaffald</t>
  </si>
  <si>
    <t>Tekniske anlæg i alt</t>
  </si>
  <si>
    <t>vandværker</t>
  </si>
  <si>
    <t>renseanlæg</t>
  </si>
  <si>
    <t>genbrugspladser</t>
  </si>
  <si>
    <t>lufthavn</t>
  </si>
  <si>
    <t>beredskab</t>
  </si>
  <si>
    <t>I alt (hele kommunen)</t>
  </si>
  <si>
    <t>I alt (hele kommunen) ændring i %</t>
  </si>
  <si>
    <t>ændring</t>
  </si>
  <si>
    <r>
      <t>Total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</t>
    </r>
  </si>
  <si>
    <t>Fællesforbrug ved kommunalt byggeri</t>
  </si>
  <si>
    <t>I alt (pr. borger for hele kommunen)</t>
  </si>
  <si>
    <t>ton/borger/år</t>
  </si>
  <si>
    <t>Ændring</t>
  </si>
  <si>
    <t>Relativ udledning per borger</t>
  </si>
  <si>
    <t>Antal borgere</t>
  </si>
  <si>
    <t xml:space="preserve"> </t>
  </si>
  <si>
    <t>Elforbrug</t>
  </si>
  <si>
    <r>
      <t>Relativ udledning pr. m</t>
    </r>
    <r>
      <rPr>
        <vertAlign val="superscript"/>
        <sz val="14"/>
        <rFont val="Arial"/>
        <family val="2"/>
      </rPr>
      <t>2</t>
    </r>
  </si>
  <si>
    <r>
      <t>kwh/m</t>
    </r>
    <r>
      <rPr>
        <b/>
        <vertAlign val="superscript"/>
        <sz val="14"/>
        <rFont val="Arial"/>
        <family val="2"/>
      </rPr>
      <t>2</t>
    </r>
  </si>
  <si>
    <t>Varmeforbrug</t>
  </si>
  <si>
    <r>
      <t>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</t>
    </r>
  </si>
  <si>
    <r>
      <t>kg/m</t>
    </r>
    <r>
      <rPr>
        <b/>
        <vertAlign val="superscript"/>
        <sz val="14"/>
        <rFont val="Arial"/>
        <family val="2"/>
      </rPr>
      <t>2</t>
    </r>
  </si>
  <si>
    <r>
      <t xml:space="preserve"> Antal m</t>
    </r>
    <r>
      <rPr>
        <vertAlign val="superscript"/>
        <sz val="14"/>
        <rFont val="Arial"/>
        <family val="2"/>
      </rPr>
      <t>2</t>
    </r>
  </si>
  <si>
    <t>Transport</t>
  </si>
  <si>
    <t>Hej Elise,</t>
  </si>
  <si>
    <t>Vi laver opgørelse hvert år i Renovest og Miljøet som er tilgængelig på vores hjemmeside.</t>
  </si>
  <si>
    <t>Herfra stammer vedhæftede uddrag, som jeg håber, du kan bruge. Desuden har jeg tilføjet en kommentar omkring vores deponi gas.</t>
  </si>
  <si>
    <t>Med venlig hilsen</t>
  </si>
  <si>
    <t>Jeanne Bisgaard Schleef</t>
  </si>
  <si>
    <t>Kvalitetskoordinator</t>
  </si>
  <si>
    <t>Renovest I/S, Stengårdsvej 33, 9670 Løgstør</t>
  </si>
  <si>
    <t>Tlf. 98 68 32 00 - direkte 41 990 345</t>
  </si>
  <si>
    <t>km</t>
  </si>
  <si>
    <t>2,40 kg CO2/liter jfr. Bilag 9.3 i Teknisk baggrundsrapport</t>
  </si>
  <si>
    <r>
      <t>kg CO</t>
    </r>
    <r>
      <rPr>
        <vertAlign val="subscript"/>
        <sz val="10"/>
        <rFont val="Arial"/>
        <family val="2"/>
      </rPr>
      <t>2</t>
    </r>
  </si>
  <si>
    <t>2) CO2 beregnet som benzin og med forbrug på 15 km/l</t>
  </si>
  <si>
    <t>uden for leasing</t>
  </si>
  <si>
    <t>i alt</t>
  </si>
  <si>
    <t>liter diesel</t>
  </si>
  <si>
    <t>dieselforbrug skønnet for Park og Vej , 2008</t>
  </si>
  <si>
    <t xml:space="preserve">i alt </t>
  </si>
  <si>
    <t>Park og Vej, kørsel og forbrug</t>
  </si>
  <si>
    <t>vandværker 1)</t>
  </si>
  <si>
    <t>NT buskørsel på lokalruter</t>
  </si>
  <si>
    <t>antal</t>
  </si>
  <si>
    <t>Brændstof-forbrug (ltr.)</t>
  </si>
  <si>
    <t>ture</t>
  </si>
  <si>
    <t>køre(plan)timer</t>
  </si>
  <si>
    <t>pr. time</t>
  </si>
  <si>
    <t>året</t>
  </si>
  <si>
    <t>året i alt, alle</t>
  </si>
  <si>
    <t>kilde: NT økonomirapport 7/8-07</t>
  </si>
  <si>
    <t>A-kontrakter, køreplantimer</t>
  </si>
  <si>
    <t>B-/T-kontrakter, køreplantimer</t>
  </si>
  <si>
    <t>Teletaxi, antal ture</t>
  </si>
  <si>
    <t>kilde: NT økonomirapport 12/9-08</t>
  </si>
  <si>
    <t>kilde: Finn Larsen NT</t>
  </si>
  <si>
    <t>Elevbefordring, Børne- og Skoleforvaltningen</t>
  </si>
  <si>
    <t>Faktisk regnskab (kr.)</t>
  </si>
  <si>
    <t>specialskoler</t>
  </si>
  <si>
    <t>normal</t>
  </si>
  <si>
    <t>svømmekørsel</t>
  </si>
  <si>
    <t>korrektion for forsinket fremsendelse af regninger fra andre kommuner</t>
  </si>
  <si>
    <t>Sum (kr.)</t>
  </si>
  <si>
    <t>heraf brændstof</t>
  </si>
  <si>
    <t>omkostningsindeks for buskørsel</t>
  </si>
  <si>
    <t>brændstofpris, diesel, kr. pr. ltr.</t>
  </si>
  <si>
    <t>brændstof-forbrug (ltr.)</t>
  </si>
  <si>
    <t>Jeg har ikke nogen opgørelse over brændstofforbrug, men for 139 biler er der medtaget budgetteret antal km. I 2010 er der ialt budgetteret med 3.028.000 km. Der skal henvises til vedhæftede regneark.</t>
  </si>
  <si>
    <t>Det sene svar skal beklages.</t>
  </si>
  <si>
    <t>Oversigt over bilparken i Vesthimmerlands Kommune, februar 2010</t>
  </si>
  <si>
    <t>Kostcenter navn</t>
  </si>
  <si>
    <t>Reg. nr.</t>
  </si>
  <si>
    <t>Bil mærke</t>
  </si>
  <si>
    <t>Bil model beskr.</t>
  </si>
  <si>
    <t>Bil model variant</t>
  </si>
  <si>
    <t>Km budget pr. år nu</t>
  </si>
  <si>
    <t>PEUGEOT</t>
  </si>
  <si>
    <t>TOYOTA</t>
  </si>
  <si>
    <t>FORD</t>
  </si>
  <si>
    <t>Transit</t>
  </si>
  <si>
    <t>Partner</t>
  </si>
  <si>
    <t>VOLKSWAGEN</t>
  </si>
  <si>
    <t>Transit 150L CL</t>
  </si>
  <si>
    <t>Chassis HD</t>
  </si>
  <si>
    <t>KIA</t>
  </si>
  <si>
    <t>K2700</t>
  </si>
  <si>
    <t>Transporter D</t>
  </si>
  <si>
    <t>King Cab</t>
  </si>
  <si>
    <t>Teknisk forvaltning</t>
  </si>
  <si>
    <t>FA22326</t>
  </si>
  <si>
    <t>Aygo</t>
  </si>
  <si>
    <t>1.0 Plus M. Vsc &amp; Gardinairbag</t>
  </si>
  <si>
    <t>TM39947</t>
  </si>
  <si>
    <t>Mondeo</t>
  </si>
  <si>
    <t>2.0 FashionPlus</t>
  </si>
  <si>
    <t>Havnen, Vesthimmerland</t>
  </si>
  <si>
    <t>XC95805</t>
  </si>
  <si>
    <t>CITROEN</t>
  </si>
  <si>
    <t>Jumper 32 2,5D</t>
  </si>
  <si>
    <t>L.chassis m/lad</t>
  </si>
  <si>
    <t>Beredskab, Vesthimmerland</t>
  </si>
  <si>
    <t>ZM40933</t>
  </si>
  <si>
    <t>Hiace 2400 D</t>
  </si>
  <si>
    <t>Lang Van</t>
  </si>
  <si>
    <t>XE51174</t>
  </si>
  <si>
    <t>Passat Var. DK</t>
  </si>
  <si>
    <t>1,9 TDI 130 HK</t>
  </si>
  <si>
    <t>UV58541</t>
  </si>
  <si>
    <t>RENAULT</t>
  </si>
  <si>
    <t>Kangoo</t>
  </si>
  <si>
    <t>1.6 Pri</t>
  </si>
  <si>
    <t>YJ53481</t>
  </si>
  <si>
    <t>Transit 100 S</t>
  </si>
  <si>
    <t>2,5 D Kombi</t>
  </si>
  <si>
    <t>KF21776</t>
  </si>
  <si>
    <t>LandCruiser LS</t>
  </si>
  <si>
    <t>100 4x4 4.2</t>
  </si>
  <si>
    <t>KF22217</t>
  </si>
  <si>
    <t>Rav4</t>
  </si>
  <si>
    <t>2.0 Vvt-I 4x4 5d</t>
  </si>
  <si>
    <t>RZ43135</t>
  </si>
  <si>
    <t>OD25869</t>
  </si>
  <si>
    <t>LT 31-78HK,D</t>
  </si>
  <si>
    <t>ZS44748</t>
  </si>
  <si>
    <t>1.0 Plus</t>
  </si>
  <si>
    <t>MN24335</t>
  </si>
  <si>
    <t>BUS årg. 1987</t>
  </si>
  <si>
    <t>Yaris</t>
  </si>
  <si>
    <t>1.0 linea Terra</t>
  </si>
  <si>
    <t>Transit 150S CL</t>
  </si>
  <si>
    <t>Transit 330L</t>
  </si>
  <si>
    <t>Børne- og Skoleforvaltning</t>
  </si>
  <si>
    <t>RH92601</t>
  </si>
  <si>
    <t>2,5 D Van</t>
  </si>
  <si>
    <t>RT96913</t>
  </si>
  <si>
    <t>Transit 320 M</t>
  </si>
  <si>
    <t>Kombi 90 HK</t>
  </si>
  <si>
    <t>SN93223</t>
  </si>
  <si>
    <t>Van 2,4 135 HK Kombi</t>
  </si>
  <si>
    <t>OC93873</t>
  </si>
  <si>
    <t>2,5 Kombi</t>
  </si>
  <si>
    <t>RS88487</t>
  </si>
  <si>
    <t>Caravelle Com.l</t>
  </si>
  <si>
    <t>2,5 115Hk Bus</t>
  </si>
  <si>
    <t>SN93150</t>
  </si>
  <si>
    <t>TY94359</t>
  </si>
  <si>
    <t>Caravelle bus</t>
  </si>
  <si>
    <t>9pers. 102hk Td</t>
  </si>
  <si>
    <t>TY94360</t>
  </si>
  <si>
    <t>VB90481</t>
  </si>
  <si>
    <t>300l Van 2.2tdci 110 Hk</t>
  </si>
  <si>
    <t>Borgerservice</t>
  </si>
  <si>
    <t>TD90373</t>
  </si>
  <si>
    <t>2,0 HDI Van</t>
  </si>
  <si>
    <t>TD90375</t>
  </si>
  <si>
    <t>TD90376</t>
  </si>
  <si>
    <t>TD90377</t>
  </si>
  <si>
    <t>TD90372</t>
  </si>
  <si>
    <t>TY54572</t>
  </si>
  <si>
    <t>TB34162</t>
  </si>
  <si>
    <t>Corolla Sedan</t>
  </si>
  <si>
    <t>XM93740</t>
  </si>
  <si>
    <t>300l Van Trend 2.2tdci 115 Hk</t>
  </si>
  <si>
    <t>Beskæftigelses-og Borgerservice</t>
  </si>
  <si>
    <t>OS94803</t>
  </si>
  <si>
    <t>OX93914</t>
  </si>
  <si>
    <t>PC89389</t>
  </si>
  <si>
    <t>SV92631</t>
  </si>
  <si>
    <t>Kultur- &amp; Fritidsforvaltningen</t>
  </si>
  <si>
    <t>TD97667</t>
  </si>
  <si>
    <t>Jumper 29 kasse</t>
  </si>
  <si>
    <t>2.0i 16V</t>
  </si>
  <si>
    <t>fra Lysdahl</t>
  </si>
  <si>
    <t>storskrald</t>
  </si>
  <si>
    <t>papir</t>
  </si>
  <si>
    <t>farligt affald</t>
  </si>
  <si>
    <t>dagrenovation</t>
  </si>
  <si>
    <t>indsamling af husholdninsaffald, liter diesel</t>
  </si>
  <si>
    <t>genbrugspl.</t>
  </si>
  <si>
    <t>behandling</t>
  </si>
  <si>
    <t>behandling af husholdningsaffald, liter diesel</t>
  </si>
  <si>
    <t>i alt liter diesel</t>
  </si>
  <si>
    <t>CO2</t>
  </si>
  <si>
    <t>bemærkning</t>
  </si>
  <si>
    <t>KWh</t>
  </si>
  <si>
    <t>naturgas</t>
  </si>
  <si>
    <t>egen gas</t>
  </si>
  <si>
    <t>CO2 i alt</t>
  </si>
  <si>
    <t>egen gas regnes som naturgas</t>
  </si>
  <si>
    <t>El i Vestdanmark</t>
  </si>
  <si>
    <t>diesel/fyringsolie</t>
  </si>
  <si>
    <t>kg CO2</t>
  </si>
  <si>
    <t>pr KWh</t>
  </si>
  <si>
    <t>pr liter</t>
  </si>
  <si>
    <t>pr m3</t>
  </si>
  <si>
    <t>benzin</t>
  </si>
  <si>
    <t>Faktorer fra Teknisk Baggrundsrapport DN/Rambøll</t>
  </si>
  <si>
    <t>regnes med ovenfor</t>
  </si>
  <si>
    <t>private biler 2)</t>
  </si>
  <si>
    <r>
      <t xml:space="preserve">kr </t>
    </r>
    <r>
      <rPr>
        <sz val="10"/>
        <rFont val="Arial"/>
        <family val="0"/>
      </rPr>
      <t>eller l</t>
    </r>
  </si>
  <si>
    <r>
      <t>kr</t>
    </r>
    <r>
      <rPr>
        <sz val="10"/>
        <rFont val="Arial"/>
        <family val="0"/>
      </rPr>
      <t xml:space="preserve"> eller l</t>
    </r>
  </si>
  <si>
    <t>færger 3)</t>
  </si>
  <si>
    <t>1) forvaltningsbiler budgetteret</t>
  </si>
  <si>
    <t>forvaltningers kørsel</t>
  </si>
  <si>
    <t>anden kørsel i administrationen 1)</t>
  </si>
  <si>
    <t>ændring kg/år</t>
  </si>
  <si>
    <t>anden tjenestekørsel (private biler)</t>
  </si>
  <si>
    <t>Administrationsbygninger</t>
  </si>
  <si>
    <t>varme</t>
  </si>
  <si>
    <t>FJV</t>
  </si>
  <si>
    <t>N-gas</t>
  </si>
  <si>
    <t>olie</t>
  </si>
  <si>
    <t>el</t>
  </si>
  <si>
    <t>i alt CO2</t>
  </si>
  <si>
    <t>plus/minus</t>
  </si>
  <si>
    <t>* varmekilde ikke angivet</t>
  </si>
  <si>
    <t>fjernvarme*</t>
  </si>
  <si>
    <t>* regnes som CO2-neutral fordi der fyres med neutrale brændsler som affald, halm og flis</t>
  </si>
  <si>
    <t>2) renseanlæggene i Vesthimmerlands Vand A/S</t>
  </si>
  <si>
    <t>1) Vandværkerne i Vesthimmerlands Vand A/S</t>
  </si>
  <si>
    <t>vejbelysning</t>
  </si>
  <si>
    <t>Park og vej: tal for 2009 er ikke kendt, hvorfor 2008 er kopieret</t>
  </si>
  <si>
    <t>Skolebusser: stigning skyldes samling af specialklasser</t>
  </si>
  <si>
    <t>diesel : 204.320,75</t>
  </si>
  <si>
    <t>benzin: 3486,01</t>
  </si>
  <si>
    <t>benzin l</t>
  </si>
  <si>
    <t>diesel l</t>
  </si>
  <si>
    <t>plus:</t>
  </si>
  <si>
    <t>reduktion</t>
  </si>
  <si>
    <t>minus:</t>
  </si>
  <si>
    <t>øgning</t>
  </si>
  <si>
    <t>årstal</t>
  </si>
  <si>
    <t>Renovest har overtaget indsamling af dagrenovation for hele kommunen fra 2010. Opgørelsen fra private vognmænd i 2009 er ikke medregnet</t>
  </si>
  <si>
    <t>1) 6 mindre kommunale vandværker</t>
  </si>
  <si>
    <t>park og vej (JRH)</t>
  </si>
  <si>
    <t>NT</t>
  </si>
  <si>
    <t>2010</t>
  </si>
  <si>
    <t>3) Renovest har overtaget hele indsamlingen i 2010. Tallene fra 2009 inkluderer ikke private vognmænd og er dermed for små</t>
  </si>
  <si>
    <t>renseanlæg 2)</t>
  </si>
  <si>
    <t>indsamling af husholdninsaaffald 3)</t>
  </si>
  <si>
    <t xml:space="preserve"> 2008 til 2009</t>
  </si>
  <si>
    <t>2009 til 2010</t>
  </si>
  <si>
    <t>vejbelysning 2)</t>
  </si>
  <si>
    <t>2) opgjort som udgift og pris pr. kWh</t>
  </si>
  <si>
    <t>2009:    2.725.854 kWh</t>
  </si>
  <si>
    <t>2010:    2.513.991 kWh</t>
  </si>
  <si>
    <t>skolebusser 4)</t>
  </si>
  <si>
    <t>4) specialklasser samlet i 2009. I 2010 er opgørelsesmetoden ændret</t>
  </si>
  <si>
    <t>skolebus</t>
  </si>
  <si>
    <t>Der blev udbetalt 13,6 mio. kr. i befordringsgodtgørelse i 2010. Det svarer til 3,829 mio. km (km/3,56 kr. )</t>
  </si>
  <si>
    <t xml:space="preserve">Det er ganske rigitgt ikke alle kommunens biler som er medtaget i Leaseplans program Fleetreporting. Der er pt. data for 88 biler og der budgetteres med ialt </t>
  </si>
  <si>
    <t>1.970.500 km.</t>
  </si>
  <si>
    <t>park og vej 5)</t>
  </si>
  <si>
    <t>5) 2009-tal er fiktive og åbenbart forkerte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</si>
</sst>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* #,##0_);_(* \(#,##0\);_(* &quot;-&quot;??_);_(@_)"/>
    <numFmt numFmtId="177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ans-serif"/>
      <family val="0"/>
    </font>
    <font>
      <b/>
      <sz val="10"/>
      <name val="Verdana"/>
      <family val="2"/>
    </font>
    <font>
      <i/>
      <sz val="10"/>
      <name val="Verdana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3" borderId="2" applyNumberFormat="0" applyAlignment="0" applyProtection="0"/>
    <xf numFmtId="0" fontId="47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49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1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40" borderId="10" xfId="0" applyNumberForma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0" fontId="0" fillId="38" borderId="0" xfId="0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38" borderId="0" xfId="0" applyFill="1" applyBorder="1" applyAlignment="1">
      <alignment/>
    </xf>
    <xf numFmtId="1" fontId="0" fillId="38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38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right"/>
    </xf>
    <xf numFmtId="1" fontId="0" fillId="34" borderId="11" xfId="0" applyNumberFormat="1" applyFill="1" applyBorder="1" applyAlignment="1">
      <alignment horizontal="right"/>
    </xf>
    <xf numFmtId="1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1" fontId="0" fillId="34" borderId="11" xfId="0" applyNumberForma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" fillId="38" borderId="10" xfId="0" applyFont="1" applyFill="1" applyBorder="1" applyAlignment="1">
      <alignment horizontal="center"/>
    </xf>
    <xf numFmtId="3" fontId="1" fillId="38" borderId="10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46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11</xdr:row>
      <xdr:rowOff>57150</xdr:rowOff>
    </xdr:from>
    <xdr:to>
      <xdr:col>8</xdr:col>
      <xdr:colOff>85725</xdr:colOff>
      <xdr:row>24</xdr:row>
      <xdr:rowOff>76200</xdr:rowOff>
    </xdr:to>
    <xdr:pic>
      <xdr:nvPicPr>
        <xdr:cNvPr id="1" name="Picture 3" descr="pic00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38325"/>
          <a:ext cx="73533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123825</xdr:colOff>
      <xdr:row>38</xdr:row>
      <xdr:rowOff>114300</xdr:rowOff>
    </xdr:to>
    <xdr:pic>
      <xdr:nvPicPr>
        <xdr:cNvPr id="2" name="Picture 4" descr="162544-10_v1_Forbrug af dieselolie på Renovest - pic06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7734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B2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57421875" style="0" customWidth="1"/>
    <col min="2" max="2" width="15.28125" style="0" customWidth="1"/>
  </cols>
  <sheetData>
    <row r="1" ht="12.75">
      <c r="A1" t="s">
        <v>223</v>
      </c>
    </row>
    <row r="3" spans="1:2" ht="12.75">
      <c r="A3" s="2"/>
      <c r="B3" s="3" t="s">
        <v>218</v>
      </c>
    </row>
    <row r="4" spans="1:2" ht="12.75">
      <c r="A4" s="2" t="s">
        <v>41</v>
      </c>
      <c r="B4" s="2" t="s">
        <v>219</v>
      </c>
    </row>
    <row r="5" spans="1:2" ht="12.75">
      <c r="A5" s="2" t="s">
        <v>216</v>
      </c>
      <c r="B5" s="2">
        <v>0.459</v>
      </c>
    </row>
    <row r="6" spans="1:2" ht="12.75">
      <c r="A6" s="2"/>
      <c r="B6" s="2" t="s">
        <v>220</v>
      </c>
    </row>
    <row r="7" spans="1:2" ht="12.75">
      <c r="A7" s="2" t="s">
        <v>222</v>
      </c>
      <c r="B7" s="2">
        <v>2.4</v>
      </c>
    </row>
    <row r="8" spans="1:2" ht="12.75">
      <c r="A8" s="2"/>
      <c r="B8" s="2" t="s">
        <v>220</v>
      </c>
    </row>
    <row r="9" spans="1:2" ht="12.75">
      <c r="A9" s="2" t="s">
        <v>217</v>
      </c>
      <c r="B9" s="2">
        <v>2.65</v>
      </c>
    </row>
    <row r="10" spans="1:2" ht="12.75">
      <c r="A10" s="2"/>
      <c r="B10" s="2" t="s">
        <v>221</v>
      </c>
    </row>
    <row r="11" spans="1:2" ht="12.75">
      <c r="A11" s="2" t="s">
        <v>212</v>
      </c>
      <c r="B11" s="2">
        <v>2.245</v>
      </c>
    </row>
    <row r="12" spans="1:2" ht="12.75">
      <c r="A12" s="2"/>
      <c r="B12" s="2"/>
    </row>
    <row r="13" spans="1:2" ht="12.75">
      <c r="A13" s="2" t="s">
        <v>243</v>
      </c>
      <c r="B13" s="2">
        <v>0</v>
      </c>
    </row>
    <row r="14" spans="1:2" ht="12.75">
      <c r="A14" s="2"/>
      <c r="B14" s="2"/>
    </row>
    <row r="16" ht="12.75">
      <c r="A16" t="s">
        <v>215</v>
      </c>
    </row>
    <row r="18" ht="12.75">
      <c r="A18" s="24" t="s">
        <v>61</v>
      </c>
    </row>
    <row r="19" ht="12.75">
      <c r="A19" s="24" t="s">
        <v>59</v>
      </c>
    </row>
    <row r="21" ht="12.75">
      <c r="A21" t="s">
        <v>244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26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29.8515625" style="0" customWidth="1"/>
    <col min="2" max="2" width="12.00390625" style="0" customWidth="1"/>
  </cols>
  <sheetData>
    <row r="1" spans="1:10" ht="12.75">
      <c r="A1" s="85">
        <v>2009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33" t="s">
        <v>25</v>
      </c>
      <c r="B2" s="2" t="s">
        <v>211</v>
      </c>
      <c r="C2" s="2" t="s">
        <v>209</v>
      </c>
      <c r="D2" s="2" t="s">
        <v>64</v>
      </c>
      <c r="E2" s="2" t="s">
        <v>209</v>
      </c>
      <c r="F2" s="2" t="s">
        <v>212</v>
      </c>
      <c r="G2" s="2" t="s">
        <v>209</v>
      </c>
      <c r="H2" s="2" t="s">
        <v>213</v>
      </c>
      <c r="I2" s="2" t="s">
        <v>209</v>
      </c>
      <c r="J2" s="2" t="s">
        <v>214</v>
      </c>
    </row>
    <row r="3" spans="1:10" ht="12.75">
      <c r="A3" s="16" t="s">
        <v>68</v>
      </c>
      <c r="B3" s="2">
        <v>34455</v>
      </c>
      <c r="C3" s="28">
        <f>B3*faktorer!B5</f>
        <v>15814.845000000001</v>
      </c>
      <c r="D3" s="2"/>
      <c r="E3" s="2"/>
      <c r="F3" s="2"/>
      <c r="G3" s="2"/>
      <c r="H3" s="2"/>
      <c r="I3" s="2"/>
      <c r="J3" s="28">
        <f>C3</f>
        <v>15814.845000000001</v>
      </c>
    </row>
    <row r="4" spans="1:10" ht="12.75">
      <c r="A4" s="16" t="s">
        <v>27</v>
      </c>
      <c r="B4" s="2">
        <v>4383342</v>
      </c>
      <c r="C4" s="28">
        <f>B4*0.459</f>
        <v>2011953.9780000001</v>
      </c>
      <c r="D4" s="2">
        <v>14770</v>
      </c>
      <c r="E4" s="2">
        <f>D4*faktorer!B9</f>
        <v>39140.5</v>
      </c>
      <c r="F4" s="2">
        <v>12247</v>
      </c>
      <c r="G4" s="2">
        <f>F4*faktorer!B11</f>
        <v>27494.515000000003</v>
      </c>
      <c r="H4" s="2">
        <v>14724</v>
      </c>
      <c r="I4" s="2">
        <v>0</v>
      </c>
      <c r="J4" s="28">
        <f>C4+E4+G4+I4</f>
        <v>2078588.993</v>
      </c>
    </row>
    <row r="5" spans="1:10" ht="12.75">
      <c r="A5" s="31" t="s">
        <v>269</v>
      </c>
      <c r="B5" s="2">
        <v>3029333</v>
      </c>
      <c r="C5" s="28">
        <f>teknik!B5*faktorer!B5</f>
        <v>1390463.847</v>
      </c>
      <c r="D5" s="2"/>
      <c r="E5" s="2"/>
      <c r="F5" s="2"/>
      <c r="G5" s="2"/>
      <c r="H5" s="2"/>
      <c r="I5" s="2"/>
      <c r="J5" s="28">
        <f>C5+E5+G5+I5</f>
        <v>1390463.847</v>
      </c>
    </row>
    <row r="6" spans="1:10" ht="12.75">
      <c r="A6" s="31"/>
      <c r="B6" s="83"/>
      <c r="C6" s="84"/>
      <c r="D6" s="83"/>
      <c r="E6" s="83"/>
      <c r="F6" s="83"/>
      <c r="G6" s="83"/>
      <c r="H6" s="83"/>
      <c r="I6" s="83"/>
      <c r="J6" s="83"/>
    </row>
    <row r="7" spans="1:10" ht="12.75">
      <c r="A7" s="86">
        <v>2010</v>
      </c>
      <c r="B7" s="88"/>
      <c r="C7" s="89"/>
      <c r="D7" s="88"/>
      <c r="E7" s="88"/>
      <c r="F7" s="88"/>
      <c r="G7" s="88"/>
      <c r="H7" s="88"/>
      <c r="I7" s="88"/>
      <c r="J7" s="88"/>
    </row>
    <row r="8" spans="1:20" ht="12.75">
      <c r="A8" s="33" t="s">
        <v>25</v>
      </c>
      <c r="B8" s="2" t="s">
        <v>211</v>
      </c>
      <c r="C8" s="2" t="s">
        <v>209</v>
      </c>
      <c r="D8" s="2" t="s">
        <v>64</v>
      </c>
      <c r="E8" s="2" t="s">
        <v>209</v>
      </c>
      <c r="F8" s="2" t="s">
        <v>212</v>
      </c>
      <c r="G8" s="2" t="s">
        <v>209</v>
      </c>
      <c r="H8" s="2" t="s">
        <v>213</v>
      </c>
      <c r="I8" s="2" t="s">
        <v>209</v>
      </c>
      <c r="J8" s="2" t="s">
        <v>214</v>
      </c>
      <c r="K8" s="31"/>
      <c r="L8" s="83"/>
      <c r="M8" s="84"/>
      <c r="N8" s="83"/>
      <c r="O8" s="83"/>
      <c r="P8" s="83"/>
      <c r="Q8" s="83"/>
      <c r="R8" s="83"/>
      <c r="S8" s="83"/>
      <c r="T8" s="83"/>
    </row>
    <row r="9" spans="1:20" ht="12.75">
      <c r="A9" s="16" t="s">
        <v>68</v>
      </c>
      <c r="B9" s="2">
        <v>37821</v>
      </c>
      <c r="C9" s="28">
        <f>B9*faktorer!B5</f>
        <v>17359.839</v>
      </c>
      <c r="D9" s="2"/>
      <c r="E9" s="2"/>
      <c r="F9" s="2"/>
      <c r="G9" s="2"/>
      <c r="H9" s="2"/>
      <c r="I9" s="2"/>
      <c r="J9" s="28">
        <f>C9</f>
        <v>17359.839</v>
      </c>
      <c r="K9" s="31"/>
      <c r="L9" s="83"/>
      <c r="M9" s="84"/>
      <c r="N9" s="83"/>
      <c r="O9" s="83"/>
      <c r="P9" s="83"/>
      <c r="Q9" s="83"/>
      <c r="R9" s="83"/>
      <c r="S9" s="83"/>
      <c r="T9" s="83"/>
    </row>
    <row r="10" spans="1:20" ht="12.75">
      <c r="A10" s="16" t="s">
        <v>27</v>
      </c>
      <c r="B10" s="2">
        <v>4346901</v>
      </c>
      <c r="C10" s="28">
        <f>B10*faktorer!B5</f>
        <v>1995227.5590000001</v>
      </c>
      <c r="D10" s="2">
        <v>16427</v>
      </c>
      <c r="E10" s="2">
        <f>D10*faktorer!B9</f>
        <v>43531.549999999996</v>
      </c>
      <c r="F10" s="2">
        <v>756</v>
      </c>
      <c r="G10" s="2">
        <f>F10*faktorer!B11</f>
        <v>1697.22</v>
      </c>
      <c r="H10" s="2">
        <v>15794</v>
      </c>
      <c r="I10" s="2">
        <v>0</v>
      </c>
      <c r="J10" s="28">
        <f>C10+E10+G10+I10</f>
        <v>2040456.3290000001</v>
      </c>
      <c r="K10" s="31"/>
      <c r="L10" s="83"/>
      <c r="M10" s="84"/>
      <c r="N10" s="83"/>
      <c r="O10" s="83"/>
      <c r="P10" s="83"/>
      <c r="Q10" s="83"/>
      <c r="R10" s="83"/>
      <c r="S10" s="83"/>
      <c r="T10" s="83"/>
    </row>
    <row r="11" spans="1:10" ht="12.75">
      <c r="A11" s="16" t="s">
        <v>247</v>
      </c>
      <c r="B11" s="2">
        <v>2774667</v>
      </c>
      <c r="C11" s="28">
        <f>B11*0.459</f>
        <v>1273572.1530000002</v>
      </c>
      <c r="D11" s="2"/>
      <c r="E11" s="2"/>
      <c r="F11" s="2"/>
      <c r="G11" s="2"/>
      <c r="H11" s="2"/>
      <c r="I11" s="2"/>
      <c r="J11" s="28">
        <f>C11+E11+G11+I11</f>
        <v>1273572.1530000002</v>
      </c>
    </row>
    <row r="13" ht="12.75">
      <c r="A13" s="24" t="s">
        <v>260</v>
      </c>
    </row>
    <row r="14" ht="12.75">
      <c r="A14" s="31" t="s">
        <v>270</v>
      </c>
    </row>
    <row r="16" ht="12.75">
      <c r="A16" s="34" t="s">
        <v>271</v>
      </c>
    </row>
    <row r="17" spans="1:5" ht="15">
      <c r="A17" s="34" t="s">
        <v>272</v>
      </c>
      <c r="B17" s="107"/>
      <c r="C17" s="106"/>
      <c r="D17" s="107"/>
      <c r="E17" s="106"/>
    </row>
    <row r="18" spans="1:5" ht="15">
      <c r="A18" s="111"/>
      <c r="B18" s="107"/>
      <c r="C18" s="106"/>
      <c r="D18" s="107"/>
      <c r="E18" s="106"/>
    </row>
    <row r="19" spans="2:5" ht="15">
      <c r="B19" s="107"/>
      <c r="C19" s="106"/>
      <c r="D19" s="107"/>
      <c r="E19" s="106"/>
    </row>
    <row r="20" spans="1:5" ht="15">
      <c r="A20" s="38"/>
      <c r="B20" s="107"/>
      <c r="C20" s="106"/>
      <c r="D20" s="107"/>
      <c r="E20" s="106"/>
    </row>
    <row r="21" spans="1:5" ht="15">
      <c r="A21" s="38"/>
      <c r="B21" s="107"/>
      <c r="C21" s="106"/>
      <c r="D21" s="106"/>
      <c r="E21" s="106"/>
    </row>
    <row r="22" spans="2:5" ht="15">
      <c r="B22" s="107"/>
      <c r="C22" s="106"/>
      <c r="D22" s="107"/>
      <c r="E22" s="106"/>
    </row>
    <row r="23" ht="12.75">
      <c r="A23" s="111"/>
    </row>
    <row r="25" spans="1:5" ht="15">
      <c r="A25" s="38"/>
      <c r="B25" s="107"/>
      <c r="C25" s="106"/>
      <c r="D25" s="107"/>
      <c r="E25" s="106"/>
    </row>
    <row r="26" ht="12.75">
      <c r="A26" s="38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8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0.8515625" style="0" customWidth="1"/>
    <col min="5" max="5" width="11.140625" style="0" customWidth="1"/>
    <col min="6" max="6" width="13.140625" style="0" customWidth="1"/>
    <col min="7" max="7" width="11.28125" style="0" customWidth="1"/>
    <col min="8" max="8" width="10.28125" style="0" customWidth="1"/>
    <col min="9" max="9" width="12.8515625" style="0" customWidth="1"/>
  </cols>
  <sheetData>
    <row r="1" spans="1:10" ht="12.75">
      <c r="A1" s="2">
        <v>2009</v>
      </c>
      <c r="B1" s="2" t="s">
        <v>258</v>
      </c>
      <c r="C1" s="2" t="s">
        <v>200</v>
      </c>
      <c r="D1" s="2" t="s">
        <v>201</v>
      </c>
      <c r="E1" s="2" t="s">
        <v>202</v>
      </c>
      <c r="F1" s="2" t="s">
        <v>203</v>
      </c>
      <c r="G1" s="2" t="s">
        <v>205</v>
      </c>
      <c r="H1" s="2" t="s">
        <v>206</v>
      </c>
      <c r="I1" s="2" t="s">
        <v>208</v>
      </c>
      <c r="J1" s="46" t="s">
        <v>209</v>
      </c>
    </row>
    <row r="2" spans="1:10" ht="12.75">
      <c r="A2" s="29" t="s">
        <v>204</v>
      </c>
      <c r="B2" s="29">
        <v>2009</v>
      </c>
      <c r="C2" s="2">
        <v>13807</v>
      </c>
      <c r="D2" s="2">
        <v>24051</v>
      </c>
      <c r="E2" s="2">
        <v>431</v>
      </c>
      <c r="F2" s="2">
        <v>8988</v>
      </c>
      <c r="G2" s="2">
        <v>1597</v>
      </c>
      <c r="H2" s="2" t="s">
        <v>41</v>
      </c>
      <c r="I2" s="2">
        <f>SUM(C2:H2)</f>
        <v>48874</v>
      </c>
      <c r="J2" s="28">
        <f>I2*faktorer!B9</f>
        <v>129516.09999999999</v>
      </c>
    </row>
    <row r="3" spans="1:10" ht="12.75">
      <c r="A3" s="29"/>
      <c r="B3" s="29">
        <v>2010</v>
      </c>
      <c r="C3" s="2">
        <v>14396</v>
      </c>
      <c r="D3" s="2">
        <v>24032</v>
      </c>
      <c r="E3" s="2">
        <v>1117</v>
      </c>
      <c r="F3" s="2">
        <v>96770</v>
      </c>
      <c r="G3" s="2">
        <v>1894</v>
      </c>
      <c r="I3" s="2">
        <f>SUM(C3:H3)</f>
        <v>138209</v>
      </c>
      <c r="J3" s="28">
        <f>I3*faktorer!B9</f>
        <v>366253.85</v>
      </c>
    </row>
    <row r="4" spans="1:10" ht="12.75">
      <c r="A4" s="29"/>
      <c r="B4" s="29">
        <v>2011</v>
      </c>
      <c r="C4" s="2"/>
      <c r="D4" s="2"/>
      <c r="E4" s="2"/>
      <c r="F4" s="2"/>
      <c r="G4" s="2"/>
      <c r="H4" s="2"/>
      <c r="I4" s="2"/>
      <c r="J4" s="28"/>
    </row>
    <row r="5" spans="1:10" ht="12.75">
      <c r="A5" s="29" t="s">
        <v>207</v>
      </c>
      <c r="B5" s="29">
        <v>2009</v>
      </c>
      <c r="C5" s="2"/>
      <c r="D5" s="2"/>
      <c r="E5" s="2"/>
      <c r="F5" s="2"/>
      <c r="G5" s="2"/>
      <c r="H5" s="2">
        <v>8429</v>
      </c>
      <c r="I5" s="2">
        <f>SUM(C5:H5)</f>
        <v>8429</v>
      </c>
      <c r="J5" s="28">
        <f>I5*faktorer!B9</f>
        <v>22336.85</v>
      </c>
    </row>
    <row r="6" spans="1:10" ht="12.75">
      <c r="A6" s="24"/>
      <c r="B6" s="24">
        <v>2010</v>
      </c>
      <c r="C6" s="83"/>
      <c r="D6" s="83"/>
      <c r="E6" s="83"/>
      <c r="F6" s="83"/>
      <c r="G6" s="83"/>
      <c r="H6" s="2">
        <v>12842</v>
      </c>
      <c r="I6" s="2">
        <f>SUM(C6:H6)</f>
        <v>12842</v>
      </c>
      <c r="J6" s="28">
        <f>I6*faktorer!B9</f>
        <v>34031.299999999996</v>
      </c>
    </row>
    <row r="7" spans="1:10" ht="12.75">
      <c r="A7" s="24"/>
      <c r="B7" s="24">
        <v>2011</v>
      </c>
      <c r="C7" s="83"/>
      <c r="D7" s="83"/>
      <c r="E7" s="83"/>
      <c r="F7" s="83"/>
      <c r="G7" s="83"/>
      <c r="H7" s="83"/>
      <c r="I7" s="83"/>
      <c r="J7" s="84"/>
    </row>
    <row r="8" ht="12.75">
      <c r="A8" t="s">
        <v>41</v>
      </c>
    </row>
    <row r="9" ht="12.75">
      <c r="A9" t="s">
        <v>259</v>
      </c>
    </row>
    <row r="10" ht="12.75">
      <c r="B10" s="18"/>
    </row>
    <row r="11" ht="12.75">
      <c r="B11" s="19"/>
    </row>
    <row r="14" ht="12.75" customHeight="1"/>
    <row r="26" ht="12.75">
      <c r="A26" s="21">
        <v>2009</v>
      </c>
    </row>
    <row r="68" ht="12.75">
      <c r="A68" s="20" t="s">
        <v>50</v>
      </c>
    </row>
    <row r="70" spans="1:2" ht="12.75">
      <c r="A70" s="20" t="s">
        <v>51</v>
      </c>
      <c r="B70" s="20"/>
    </row>
    <row r="71" ht="12.75">
      <c r="A71" s="20" t="s">
        <v>52</v>
      </c>
    </row>
    <row r="72" ht="12.75">
      <c r="B72" s="20"/>
    </row>
    <row r="73" ht="12.75">
      <c r="B73" s="20"/>
    </row>
    <row r="75" ht="12.75">
      <c r="A75" s="20" t="s">
        <v>53</v>
      </c>
    </row>
    <row r="77" spans="1:2" ht="12.75">
      <c r="A77" s="20" t="s">
        <v>54</v>
      </c>
      <c r="B77" s="20"/>
    </row>
    <row r="78" ht="12.75">
      <c r="A78" s="20" t="s">
        <v>55</v>
      </c>
    </row>
    <row r="79" spans="1:2" ht="12.75">
      <c r="A79" s="20" t="s">
        <v>56</v>
      </c>
      <c r="B79" s="20"/>
    </row>
    <row r="80" spans="1:2" ht="12.75">
      <c r="A80" s="20" t="s">
        <v>57</v>
      </c>
      <c r="B80" s="20"/>
    </row>
    <row r="81" ht="12.75">
      <c r="B81" s="20"/>
    </row>
    <row r="82" ht="12.75">
      <c r="B82" s="2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S13"/>
  <sheetViews>
    <sheetView zoomScalePageLayoutView="0" workbookViewId="0" topLeftCell="A1">
      <selection activeCell="D3" sqref="B1:L16384"/>
    </sheetView>
  </sheetViews>
  <sheetFormatPr defaultColWidth="9.140625" defaultRowHeight="12.75"/>
  <cols>
    <col min="1" max="1" width="25.8515625" style="0" customWidth="1"/>
    <col min="2" max="4" width="9.28125" style="0" hidden="1" customWidth="1"/>
    <col min="5" max="5" width="10.140625" style="0" hidden="1" customWidth="1"/>
    <col min="6" max="6" width="10.8515625" style="34" hidden="1" customWidth="1"/>
    <col min="7" max="7" width="11.140625" style="0" hidden="1" customWidth="1"/>
    <col min="8" max="10" width="9.28125" style="0" hidden="1" customWidth="1"/>
    <col min="11" max="11" width="10.8515625" style="34" hidden="1" customWidth="1"/>
    <col min="12" max="12" width="11.57421875" style="0" hidden="1" customWidth="1"/>
    <col min="13" max="13" width="11.00390625" style="0" customWidth="1"/>
    <col min="14" max="14" width="11.57421875" style="0" customWidth="1"/>
    <col min="15" max="15" width="9.7109375" style="0" bestFit="1" customWidth="1"/>
    <col min="17" max="17" width="10.00390625" style="0" customWidth="1"/>
    <col min="18" max="18" width="9.7109375" style="0" bestFit="1" customWidth="1"/>
  </cols>
  <sheetData>
    <row r="1" spans="1:18" ht="12.75">
      <c r="A1" s="2"/>
      <c r="B1" s="125">
        <v>2008</v>
      </c>
      <c r="C1" s="126"/>
      <c r="D1" s="127"/>
      <c r="E1" s="73"/>
      <c r="F1" s="3" t="s">
        <v>240</v>
      </c>
      <c r="G1" s="117">
        <v>2009</v>
      </c>
      <c r="H1" s="128"/>
      <c r="I1" s="129"/>
      <c r="J1" s="71"/>
      <c r="K1" s="3" t="s">
        <v>240</v>
      </c>
      <c r="L1" s="76" t="s">
        <v>33</v>
      </c>
      <c r="M1" s="117">
        <v>2010</v>
      </c>
      <c r="N1" s="118"/>
      <c r="O1" s="119"/>
      <c r="P1" s="71"/>
      <c r="Q1" s="3" t="s">
        <v>240</v>
      </c>
      <c r="R1" s="76" t="s">
        <v>33</v>
      </c>
    </row>
    <row r="2" spans="1:18" ht="12.75">
      <c r="A2" s="2" t="s">
        <v>41</v>
      </c>
      <c r="B2" s="122" t="s">
        <v>235</v>
      </c>
      <c r="C2" s="122"/>
      <c r="D2" s="122"/>
      <c r="E2" s="74" t="s">
        <v>239</v>
      </c>
      <c r="F2" s="10"/>
      <c r="G2" s="117" t="s">
        <v>235</v>
      </c>
      <c r="H2" s="123"/>
      <c r="I2" s="124"/>
      <c r="J2" s="71" t="s">
        <v>239</v>
      </c>
      <c r="K2" s="3"/>
      <c r="L2" s="76" t="s">
        <v>241</v>
      </c>
      <c r="M2" s="120" t="s">
        <v>235</v>
      </c>
      <c r="N2" s="121"/>
      <c r="O2" s="121"/>
      <c r="P2" s="71" t="s">
        <v>239</v>
      </c>
      <c r="Q2" s="3"/>
      <c r="R2" s="76" t="s">
        <v>241</v>
      </c>
    </row>
    <row r="3" spans="1:18" ht="12.75">
      <c r="A3" s="2"/>
      <c r="B3" s="72" t="s">
        <v>236</v>
      </c>
      <c r="C3" s="72" t="s">
        <v>237</v>
      </c>
      <c r="D3" s="72" t="s">
        <v>238</v>
      </c>
      <c r="E3" s="73"/>
      <c r="F3" s="3"/>
      <c r="G3" s="75" t="s">
        <v>236</v>
      </c>
      <c r="H3" s="75" t="s">
        <v>237</v>
      </c>
      <c r="I3" s="75" t="s">
        <v>238</v>
      </c>
      <c r="J3" s="71"/>
      <c r="K3" s="3"/>
      <c r="L3" s="76"/>
      <c r="M3" s="75" t="s">
        <v>236</v>
      </c>
      <c r="N3" s="75" t="s">
        <v>237</v>
      </c>
      <c r="O3" s="75" t="s">
        <v>238</v>
      </c>
      <c r="P3" s="71"/>
      <c r="Q3" s="3"/>
      <c r="R3" s="76"/>
    </row>
    <row r="4" spans="1:19" ht="12.75">
      <c r="A4" s="2" t="s">
        <v>234</v>
      </c>
      <c r="B4" s="77">
        <v>864450</v>
      </c>
      <c r="C4" s="77"/>
      <c r="D4" s="77" t="s">
        <v>41</v>
      </c>
      <c r="E4" s="78">
        <v>613832</v>
      </c>
      <c r="F4" s="68">
        <f>B4*1+E4*faktorer!B5</f>
        <v>1146198.888</v>
      </c>
      <c r="G4" s="63">
        <v>714849</v>
      </c>
      <c r="H4" s="63"/>
      <c r="I4" s="63" t="s">
        <v>41</v>
      </c>
      <c r="J4" s="79">
        <v>556337</v>
      </c>
      <c r="K4" s="68">
        <f>G4*1+J4*faktorer!B5</f>
        <v>970207.683</v>
      </c>
      <c r="L4" s="64">
        <f>F4-K4</f>
        <v>175991.20500000007</v>
      </c>
      <c r="M4" s="63">
        <v>979448</v>
      </c>
      <c r="N4" s="63"/>
      <c r="O4" s="63" t="s">
        <v>41</v>
      </c>
      <c r="P4" s="79">
        <v>380189</v>
      </c>
      <c r="Q4" s="96">
        <f>M4*1</f>
        <v>979448</v>
      </c>
      <c r="R4" s="64">
        <f>K4-Q4</f>
        <v>-9240.31700000004</v>
      </c>
      <c r="S4" s="30"/>
    </row>
    <row r="5" spans="1:19" ht="12.75">
      <c r="A5" s="2" t="s">
        <v>2</v>
      </c>
      <c r="B5" s="77">
        <v>4248865</v>
      </c>
      <c r="C5" s="77">
        <v>126614</v>
      </c>
      <c r="D5" s="77">
        <v>91045</v>
      </c>
      <c r="E5" s="78">
        <v>1545278</v>
      </c>
      <c r="F5" s="68">
        <f>B5*1+(C5*faktorer!B11)+(D5*faktorer!B9)+(E5*faktorer!B5)</f>
        <v>5483665.282</v>
      </c>
      <c r="G5" s="63">
        <v>4337813</v>
      </c>
      <c r="H5" s="63">
        <v>91122</v>
      </c>
      <c r="I5" s="63">
        <v>88987</v>
      </c>
      <c r="J5" s="79">
        <v>1335939</v>
      </c>
      <c r="K5" s="68">
        <f>G5*1+H5*faktorer!B11+I5*'kom byg'!B9+'kom byg'!J5*faktorer!B5</f>
        <v>5155577.891</v>
      </c>
      <c r="L5" s="64">
        <f>F5-K5</f>
        <v>328087.3909999998</v>
      </c>
      <c r="M5" s="63">
        <v>4541546</v>
      </c>
      <c r="N5" s="63">
        <v>128745</v>
      </c>
      <c r="O5" s="63">
        <v>108573</v>
      </c>
      <c r="P5" s="79">
        <v>1346062</v>
      </c>
      <c r="Q5" s="96">
        <f>M5*1+N5*faktorer!B11+O5*faktorer!B9+P5*faktorer!B5</f>
        <v>5736139.433</v>
      </c>
      <c r="R5" s="64">
        <f>K5-Q5</f>
        <v>-580561.5420000004</v>
      </c>
      <c r="S5" s="30"/>
    </row>
    <row r="6" spans="1:19" ht="12.75">
      <c r="A6" s="2" t="s">
        <v>3</v>
      </c>
      <c r="B6" s="77">
        <v>1401643</v>
      </c>
      <c r="C6" s="77">
        <v>46283</v>
      </c>
      <c r="D6" s="77">
        <v>33005</v>
      </c>
      <c r="E6" s="78">
        <v>523573</v>
      </c>
      <c r="F6" s="68">
        <f>B6*1+(C6*faktorer!B11)+(D6*faktorer!B9)+(E6*faktorer!B5)</f>
        <v>1833331.592</v>
      </c>
      <c r="G6" s="63">
        <v>1528340</v>
      </c>
      <c r="H6" s="63">
        <v>50601</v>
      </c>
      <c r="I6" s="63">
        <v>32288</v>
      </c>
      <c r="J6" s="79">
        <v>508754</v>
      </c>
      <c r="K6" s="68">
        <f>G6*1+H6*faktorer!B11+I6*'kom byg'!B9+'kom byg'!J6*faktorer!B5</f>
        <v>1875457.3310000002</v>
      </c>
      <c r="L6" s="64">
        <f>F6-K6</f>
        <v>-42125.73900000029</v>
      </c>
      <c r="M6" s="63">
        <v>1367327</v>
      </c>
      <c r="N6" s="63">
        <v>61247</v>
      </c>
      <c r="O6" s="63">
        <v>35023</v>
      </c>
      <c r="P6" s="79">
        <v>497431</v>
      </c>
      <c r="Q6" s="96">
        <f>M6*1+N6*faktorer!B11+O6*faktorer!B9+P6*faktorer!B5</f>
        <v>1825958.294</v>
      </c>
      <c r="R6" s="64">
        <f>K6-Q6</f>
        <v>49499.037000000244</v>
      </c>
      <c r="S6" s="30"/>
    </row>
    <row r="7" spans="1:19" ht="12.75">
      <c r="A7" s="2" t="s">
        <v>5</v>
      </c>
      <c r="B7" s="77">
        <v>3759001</v>
      </c>
      <c r="C7" s="77">
        <v>0</v>
      </c>
      <c r="D7" s="77">
        <v>0</v>
      </c>
      <c r="E7" s="78">
        <v>1595973</v>
      </c>
      <c r="F7" s="68">
        <f>B7*1+(C7*faktorer!B11)+(D7*faktorer!B9)+(E7*faktorer!B5)</f>
        <v>4491552.607</v>
      </c>
      <c r="G7" s="63">
        <v>3773846</v>
      </c>
      <c r="H7" s="63">
        <v>0</v>
      </c>
      <c r="I7" s="63">
        <v>0</v>
      </c>
      <c r="J7" s="79">
        <v>1351517</v>
      </c>
      <c r="K7" s="68">
        <f>G7*1+H7*faktorer!B11+I7*'kom byg'!B9+'kom byg'!J7*faktorer!B5</f>
        <v>4394192.303</v>
      </c>
      <c r="L7" s="64">
        <f>F7-K7</f>
        <v>97360.30399999954</v>
      </c>
      <c r="M7" s="63">
        <v>3759557</v>
      </c>
      <c r="N7" s="63">
        <v>0</v>
      </c>
      <c r="O7" s="63">
        <v>0</v>
      </c>
      <c r="P7" s="79">
        <v>1540125</v>
      </c>
      <c r="Q7" s="96">
        <f>M7*1+N7*faktorer!B11+O7*faktorer!B9+P7*faktorer!B5</f>
        <v>4466474.375</v>
      </c>
      <c r="R7" s="64">
        <f>K7-Q7</f>
        <v>-72282.0719999997</v>
      </c>
      <c r="S7" s="30"/>
    </row>
    <row r="8" spans="1:19" ht="12.75">
      <c r="A8" s="2" t="s">
        <v>7</v>
      </c>
      <c r="B8" s="77">
        <v>5292699</v>
      </c>
      <c r="C8" s="77">
        <v>64573</v>
      </c>
      <c r="D8" s="77">
        <v>31790</v>
      </c>
      <c r="E8" s="78">
        <v>4454058</v>
      </c>
      <c r="F8" s="68">
        <f>B8*1+(C8*faktorer!B11)+(D8*faktorer!B9)+(E8*faktorer!B5)</f>
        <v>7566321.506999999</v>
      </c>
      <c r="G8" s="63">
        <v>3965595</v>
      </c>
      <c r="H8" s="63">
        <v>63722</v>
      </c>
      <c r="I8" s="63">
        <v>17480</v>
      </c>
      <c r="J8" s="79">
        <v>3913354</v>
      </c>
      <c r="K8" s="68">
        <f>G8*1+H8*faktorer!B11+I8*'kom byg'!B9+'kom byg'!J8*faktorer!B5</f>
        <v>5904880.376</v>
      </c>
      <c r="L8" s="64">
        <f>F8-K8</f>
        <v>1661441.1309999991</v>
      </c>
      <c r="M8" s="63">
        <v>4251424</v>
      </c>
      <c r="N8" s="63">
        <v>152637</v>
      </c>
      <c r="O8" s="63">
        <v>19201</v>
      </c>
      <c r="P8" s="79">
        <v>3742420</v>
      </c>
      <c r="Q8" s="96">
        <f>M8*1+N8*faktorer!B11+O8*faktorer!B9+P8*faktorer!B5</f>
        <v>6362747.495000001</v>
      </c>
      <c r="R8" s="64">
        <f>K8-Q8</f>
        <v>-457867.1190000009</v>
      </c>
      <c r="S8" s="30"/>
    </row>
    <row r="9" spans="1:18" ht="12.75">
      <c r="A9" s="2"/>
      <c r="B9" s="77"/>
      <c r="C9" s="77"/>
      <c r="D9" s="77"/>
      <c r="E9" s="78">
        <f>SUM(E4:E8)</f>
        <v>8732714</v>
      </c>
      <c r="F9" s="68">
        <f>SUM(F4:F8)</f>
        <v>20521069.876</v>
      </c>
      <c r="G9" s="63"/>
      <c r="H9" s="63"/>
      <c r="I9" s="63"/>
      <c r="J9" s="79"/>
      <c r="K9" s="68">
        <f>SUM(K4:K8)</f>
        <v>18300315.584</v>
      </c>
      <c r="L9" s="65">
        <f>SUM(L4:L8)</f>
        <v>2220754.2919999985</v>
      </c>
      <c r="M9" s="63"/>
      <c r="N9" s="63"/>
      <c r="O9" s="63"/>
      <c r="P9" s="79"/>
      <c r="Q9" s="68">
        <f>SUM(Q4:Q8)</f>
        <v>19370767.597000003</v>
      </c>
      <c r="R9" s="65">
        <f>SUM(R4:R8)</f>
        <v>-1070452.0130000007</v>
      </c>
    </row>
    <row r="11" spans="1:4" ht="12.75">
      <c r="A11" t="s">
        <v>242</v>
      </c>
      <c r="C11" t="s">
        <v>254</v>
      </c>
      <c r="D11" t="s">
        <v>255</v>
      </c>
    </row>
    <row r="12" spans="3:4" ht="12.75">
      <c r="C12" t="s">
        <v>256</v>
      </c>
      <c r="D12" t="s">
        <v>257</v>
      </c>
    </row>
    <row r="13" ht="12.75">
      <c r="A13" s="80" t="s">
        <v>41</v>
      </c>
    </row>
  </sheetData>
  <sheetProtection/>
  <mergeCells count="6">
    <mergeCell ref="M1:O1"/>
    <mergeCell ref="M2:O2"/>
    <mergeCell ref="B2:D2"/>
    <mergeCell ref="G2:I2"/>
    <mergeCell ref="B1:D1"/>
    <mergeCell ref="G1:I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R105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38.57421875" style="0" customWidth="1"/>
    <col min="2" max="3" width="15.57421875" style="0" customWidth="1"/>
    <col min="4" max="4" width="12.00390625" style="0" customWidth="1"/>
    <col min="5" max="5" width="4.421875" style="0" customWidth="1"/>
    <col min="6" max="6" width="11.8515625" style="0" hidden="1" customWidth="1"/>
    <col min="7" max="7" width="12.00390625" style="0" hidden="1" customWidth="1"/>
    <col min="8" max="8" width="11.8515625" style="0" hidden="1" customWidth="1"/>
    <col min="9" max="9" width="11.57421875" style="0" hidden="1" customWidth="1"/>
    <col min="10" max="10" width="13.140625" style="0" customWidth="1"/>
    <col min="11" max="11" width="12.00390625" style="0" customWidth="1"/>
    <col min="13" max="13" width="4.140625" style="0" customWidth="1"/>
    <col min="14" max="14" width="11.8515625" style="0" customWidth="1"/>
    <col min="15" max="15" width="12.8515625" style="0" customWidth="1"/>
    <col min="16" max="16" width="12.00390625" style="0" customWidth="1"/>
    <col min="17" max="17" width="12.28125" style="0" customWidth="1"/>
    <col min="18" max="18" width="19.28125" style="0" customWidth="1"/>
  </cols>
  <sheetData>
    <row r="1" spans="1:17" ht="18">
      <c r="A1" s="11" t="s">
        <v>49</v>
      </c>
      <c r="B1" s="133">
        <v>2007</v>
      </c>
      <c r="C1" s="133"/>
      <c r="D1" s="134"/>
      <c r="E1" s="97"/>
      <c r="F1" s="133">
        <v>2008</v>
      </c>
      <c r="G1" s="133"/>
      <c r="H1" s="134"/>
      <c r="I1" s="97"/>
      <c r="J1" s="25">
        <v>2009</v>
      </c>
      <c r="K1" s="25"/>
      <c r="L1" s="32"/>
      <c r="M1" s="85"/>
      <c r="N1" s="2"/>
      <c r="O1" s="129">
        <v>2010</v>
      </c>
      <c r="P1" s="133"/>
      <c r="Q1" s="134"/>
    </row>
    <row r="2" spans="1:17" ht="12.75" customHeight="1">
      <c r="A2" s="11"/>
      <c r="B2" s="55" t="s">
        <v>226</v>
      </c>
      <c r="C2" s="50" t="s">
        <v>58</v>
      </c>
      <c r="D2" s="50" t="s">
        <v>60</v>
      </c>
      <c r="E2" s="7"/>
      <c r="F2" s="55" t="s">
        <v>227</v>
      </c>
      <c r="G2" s="50" t="s">
        <v>58</v>
      </c>
      <c r="H2" s="50" t="s">
        <v>60</v>
      </c>
      <c r="I2" s="76"/>
      <c r="J2" s="48" t="s">
        <v>227</v>
      </c>
      <c r="K2" s="25" t="s">
        <v>58</v>
      </c>
      <c r="L2" s="2" t="s">
        <v>60</v>
      </c>
      <c r="M2" s="85"/>
      <c r="N2" s="2" t="s">
        <v>252</v>
      </c>
      <c r="O2" s="92" t="s">
        <v>253</v>
      </c>
      <c r="P2" s="25" t="s">
        <v>58</v>
      </c>
      <c r="Q2" s="2" t="s">
        <v>60</v>
      </c>
    </row>
    <row r="3" spans="1:17" ht="12.75">
      <c r="A3" s="27" t="s">
        <v>9</v>
      </c>
      <c r="B3" s="56"/>
      <c r="C3" s="56"/>
      <c r="D3" s="56"/>
      <c r="E3" s="98"/>
      <c r="F3" s="56"/>
      <c r="G3" s="56"/>
      <c r="H3" s="56"/>
      <c r="I3" s="101"/>
      <c r="J3" s="49">
        <v>101114</v>
      </c>
      <c r="K3" s="50"/>
      <c r="L3" s="52">
        <f>J3*faktorer!B9</f>
        <v>267952.1</v>
      </c>
      <c r="M3" s="85"/>
      <c r="N3" s="2"/>
      <c r="O3" s="49">
        <v>108361.09</v>
      </c>
      <c r="P3" s="50"/>
      <c r="Q3" s="52">
        <f>O3*faktorer!B9</f>
        <v>287156.8885</v>
      </c>
    </row>
    <row r="4" spans="1:18" ht="12.75">
      <c r="A4" s="27" t="s">
        <v>67</v>
      </c>
      <c r="B4" s="56"/>
      <c r="C4" s="56"/>
      <c r="D4" s="56"/>
      <c r="E4" s="98"/>
      <c r="F4" s="57">
        <f>B28</f>
        <v>64800</v>
      </c>
      <c r="G4" s="56"/>
      <c r="H4" s="56">
        <f>F4*faktorer!B9</f>
        <v>171720</v>
      </c>
      <c r="I4" s="102"/>
      <c r="J4" s="50"/>
      <c r="K4" s="50"/>
      <c r="L4" s="52">
        <f>H4</f>
        <v>171720</v>
      </c>
      <c r="M4" s="85"/>
      <c r="N4" s="2">
        <v>3486</v>
      </c>
      <c r="O4" s="93">
        <v>204320</v>
      </c>
      <c r="P4" s="50"/>
      <c r="Q4" s="52">
        <f>N4*faktorer!B7+O4*faktorer!B9</f>
        <v>549814.4</v>
      </c>
      <c r="R4" s="91" t="s">
        <v>41</v>
      </c>
    </row>
    <row r="5" spans="1:18" ht="12.75">
      <c r="A5" s="27" t="s">
        <v>231</v>
      </c>
      <c r="B5" s="56"/>
      <c r="C5" s="56"/>
      <c r="D5" s="56"/>
      <c r="E5" s="98"/>
      <c r="F5" s="56"/>
      <c r="G5" s="56"/>
      <c r="H5" s="56"/>
      <c r="I5" s="102"/>
      <c r="J5" s="51" t="s">
        <v>41</v>
      </c>
      <c r="K5" s="52">
        <f>H105</f>
        <v>636000</v>
      </c>
      <c r="L5" s="52">
        <f>K5/15*faktorer!B7</f>
        <v>101760</v>
      </c>
      <c r="M5" s="85"/>
      <c r="N5" s="2"/>
      <c r="O5" s="51" t="s">
        <v>41</v>
      </c>
      <c r="P5" s="52">
        <v>1284000</v>
      </c>
      <c r="Q5" s="52">
        <f>P5/15*faktorer!B7</f>
        <v>205440</v>
      </c>
      <c r="R5" s="91" t="s">
        <v>41</v>
      </c>
    </row>
    <row r="6" spans="1:17" ht="12.75">
      <c r="A6" s="27" t="s">
        <v>225</v>
      </c>
      <c r="B6" s="56"/>
      <c r="C6" s="56"/>
      <c r="D6" s="56"/>
      <c r="E6" s="98"/>
      <c r="F6" s="56"/>
      <c r="G6" s="56"/>
      <c r="H6" s="56"/>
      <c r="I6" s="102"/>
      <c r="J6" s="52">
        <v>14925301</v>
      </c>
      <c r="K6" s="52">
        <v>4192500</v>
      </c>
      <c r="L6" s="52">
        <f>(4192500/15)*faktorer!B7</f>
        <v>670800</v>
      </c>
      <c r="M6" s="85"/>
      <c r="N6" s="2"/>
      <c r="O6" s="94" t="s">
        <v>41</v>
      </c>
      <c r="P6" s="52">
        <v>3829000</v>
      </c>
      <c r="Q6" s="52">
        <f>P6/15*faktorer!B7</f>
        <v>612640</v>
      </c>
    </row>
    <row r="7" spans="1:17" ht="12.75">
      <c r="A7" s="27" t="s">
        <v>12</v>
      </c>
      <c r="B7" s="58">
        <v>298000</v>
      </c>
      <c r="C7" s="56"/>
      <c r="D7" s="56">
        <f>B7*faktorer!B9</f>
        <v>789700</v>
      </c>
      <c r="E7" s="98"/>
      <c r="F7" s="56">
        <v>302000</v>
      </c>
      <c r="G7" s="56"/>
      <c r="H7" s="56">
        <f>F7*faktorer!B9</f>
        <v>800300</v>
      </c>
      <c r="I7" s="102"/>
      <c r="J7" s="50">
        <v>301000</v>
      </c>
      <c r="K7" s="50"/>
      <c r="L7" s="52">
        <f>J7*faktorer!B9</f>
        <v>797650</v>
      </c>
      <c r="M7" s="85"/>
      <c r="N7" s="2"/>
      <c r="O7" s="93">
        <f>J65</f>
        <v>249282.30184581975</v>
      </c>
      <c r="P7" s="50"/>
      <c r="Q7" s="52">
        <f>O7*faktorer!B9</f>
        <v>660598.0998914223</v>
      </c>
    </row>
    <row r="8" spans="1:17" ht="12.75">
      <c r="A8" s="27" t="s">
        <v>228</v>
      </c>
      <c r="B8" s="56">
        <v>176158</v>
      </c>
      <c r="C8" s="56"/>
      <c r="D8" s="59">
        <f>B8*2.65</f>
        <v>466818.7</v>
      </c>
      <c r="E8" s="99"/>
      <c r="F8" s="56">
        <v>167641</v>
      </c>
      <c r="G8" s="56"/>
      <c r="H8" s="59">
        <f>F8*2.65</f>
        <v>444248.64999999997</v>
      </c>
      <c r="I8" s="103"/>
      <c r="J8" s="50">
        <v>165871</v>
      </c>
      <c r="K8" s="50"/>
      <c r="L8" s="52">
        <f>J8*faktorer!B9</f>
        <v>439558.14999999997</v>
      </c>
      <c r="M8" s="85"/>
      <c r="N8" s="2"/>
      <c r="O8" s="90">
        <v>186732</v>
      </c>
      <c r="P8" s="50"/>
      <c r="Q8" s="52">
        <f>O8*faktorer!B9</f>
        <v>494839.8</v>
      </c>
    </row>
    <row r="9" spans="1:17" ht="12.75">
      <c r="A9" s="27" t="s">
        <v>14</v>
      </c>
      <c r="B9" s="57">
        <f>F65</f>
        <v>240094</v>
      </c>
      <c r="C9" s="56"/>
      <c r="D9" s="59">
        <f>B9*faktorer!B9</f>
        <v>636249.1</v>
      </c>
      <c r="E9" s="99"/>
      <c r="F9" s="57">
        <f>G65</f>
        <v>245021</v>
      </c>
      <c r="G9" s="56"/>
      <c r="H9" s="59">
        <f>F9*faktorer!B9</f>
        <v>649305.65</v>
      </c>
      <c r="I9" s="102"/>
      <c r="J9" s="52">
        <f>H65</f>
        <v>314618</v>
      </c>
      <c r="K9" s="50"/>
      <c r="L9" s="52">
        <f>J9*faktorer!B9</f>
        <v>833737.7</v>
      </c>
      <c r="M9" s="85"/>
      <c r="N9" s="2"/>
      <c r="O9" s="94">
        <f>I65</f>
        <v>250879.07817589576</v>
      </c>
      <c r="P9" s="50"/>
      <c r="Q9" s="52">
        <f>O9*faktorer!B9</f>
        <v>664829.5571661238</v>
      </c>
    </row>
    <row r="10" spans="1:17" ht="12.75">
      <c r="A10" s="27" t="s">
        <v>30</v>
      </c>
      <c r="B10" s="56"/>
      <c r="C10" s="56"/>
      <c r="D10" s="56"/>
      <c r="E10" s="98"/>
      <c r="F10" s="56"/>
      <c r="G10" s="56"/>
      <c r="H10" s="56"/>
      <c r="I10" s="102"/>
      <c r="J10" s="50"/>
      <c r="K10" s="50">
        <v>120000</v>
      </c>
      <c r="L10" s="52">
        <f>K10/15*faktorer!B7</f>
        <v>19200</v>
      </c>
      <c r="M10" s="85"/>
      <c r="N10" s="2"/>
      <c r="O10" s="93"/>
      <c r="P10" s="50"/>
      <c r="Q10" s="52"/>
    </row>
    <row r="11" spans="1:17" s="61" customFormat="1" ht="12.75">
      <c r="A11" s="31" t="s">
        <v>66</v>
      </c>
      <c r="B11" s="31"/>
      <c r="C11" s="31"/>
      <c r="D11" s="60">
        <f>SUM(D3:D10)</f>
        <v>1892767.7999999998</v>
      </c>
      <c r="E11" s="100"/>
      <c r="F11" s="31"/>
      <c r="G11" s="31"/>
      <c r="H11" s="60">
        <f>SUM(H3:H10)</f>
        <v>2065574.2999999998</v>
      </c>
      <c r="I11" s="104"/>
      <c r="J11" s="53"/>
      <c r="K11" s="53"/>
      <c r="L11" s="62">
        <f>SUM(L3:L10)</f>
        <v>3302377.95</v>
      </c>
      <c r="M11" s="105"/>
      <c r="O11" s="53"/>
      <c r="P11" s="53"/>
      <c r="Q11" s="62">
        <f>SUM(Q3:Q10)</f>
        <v>3475318.7455575457</v>
      </c>
    </row>
    <row r="12" spans="1:12" ht="12.75">
      <c r="A12" s="24" t="s">
        <v>229</v>
      </c>
      <c r="B12" s="24"/>
      <c r="C12" s="24"/>
      <c r="D12" s="24"/>
      <c r="E12" s="24"/>
      <c r="F12" s="24"/>
      <c r="G12" s="24"/>
      <c r="H12" s="24"/>
      <c r="I12" s="24"/>
      <c r="J12" s="53"/>
      <c r="K12" s="53"/>
      <c r="L12" s="54"/>
    </row>
    <row r="13" ht="12.75">
      <c r="J13" t="s">
        <v>248</v>
      </c>
    </row>
    <row r="14" spans="1:10" ht="12.75">
      <c r="A14" s="24" t="s">
        <v>61</v>
      </c>
      <c r="B14" s="24"/>
      <c r="C14" s="24"/>
      <c r="D14" s="24"/>
      <c r="E14" s="24"/>
      <c r="F14" s="24"/>
      <c r="G14" s="24"/>
      <c r="H14" s="24"/>
      <c r="J14" t="s">
        <v>249</v>
      </c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7" ht="12.75">
      <c r="A16" s="38" t="s">
        <v>94</v>
      </c>
      <c r="B16" s="22"/>
      <c r="C16" s="22"/>
      <c r="D16" s="22"/>
      <c r="E16" s="22"/>
      <c r="F16" s="22"/>
      <c r="G16" s="22"/>
    </row>
    <row r="17" spans="1:7" ht="12.75">
      <c r="A17" s="38" t="s">
        <v>95</v>
      </c>
      <c r="B17" s="23"/>
      <c r="C17" s="23"/>
      <c r="D17" s="23"/>
      <c r="E17" s="23"/>
      <c r="F17" s="23"/>
      <c r="G17" s="23"/>
    </row>
    <row r="18" spans="1:7" ht="12.75">
      <c r="A18" s="38"/>
      <c r="B18" s="23"/>
      <c r="C18" s="23"/>
      <c r="D18" s="23"/>
      <c r="E18" s="23"/>
      <c r="F18" s="23"/>
      <c r="G18" s="23"/>
    </row>
    <row r="19" spans="1:7" ht="12.75">
      <c r="A19" s="38" t="s">
        <v>276</v>
      </c>
      <c r="B19" s="23"/>
      <c r="C19" s="23"/>
      <c r="D19" s="23"/>
      <c r="E19" s="23"/>
      <c r="F19" s="23"/>
      <c r="G19" s="23"/>
    </row>
    <row r="20" spans="2:7" ht="12.75">
      <c r="B20" s="23"/>
      <c r="C20" s="23"/>
      <c r="D20" s="23"/>
      <c r="E20" s="23"/>
      <c r="F20" s="23"/>
      <c r="G20" s="23"/>
    </row>
    <row r="21" spans="1:7" ht="12.75">
      <c r="A21" s="38" t="s">
        <v>277</v>
      </c>
      <c r="B21" s="23"/>
      <c r="C21" s="23"/>
      <c r="D21" s="23"/>
      <c r="E21" s="23"/>
      <c r="F21" s="23"/>
      <c r="G21" s="23"/>
    </row>
    <row r="22" spans="1:7" ht="12.75">
      <c r="A22" s="130" t="s">
        <v>278</v>
      </c>
      <c r="B22" s="23"/>
      <c r="C22" s="23"/>
      <c r="D22" s="23"/>
      <c r="E22" s="23"/>
      <c r="F22" s="23"/>
      <c r="G22" s="23"/>
    </row>
    <row r="23" spans="1:7" ht="12.75">
      <c r="A23" s="130"/>
      <c r="B23" s="23"/>
      <c r="C23" s="23"/>
      <c r="D23" s="23"/>
      <c r="E23" s="23"/>
      <c r="F23" s="23"/>
      <c r="G23" s="23"/>
    </row>
    <row r="24" spans="1:7" ht="12.75">
      <c r="A24" s="130"/>
      <c r="B24" s="23"/>
      <c r="C24" s="23"/>
      <c r="D24" s="23"/>
      <c r="E24" s="23"/>
      <c r="F24" s="23"/>
      <c r="G24" s="23"/>
    </row>
    <row r="25" spans="1:7" ht="12.75">
      <c r="A25" s="130"/>
      <c r="B25" s="23"/>
      <c r="C25" s="23"/>
      <c r="D25" s="23"/>
      <c r="E25" s="23"/>
      <c r="F25" s="23"/>
      <c r="G25" s="23"/>
    </row>
    <row r="26" spans="1:6" ht="12.75">
      <c r="A26" s="30" t="s">
        <v>65</v>
      </c>
      <c r="B26" s="30">
        <v>48500</v>
      </c>
      <c r="C26" t="s">
        <v>261</v>
      </c>
      <c r="D26">
        <v>2010</v>
      </c>
      <c r="F26" s="91" t="s">
        <v>250</v>
      </c>
    </row>
    <row r="27" spans="1:6" ht="12.75">
      <c r="A27" t="s">
        <v>62</v>
      </c>
      <c r="B27">
        <v>16300</v>
      </c>
      <c r="F27" s="91" t="s">
        <v>251</v>
      </c>
    </row>
    <row r="28" spans="1:3" ht="12.75">
      <c r="A28" t="s">
        <v>63</v>
      </c>
      <c r="B28" s="37">
        <f>B26+B27</f>
        <v>64800</v>
      </c>
      <c r="C28" t="s">
        <v>64</v>
      </c>
    </row>
    <row r="29" spans="1:2" ht="12.75">
      <c r="A29" t="s">
        <v>41</v>
      </c>
      <c r="B29" t="s">
        <v>41</v>
      </c>
    </row>
    <row r="30" spans="1:9" ht="12.75">
      <c r="A30" s="34" t="s">
        <v>69</v>
      </c>
      <c r="C30" s="85" t="s">
        <v>262</v>
      </c>
      <c r="G30" s="30"/>
      <c r="H30" s="30"/>
      <c r="I30" s="30"/>
    </row>
    <row r="31" spans="3:9" ht="12.75">
      <c r="C31" t="s">
        <v>70</v>
      </c>
      <c r="D31" t="s">
        <v>70</v>
      </c>
      <c r="F31" s="132" t="s">
        <v>71</v>
      </c>
      <c r="G31" s="132"/>
      <c r="H31" s="132"/>
      <c r="I31" s="35"/>
    </row>
    <row r="32" spans="3:9" ht="12.75">
      <c r="C32" t="s">
        <v>72</v>
      </c>
      <c r="D32" t="s">
        <v>73</v>
      </c>
      <c r="F32" t="s">
        <v>74</v>
      </c>
      <c r="G32" s="30" t="s">
        <v>75</v>
      </c>
      <c r="H32" s="30" t="s">
        <v>76</v>
      </c>
      <c r="I32" s="30"/>
    </row>
    <row r="33" spans="1:9" ht="12.75">
      <c r="A33" s="34">
        <v>2007</v>
      </c>
      <c r="B33" s="36" t="s">
        <v>77</v>
      </c>
      <c r="G33" s="30"/>
      <c r="H33" s="37">
        <f>SUM(G34:G37)</f>
        <v>297856</v>
      </c>
      <c r="I33" s="37"/>
    </row>
    <row r="34" spans="2:9" ht="12.75">
      <c r="B34" t="s">
        <v>78</v>
      </c>
      <c r="D34">
        <v>14068</v>
      </c>
      <c r="F34">
        <v>12</v>
      </c>
      <c r="G34" s="30">
        <f>D34*F34</f>
        <v>168816</v>
      </c>
      <c r="H34" s="30"/>
      <c r="I34" s="30"/>
    </row>
    <row r="35" spans="2:9" ht="12.75">
      <c r="B35" s="38" t="s">
        <v>79</v>
      </c>
      <c r="D35">
        <v>12164</v>
      </c>
      <c r="F35">
        <v>10</v>
      </c>
      <c r="G35" s="30">
        <f>D35*F35</f>
        <v>121640</v>
      </c>
      <c r="H35" s="30"/>
      <c r="I35" s="30"/>
    </row>
    <row r="36" spans="2:9" ht="12.75">
      <c r="B36" s="38" t="s">
        <v>80</v>
      </c>
      <c r="C36">
        <v>3700</v>
      </c>
      <c r="D36" s="39">
        <f>C36/3</f>
        <v>1233.3333333333333</v>
      </c>
      <c r="E36" s="39"/>
      <c r="F36">
        <v>6</v>
      </c>
      <c r="G36" s="30">
        <f>D36*F36</f>
        <v>7400</v>
      </c>
      <c r="H36" s="30"/>
      <c r="I36" s="30"/>
    </row>
    <row r="37" spans="7:9" ht="12.75">
      <c r="G37" s="30"/>
      <c r="H37" s="30"/>
      <c r="I37" s="30"/>
    </row>
    <row r="38" spans="7:9" ht="12.75">
      <c r="G38" s="30"/>
      <c r="H38" s="30"/>
      <c r="I38" s="30"/>
    </row>
    <row r="39" spans="1:9" ht="12.75">
      <c r="A39" s="34">
        <v>2008</v>
      </c>
      <c r="B39" s="36" t="s">
        <v>81</v>
      </c>
      <c r="G39" s="30"/>
      <c r="H39" s="37">
        <f>SUM(G40:G43)</f>
        <v>301768</v>
      </c>
      <c r="I39" s="37"/>
    </row>
    <row r="40" spans="2:9" ht="12.75">
      <c r="B40" t="s">
        <v>78</v>
      </c>
      <c r="D40">
        <v>14309</v>
      </c>
      <c r="F40">
        <v>12</v>
      </c>
      <c r="G40" s="30">
        <f>D40*F40</f>
        <v>171708</v>
      </c>
      <c r="H40" s="30"/>
      <c r="I40" s="30"/>
    </row>
    <row r="41" spans="2:9" ht="12.75">
      <c r="B41" s="38" t="s">
        <v>79</v>
      </c>
      <c r="D41">
        <v>12275</v>
      </c>
      <c r="F41">
        <v>10</v>
      </c>
      <c r="G41" s="30">
        <f>D41*F41</f>
        <v>122750</v>
      </c>
      <c r="H41" s="30"/>
      <c r="I41" s="30"/>
    </row>
    <row r="42" spans="2:9" ht="12.75">
      <c r="B42" s="38" t="s">
        <v>80</v>
      </c>
      <c r="C42">
        <v>3655</v>
      </c>
      <c r="D42" s="39">
        <f>C42/3</f>
        <v>1218.3333333333333</v>
      </c>
      <c r="E42" s="39"/>
      <c r="F42">
        <v>6</v>
      </c>
      <c r="G42" s="30">
        <f>D42*F42</f>
        <v>7310</v>
      </c>
      <c r="H42" s="30"/>
      <c r="I42" s="30"/>
    </row>
    <row r="43" spans="7:9" ht="12.75">
      <c r="G43" s="30"/>
      <c r="H43" s="30"/>
      <c r="I43" s="30"/>
    </row>
    <row r="44" spans="1:9" ht="12.75">
      <c r="A44" s="34">
        <v>2009</v>
      </c>
      <c r="B44" s="36" t="s">
        <v>82</v>
      </c>
      <c r="G44" s="30"/>
      <c r="H44" s="37">
        <f>SUM(G45:G48)</f>
        <v>301322</v>
      </c>
      <c r="I44" s="37"/>
    </row>
    <row r="45" spans="2:9" ht="12.75">
      <c r="B45" t="s">
        <v>78</v>
      </c>
      <c r="D45">
        <v>14094</v>
      </c>
      <c r="F45">
        <v>12</v>
      </c>
      <c r="G45" s="30">
        <f>D45*F45</f>
        <v>169128</v>
      </c>
      <c r="H45" s="30"/>
      <c r="I45" s="30"/>
    </row>
    <row r="46" spans="2:9" ht="12.75">
      <c r="B46" s="38" t="s">
        <v>79</v>
      </c>
      <c r="D46">
        <v>12845</v>
      </c>
      <c r="F46">
        <v>10</v>
      </c>
      <c r="G46" s="30">
        <f>D46*F46</f>
        <v>128450</v>
      </c>
      <c r="H46" s="30"/>
      <c r="I46" s="30"/>
    </row>
    <row r="47" spans="2:9" ht="12.75">
      <c r="B47" s="38" t="s">
        <v>80</v>
      </c>
      <c r="C47">
        <v>1872</v>
      </c>
      <c r="D47" s="36">
        <f>C47/3</f>
        <v>624</v>
      </c>
      <c r="E47" s="36"/>
      <c r="F47">
        <v>6</v>
      </c>
      <c r="G47" s="30">
        <f>D47*F47</f>
        <v>3744</v>
      </c>
      <c r="H47" s="30"/>
      <c r="I47" s="30"/>
    </row>
    <row r="48" spans="7:9" ht="12.75">
      <c r="G48" s="30"/>
      <c r="H48" s="30"/>
      <c r="I48" s="30"/>
    </row>
    <row r="49" spans="1:9" ht="12.75">
      <c r="A49" s="40"/>
      <c r="B49" s="40"/>
      <c r="C49" s="40"/>
      <c r="D49" s="40"/>
      <c r="E49" s="40"/>
      <c r="F49" s="40"/>
      <c r="G49" s="41"/>
      <c r="H49" s="41"/>
      <c r="I49" s="41"/>
    </row>
    <row r="50" spans="7:9" ht="12.75">
      <c r="G50" s="30"/>
      <c r="H50" s="30"/>
      <c r="I50" s="30"/>
    </row>
    <row r="51" spans="1:9" ht="12.75">
      <c r="A51" s="34" t="s">
        <v>83</v>
      </c>
      <c r="G51" s="30"/>
      <c r="H51" s="30"/>
      <c r="I51" s="30"/>
    </row>
    <row r="52" spans="6:10" ht="12.75">
      <c r="F52" s="42">
        <v>2007</v>
      </c>
      <c r="G52" s="42">
        <v>2008</v>
      </c>
      <c r="H52" s="42">
        <v>2009</v>
      </c>
      <c r="I52" s="131" t="s">
        <v>263</v>
      </c>
      <c r="J52" s="132"/>
    </row>
    <row r="53" spans="1:10" ht="12.75">
      <c r="A53" t="s">
        <v>84</v>
      </c>
      <c r="C53" s="30"/>
      <c r="D53" s="30"/>
      <c r="E53" s="30"/>
      <c r="G53" s="30"/>
      <c r="H53" s="30"/>
      <c r="I53" s="112" t="s">
        <v>275</v>
      </c>
      <c r="J53" s="35" t="s">
        <v>262</v>
      </c>
    </row>
    <row r="54" spans="2:9" ht="12.75">
      <c r="B54" t="s">
        <v>85</v>
      </c>
      <c r="C54" s="30"/>
      <c r="D54" s="30"/>
      <c r="E54" s="30"/>
      <c r="F54" s="30">
        <v>2593700</v>
      </c>
      <c r="G54" s="30">
        <v>3910000</v>
      </c>
      <c r="H54" s="30">
        <f>4326000-400000</f>
        <v>3926000</v>
      </c>
      <c r="I54" s="30">
        <v>3974418</v>
      </c>
    </row>
    <row r="55" spans="2:9" ht="12.75">
      <c r="B55" t="s">
        <v>86</v>
      </c>
      <c r="C55" s="30"/>
      <c r="D55" s="30"/>
      <c r="E55" s="30"/>
      <c r="F55" s="30">
        <v>6930000</v>
      </c>
      <c r="G55" s="30">
        <v>7450000</v>
      </c>
      <c r="H55" s="30">
        <v>9050000</v>
      </c>
      <c r="I55" s="30">
        <v>9266136</v>
      </c>
    </row>
    <row r="56" spans="2:11" ht="12.75">
      <c r="B56" t="s">
        <v>87</v>
      </c>
      <c r="C56" s="30"/>
      <c r="D56" s="30"/>
      <c r="E56" s="30"/>
      <c r="F56" s="43">
        <v>145000</v>
      </c>
      <c r="G56" s="43">
        <v>342000</v>
      </c>
      <c r="H56" s="43">
        <v>349000</v>
      </c>
      <c r="I56" s="30">
        <v>351189</v>
      </c>
      <c r="K56" s="43" t="s">
        <v>41</v>
      </c>
    </row>
    <row r="57" spans="2:9" ht="12.75">
      <c r="B57" t="s">
        <v>88</v>
      </c>
      <c r="C57" s="30"/>
      <c r="D57" s="30"/>
      <c r="E57" s="30"/>
      <c r="F57" s="43">
        <v>500000</v>
      </c>
      <c r="G57" s="43">
        <f>-F57</f>
        <v>-500000</v>
      </c>
      <c r="H57" s="43"/>
      <c r="I57" s="43"/>
    </row>
    <row r="58" spans="3:9" ht="12.75">
      <c r="C58" s="30"/>
      <c r="D58" s="30"/>
      <c r="E58" s="30"/>
      <c r="F58" s="43"/>
      <c r="G58" s="43"/>
      <c r="H58" s="43"/>
      <c r="I58" s="43"/>
    </row>
    <row r="59" spans="2:10" ht="12.75">
      <c r="B59" t="s">
        <v>89</v>
      </c>
      <c r="F59" s="30">
        <f>SUM(F54:F58)</f>
        <v>10168700</v>
      </c>
      <c r="G59" s="30">
        <f>SUM(G54:G58)</f>
        <v>11202000</v>
      </c>
      <c r="H59" s="30">
        <f>SUM(H54:H58)</f>
        <v>13325000</v>
      </c>
      <c r="I59" s="30">
        <f>SUM(I54:I58)</f>
        <v>13591743</v>
      </c>
      <c r="J59">
        <v>13505236</v>
      </c>
    </row>
    <row r="60" spans="7:9" ht="12.75">
      <c r="G60" s="30"/>
      <c r="H60" s="30"/>
      <c r="I60" s="30"/>
    </row>
    <row r="61" spans="1:10" ht="12.75">
      <c r="A61" t="s">
        <v>91</v>
      </c>
      <c r="B61" t="s">
        <v>90</v>
      </c>
      <c r="C61" s="44">
        <v>0.17</v>
      </c>
      <c r="F61" s="30">
        <f>F59*17/100</f>
        <v>1728679</v>
      </c>
      <c r="G61" s="30">
        <f>G59*17/100</f>
        <v>1904340</v>
      </c>
      <c r="H61" s="30">
        <f>H59*17/100</f>
        <v>2265250</v>
      </c>
      <c r="I61" s="30">
        <f>I59*0.17</f>
        <v>2310596.31</v>
      </c>
      <c r="J61">
        <v>2295890</v>
      </c>
    </row>
    <row r="62" spans="7:9" ht="12.75">
      <c r="G62" s="30"/>
      <c r="H62" s="30"/>
      <c r="I62" s="30"/>
    </row>
    <row r="63" spans="2:10" ht="12.75">
      <c r="B63" t="s">
        <v>92</v>
      </c>
      <c r="F63" s="45">
        <v>9</v>
      </c>
      <c r="G63" s="45">
        <v>9.7</v>
      </c>
      <c r="H63" s="45">
        <v>9</v>
      </c>
      <c r="I63">
        <v>9.21</v>
      </c>
      <c r="J63" s="45">
        <v>9.21</v>
      </c>
    </row>
    <row r="64" spans="7:9" ht="12.75">
      <c r="G64" s="30"/>
      <c r="H64" s="30"/>
      <c r="I64" s="30"/>
    </row>
    <row r="65" spans="2:10" ht="12.75">
      <c r="B65" t="s">
        <v>93</v>
      </c>
      <c r="F65" s="37">
        <v>240094</v>
      </c>
      <c r="G65" s="37">
        <v>245021</v>
      </c>
      <c r="H65" s="37">
        <v>314618</v>
      </c>
      <c r="I65" s="37">
        <f>I61/I63</f>
        <v>250879.07817589576</v>
      </c>
      <c r="J65" s="34">
        <f>J61/J63</f>
        <v>249282.30184581975</v>
      </c>
    </row>
    <row r="66" spans="6:9" ht="12.75">
      <c r="F66" s="37"/>
      <c r="G66" s="37"/>
      <c r="H66" s="37"/>
      <c r="I66" s="37"/>
    </row>
    <row r="67" spans="1:9" ht="12.75">
      <c r="A67" t="s">
        <v>199</v>
      </c>
      <c r="B67" t="s">
        <v>96</v>
      </c>
      <c r="F67" s="37"/>
      <c r="G67" s="37"/>
      <c r="H67" s="37"/>
      <c r="I67" s="37"/>
    </row>
    <row r="69" spans="2:8" ht="12.75">
      <c r="B69" t="s">
        <v>97</v>
      </c>
      <c r="C69" t="s">
        <v>98</v>
      </c>
      <c r="D69" t="s">
        <v>99</v>
      </c>
      <c r="F69" t="s">
        <v>100</v>
      </c>
      <c r="G69" t="s">
        <v>101</v>
      </c>
      <c r="H69" t="s">
        <v>102</v>
      </c>
    </row>
    <row r="70" spans="1:8" ht="12.75">
      <c r="A70">
        <v>49</v>
      </c>
      <c r="B70" t="s">
        <v>115</v>
      </c>
      <c r="C70" t="s">
        <v>116</v>
      </c>
      <c r="D70" t="s">
        <v>104</v>
      </c>
      <c r="F70" t="s">
        <v>117</v>
      </c>
      <c r="G70" t="s">
        <v>118</v>
      </c>
      <c r="H70" s="30">
        <v>15000</v>
      </c>
    </row>
    <row r="71" spans="1:8" ht="12.75">
      <c r="A71">
        <v>50</v>
      </c>
      <c r="B71" t="s">
        <v>115</v>
      </c>
      <c r="C71" t="s">
        <v>119</v>
      </c>
      <c r="D71" t="s">
        <v>105</v>
      </c>
      <c r="F71" t="s">
        <v>120</v>
      </c>
      <c r="G71" t="s">
        <v>121</v>
      </c>
      <c r="H71" s="30">
        <v>20000</v>
      </c>
    </row>
    <row r="72" spans="1:10" ht="12.75">
      <c r="A72">
        <v>51</v>
      </c>
      <c r="B72" t="s">
        <v>122</v>
      </c>
      <c r="C72" t="s">
        <v>123</v>
      </c>
      <c r="D72" t="s">
        <v>124</v>
      </c>
      <c r="F72" t="s">
        <v>125</v>
      </c>
      <c r="G72" t="s">
        <v>126</v>
      </c>
      <c r="H72" s="30">
        <v>15000</v>
      </c>
      <c r="I72" t="s">
        <v>63</v>
      </c>
      <c r="J72" s="30">
        <v>56000</v>
      </c>
    </row>
    <row r="73" spans="1:8" ht="12.75">
      <c r="A73">
        <v>52</v>
      </c>
      <c r="B73" t="s">
        <v>127</v>
      </c>
      <c r="C73" t="s">
        <v>128</v>
      </c>
      <c r="D73" t="s">
        <v>104</v>
      </c>
      <c r="F73" t="s">
        <v>129</v>
      </c>
      <c r="G73" t="s">
        <v>130</v>
      </c>
      <c r="H73" s="30">
        <v>6000</v>
      </c>
    </row>
    <row r="74" spans="1:8" ht="12.75">
      <c r="A74">
        <v>53</v>
      </c>
      <c r="B74" t="s">
        <v>127</v>
      </c>
      <c r="C74" t="s">
        <v>131</v>
      </c>
      <c r="D74" t="s">
        <v>108</v>
      </c>
      <c r="F74" t="s">
        <v>132</v>
      </c>
      <c r="G74" t="s">
        <v>133</v>
      </c>
      <c r="H74" s="30">
        <v>15000</v>
      </c>
    </row>
    <row r="75" spans="1:8" ht="12.75">
      <c r="A75">
        <v>54</v>
      </c>
      <c r="B75" t="s">
        <v>127</v>
      </c>
      <c r="C75" t="s">
        <v>134</v>
      </c>
      <c r="D75" t="s">
        <v>135</v>
      </c>
      <c r="F75" t="s">
        <v>136</v>
      </c>
      <c r="G75" t="s">
        <v>137</v>
      </c>
      <c r="H75" s="30">
        <v>15000</v>
      </c>
    </row>
    <row r="76" spans="1:8" ht="12.75">
      <c r="A76">
        <v>55</v>
      </c>
      <c r="B76" t="s">
        <v>127</v>
      </c>
      <c r="C76" t="s">
        <v>138</v>
      </c>
      <c r="D76" t="s">
        <v>105</v>
      </c>
      <c r="F76" t="s">
        <v>139</v>
      </c>
      <c r="G76" t="s">
        <v>140</v>
      </c>
      <c r="H76" s="30">
        <v>10000</v>
      </c>
    </row>
    <row r="77" spans="1:8" ht="12.75">
      <c r="A77">
        <v>56</v>
      </c>
      <c r="B77" t="s">
        <v>127</v>
      </c>
      <c r="C77" t="s">
        <v>141</v>
      </c>
      <c r="D77" t="s">
        <v>104</v>
      </c>
      <c r="F77" t="s">
        <v>142</v>
      </c>
      <c r="G77" t="s">
        <v>143</v>
      </c>
      <c r="H77" s="30">
        <v>15000</v>
      </c>
    </row>
    <row r="78" spans="1:8" ht="12.75">
      <c r="A78">
        <v>57</v>
      </c>
      <c r="B78" t="s">
        <v>127</v>
      </c>
      <c r="C78" t="s">
        <v>144</v>
      </c>
      <c r="D78" t="s">
        <v>104</v>
      </c>
      <c r="F78" t="s">
        <v>145</v>
      </c>
      <c r="G78" t="s">
        <v>146</v>
      </c>
      <c r="H78" s="30">
        <v>15000</v>
      </c>
    </row>
    <row r="79" spans="1:8" ht="12.75">
      <c r="A79">
        <v>58</v>
      </c>
      <c r="B79" t="s">
        <v>127</v>
      </c>
      <c r="C79" t="s">
        <v>147</v>
      </c>
      <c r="D79" t="s">
        <v>104</v>
      </c>
      <c r="F79" t="s">
        <v>145</v>
      </c>
      <c r="G79" t="s">
        <v>146</v>
      </c>
      <c r="H79" s="30">
        <v>10000</v>
      </c>
    </row>
    <row r="80" spans="1:8" ht="12.75">
      <c r="A80">
        <v>59</v>
      </c>
      <c r="B80" t="s">
        <v>127</v>
      </c>
      <c r="C80" t="s">
        <v>148</v>
      </c>
      <c r="D80" t="s">
        <v>108</v>
      </c>
      <c r="F80" t="s">
        <v>149</v>
      </c>
      <c r="H80" s="30">
        <v>6000</v>
      </c>
    </row>
    <row r="81" spans="1:10" ht="12.75">
      <c r="A81">
        <v>60</v>
      </c>
      <c r="B81" t="s">
        <v>127</v>
      </c>
      <c r="C81" t="s">
        <v>150</v>
      </c>
      <c r="D81" t="s">
        <v>104</v>
      </c>
      <c r="F81" t="s">
        <v>117</v>
      </c>
      <c r="G81" t="s">
        <v>151</v>
      </c>
      <c r="H81" s="30">
        <v>20000</v>
      </c>
      <c r="I81" t="s">
        <v>63</v>
      </c>
      <c r="J81" s="37">
        <v>112000</v>
      </c>
    </row>
    <row r="82" spans="1:9" ht="12.75">
      <c r="A82">
        <v>61</v>
      </c>
      <c r="B82" t="s">
        <v>115</v>
      </c>
      <c r="C82" t="s">
        <v>152</v>
      </c>
      <c r="D82" t="s">
        <v>108</v>
      </c>
      <c r="F82" t="s">
        <v>113</v>
      </c>
      <c r="G82" t="s">
        <v>153</v>
      </c>
      <c r="H82" s="30">
        <v>6000</v>
      </c>
      <c r="I82" t="s">
        <v>224</v>
      </c>
    </row>
    <row r="83" spans="1:8" ht="12.75">
      <c r="A83">
        <v>124</v>
      </c>
      <c r="B83" t="s">
        <v>158</v>
      </c>
      <c r="C83" t="s">
        <v>159</v>
      </c>
      <c r="D83" t="s">
        <v>105</v>
      </c>
      <c r="F83" t="s">
        <v>139</v>
      </c>
      <c r="G83" t="s">
        <v>160</v>
      </c>
      <c r="H83" s="30">
        <v>10000</v>
      </c>
    </row>
    <row r="84" spans="1:8" ht="12.75">
      <c r="A84">
        <v>125</v>
      </c>
      <c r="B84" t="s">
        <v>158</v>
      </c>
      <c r="C84" t="s">
        <v>161</v>
      </c>
      <c r="D84" t="s">
        <v>105</v>
      </c>
      <c r="F84" t="s">
        <v>162</v>
      </c>
      <c r="G84" t="s">
        <v>163</v>
      </c>
      <c r="H84" s="30">
        <v>10000</v>
      </c>
    </row>
    <row r="85" spans="1:8" ht="12.75">
      <c r="A85">
        <v>126</v>
      </c>
      <c r="B85" t="s">
        <v>158</v>
      </c>
      <c r="C85" t="s">
        <v>164</v>
      </c>
      <c r="D85" t="s">
        <v>105</v>
      </c>
      <c r="F85" t="s">
        <v>157</v>
      </c>
      <c r="G85" t="s">
        <v>165</v>
      </c>
      <c r="H85" s="30">
        <v>8000</v>
      </c>
    </row>
    <row r="86" spans="1:8" ht="12.75">
      <c r="A86">
        <v>127</v>
      </c>
      <c r="B86" t="s">
        <v>158</v>
      </c>
      <c r="C86" t="s">
        <v>166</v>
      </c>
      <c r="D86" t="s">
        <v>105</v>
      </c>
      <c r="F86" t="s">
        <v>156</v>
      </c>
      <c r="G86" t="s">
        <v>167</v>
      </c>
      <c r="H86" s="30">
        <v>10000</v>
      </c>
    </row>
    <row r="87" spans="1:8" ht="12.75">
      <c r="A87">
        <v>128</v>
      </c>
      <c r="B87" t="s">
        <v>158</v>
      </c>
      <c r="C87" t="s">
        <v>168</v>
      </c>
      <c r="D87" t="s">
        <v>108</v>
      </c>
      <c r="F87" t="s">
        <v>169</v>
      </c>
      <c r="G87" t="s">
        <v>170</v>
      </c>
      <c r="H87" s="30">
        <v>20000</v>
      </c>
    </row>
    <row r="88" spans="1:8" ht="12.75">
      <c r="A88">
        <v>129</v>
      </c>
      <c r="B88" t="s">
        <v>158</v>
      </c>
      <c r="C88" t="s">
        <v>171</v>
      </c>
      <c r="D88" t="s">
        <v>108</v>
      </c>
      <c r="F88" t="s">
        <v>169</v>
      </c>
      <c r="G88" t="s">
        <v>170</v>
      </c>
      <c r="H88" s="30">
        <v>12000</v>
      </c>
    </row>
    <row r="89" spans="1:8" ht="12.75">
      <c r="A89">
        <v>130</v>
      </c>
      <c r="B89" t="s">
        <v>158</v>
      </c>
      <c r="C89" t="s">
        <v>172</v>
      </c>
      <c r="D89" t="s">
        <v>108</v>
      </c>
      <c r="F89" t="s">
        <v>173</v>
      </c>
      <c r="G89" t="s">
        <v>174</v>
      </c>
      <c r="H89" s="30">
        <v>20000</v>
      </c>
    </row>
    <row r="90" spans="1:8" ht="12.75">
      <c r="A90">
        <v>131</v>
      </c>
      <c r="B90" t="s">
        <v>158</v>
      </c>
      <c r="C90" t="s">
        <v>175</v>
      </c>
      <c r="D90" t="s">
        <v>108</v>
      </c>
      <c r="F90" t="s">
        <v>173</v>
      </c>
      <c r="G90" t="s">
        <v>174</v>
      </c>
      <c r="H90" s="30">
        <v>20000</v>
      </c>
    </row>
    <row r="91" spans="1:10" ht="12.75">
      <c r="A91">
        <v>132</v>
      </c>
      <c r="B91" t="s">
        <v>158</v>
      </c>
      <c r="C91" t="s">
        <v>176</v>
      </c>
      <c r="D91" t="s">
        <v>105</v>
      </c>
      <c r="F91" t="s">
        <v>106</v>
      </c>
      <c r="G91" t="s">
        <v>177</v>
      </c>
      <c r="H91" s="30">
        <v>5000</v>
      </c>
      <c r="I91" t="s">
        <v>63</v>
      </c>
      <c r="J91" s="30">
        <v>115000</v>
      </c>
    </row>
    <row r="92" spans="1:8" ht="12.75">
      <c r="A92">
        <v>133</v>
      </c>
      <c r="B92" t="s">
        <v>178</v>
      </c>
      <c r="C92" t="s">
        <v>179</v>
      </c>
      <c r="D92" t="s">
        <v>103</v>
      </c>
      <c r="F92" t="s">
        <v>107</v>
      </c>
      <c r="G92" t="s">
        <v>180</v>
      </c>
      <c r="H92" s="30">
        <v>30000</v>
      </c>
    </row>
    <row r="93" spans="1:8" ht="12.75">
      <c r="A93">
        <v>134</v>
      </c>
      <c r="B93" t="s">
        <v>178</v>
      </c>
      <c r="C93" t="s">
        <v>181</v>
      </c>
      <c r="D93" t="s">
        <v>103</v>
      </c>
      <c r="F93" t="s">
        <v>107</v>
      </c>
      <c r="G93" t="s">
        <v>180</v>
      </c>
      <c r="H93" s="30">
        <v>30000</v>
      </c>
    </row>
    <row r="94" spans="1:8" ht="12.75">
      <c r="A94">
        <v>135</v>
      </c>
      <c r="B94" t="s">
        <v>178</v>
      </c>
      <c r="C94" t="s">
        <v>182</v>
      </c>
      <c r="D94" t="s">
        <v>103</v>
      </c>
      <c r="F94" t="s">
        <v>107</v>
      </c>
      <c r="G94" t="s">
        <v>180</v>
      </c>
      <c r="H94" s="30">
        <v>30000</v>
      </c>
    </row>
    <row r="95" spans="1:8" ht="12.75">
      <c r="A95">
        <v>136</v>
      </c>
      <c r="B95" t="s">
        <v>178</v>
      </c>
      <c r="C95" t="s">
        <v>183</v>
      </c>
      <c r="D95" t="s">
        <v>103</v>
      </c>
      <c r="F95" t="s">
        <v>107</v>
      </c>
      <c r="G95" t="s">
        <v>180</v>
      </c>
      <c r="H95" s="30">
        <v>30000</v>
      </c>
    </row>
    <row r="96" spans="1:8" ht="12.75">
      <c r="A96">
        <v>137</v>
      </c>
      <c r="B96" t="s">
        <v>178</v>
      </c>
      <c r="C96" t="s">
        <v>184</v>
      </c>
      <c r="D96" t="s">
        <v>103</v>
      </c>
      <c r="F96" t="s">
        <v>107</v>
      </c>
      <c r="G96" t="s">
        <v>180</v>
      </c>
      <c r="H96" s="30">
        <v>30000</v>
      </c>
    </row>
    <row r="97" spans="1:8" ht="12.75">
      <c r="A97">
        <v>138</v>
      </c>
      <c r="B97" t="s">
        <v>178</v>
      </c>
      <c r="C97" t="s">
        <v>185</v>
      </c>
      <c r="D97" t="s">
        <v>104</v>
      </c>
      <c r="F97" t="s">
        <v>154</v>
      </c>
      <c r="G97" t="s">
        <v>155</v>
      </c>
      <c r="H97" s="30">
        <v>6000</v>
      </c>
    </row>
    <row r="98" spans="1:8" ht="12.75">
      <c r="A98">
        <v>139</v>
      </c>
      <c r="B98" t="s">
        <v>178</v>
      </c>
      <c r="C98" t="s">
        <v>186</v>
      </c>
      <c r="D98" t="s">
        <v>104</v>
      </c>
      <c r="F98" t="s">
        <v>187</v>
      </c>
      <c r="G98">
        <v>1.8</v>
      </c>
      <c r="H98" s="30">
        <v>80000</v>
      </c>
    </row>
    <row r="99" spans="1:10" ht="12.75">
      <c r="A99">
        <v>140</v>
      </c>
      <c r="B99" t="s">
        <v>178</v>
      </c>
      <c r="C99" t="s">
        <v>188</v>
      </c>
      <c r="D99" t="s">
        <v>105</v>
      </c>
      <c r="F99" t="s">
        <v>106</v>
      </c>
      <c r="G99" t="s">
        <v>189</v>
      </c>
      <c r="H99" s="30">
        <v>40000</v>
      </c>
      <c r="I99" t="s">
        <v>63</v>
      </c>
      <c r="J99" s="30">
        <v>276000</v>
      </c>
    </row>
    <row r="100" spans="1:10" ht="12.75">
      <c r="A100">
        <v>141</v>
      </c>
      <c r="B100" t="s">
        <v>190</v>
      </c>
      <c r="C100" t="s">
        <v>191</v>
      </c>
      <c r="D100" t="s">
        <v>105</v>
      </c>
      <c r="F100" t="s">
        <v>109</v>
      </c>
      <c r="G100" t="s">
        <v>110</v>
      </c>
      <c r="H100" s="30">
        <v>9000</v>
      </c>
      <c r="J100" s="30" t="s">
        <v>41</v>
      </c>
    </row>
    <row r="101" spans="1:8" ht="12.75">
      <c r="A101">
        <v>142</v>
      </c>
      <c r="B101" t="s">
        <v>190</v>
      </c>
      <c r="C101" t="s">
        <v>192</v>
      </c>
      <c r="D101" t="s">
        <v>105</v>
      </c>
      <c r="F101" t="s">
        <v>109</v>
      </c>
      <c r="G101" t="s">
        <v>110</v>
      </c>
      <c r="H101" s="30">
        <v>14000</v>
      </c>
    </row>
    <row r="102" spans="1:8" ht="12.75">
      <c r="A102">
        <v>143</v>
      </c>
      <c r="B102" t="s">
        <v>190</v>
      </c>
      <c r="C102" t="s">
        <v>193</v>
      </c>
      <c r="D102" t="s">
        <v>105</v>
      </c>
      <c r="F102" t="s">
        <v>109</v>
      </c>
      <c r="G102" t="s">
        <v>110</v>
      </c>
      <c r="H102" s="30">
        <v>9000</v>
      </c>
    </row>
    <row r="103" spans="1:10" ht="12.75">
      <c r="A103">
        <v>144</v>
      </c>
      <c r="B103" t="s">
        <v>190</v>
      </c>
      <c r="C103" t="s">
        <v>194</v>
      </c>
      <c r="D103" t="s">
        <v>111</v>
      </c>
      <c r="F103" t="s">
        <v>112</v>
      </c>
      <c r="G103" t="s">
        <v>114</v>
      </c>
      <c r="H103" s="30">
        <v>20000</v>
      </c>
      <c r="I103" t="s">
        <v>63</v>
      </c>
      <c r="J103" s="30">
        <v>54000</v>
      </c>
    </row>
    <row r="104" spans="1:10" ht="12.75">
      <c r="A104">
        <v>145</v>
      </c>
      <c r="B104" t="s">
        <v>195</v>
      </c>
      <c r="C104" t="s">
        <v>196</v>
      </c>
      <c r="D104" t="s">
        <v>124</v>
      </c>
      <c r="F104" t="s">
        <v>197</v>
      </c>
      <c r="G104" t="s">
        <v>198</v>
      </c>
      <c r="H104" s="30">
        <v>25000</v>
      </c>
      <c r="I104" t="s">
        <v>63</v>
      </c>
      <c r="J104" s="30">
        <v>25000</v>
      </c>
    </row>
    <row r="105" spans="1:10" ht="12.75">
      <c r="A105">
        <v>139</v>
      </c>
      <c r="H105" s="30">
        <f>H104+H103+H102+H101+H100+H99+H98+H97+H96+H95+H94+H93+H92+H91+H90+H89+H88+H87+H86+H85+H84+H83+H82+H81+H80+H79+H78+H77+H76+H75+H74+H73+H72+H71+H70</f>
        <v>636000</v>
      </c>
      <c r="J105" s="47">
        <f>J104+J103+J99+J91+J81+J72</f>
        <v>638000</v>
      </c>
    </row>
  </sheetData>
  <sheetProtection/>
  <mergeCells count="6">
    <mergeCell ref="A22:A25"/>
    <mergeCell ref="I52:J52"/>
    <mergeCell ref="O1:Q1"/>
    <mergeCell ref="F1:H1"/>
    <mergeCell ref="B1:D1"/>
    <mergeCell ref="F31:H3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1.00390625" style="0" customWidth="1"/>
    <col min="3" max="4" width="10.140625" style="0" bestFit="1" customWidth="1"/>
    <col min="5" max="5" width="14.140625" style="0" customWidth="1"/>
    <col min="6" max="6" width="11.8515625" style="0" customWidth="1"/>
    <col min="7" max="7" width="13.00390625" style="0" customWidth="1"/>
    <col min="8" max="8" width="39.28125" style="0" customWidth="1"/>
    <col min="9" max="9" width="12.7109375" style="0" customWidth="1"/>
  </cols>
  <sheetData>
    <row r="1" spans="1:7" ht="17.25" customHeight="1">
      <c r="A1" s="1" t="s">
        <v>0</v>
      </c>
      <c r="B1" s="135" t="s">
        <v>34</v>
      </c>
      <c r="C1" s="135"/>
      <c r="D1" s="135"/>
      <c r="E1" s="135"/>
      <c r="F1" s="136"/>
      <c r="G1" s="87"/>
    </row>
    <row r="2" spans="1:8" ht="33" customHeight="1">
      <c r="A2" s="1"/>
      <c r="B2" s="10">
        <v>2007</v>
      </c>
      <c r="C2" s="10">
        <v>2008</v>
      </c>
      <c r="D2" s="10">
        <v>2009</v>
      </c>
      <c r="E2" s="108" t="s">
        <v>232</v>
      </c>
      <c r="F2" s="10">
        <v>2010</v>
      </c>
      <c r="G2" s="108" t="s">
        <v>232</v>
      </c>
      <c r="H2" t="s">
        <v>210</v>
      </c>
    </row>
    <row r="3" spans="1:7" ht="12.75">
      <c r="A3" s="2"/>
      <c r="B3" s="2"/>
      <c r="C3" s="2"/>
      <c r="D3" s="2"/>
      <c r="E3" s="95" t="s">
        <v>267</v>
      </c>
      <c r="F3" s="25"/>
      <c r="G3" s="95" t="s">
        <v>268</v>
      </c>
    </row>
    <row r="4" spans="1:7" ht="12.75">
      <c r="A4" s="5" t="s">
        <v>10</v>
      </c>
      <c r="B4" s="81"/>
      <c r="C4" s="66">
        <f>C5+C6+C7+C8+C9</f>
        <v>20521069.876</v>
      </c>
      <c r="D4" s="66">
        <f>D5+D6+D7+D8+D9</f>
        <v>18300315.584</v>
      </c>
      <c r="E4" s="109">
        <f>C4-D4</f>
        <v>2220754.2919999994</v>
      </c>
      <c r="F4" s="66">
        <f>SUM(F5:F9)</f>
        <v>19370767.597000003</v>
      </c>
      <c r="G4" s="109">
        <f>D4-F4</f>
        <v>-1070452.013000004</v>
      </c>
    </row>
    <row r="5" spans="1:7" ht="12.75">
      <c r="A5" s="6" t="s">
        <v>1</v>
      </c>
      <c r="B5" s="81"/>
      <c r="C5" s="63">
        <f>'kom byg'!F4</f>
        <v>1146198.888</v>
      </c>
      <c r="D5" s="63">
        <f>'kom byg'!K4</f>
        <v>970207.683</v>
      </c>
      <c r="E5" s="110">
        <f aca="true" t="shared" si="0" ref="E5:E19">C5-D5</f>
        <v>175991.20500000007</v>
      </c>
      <c r="F5" s="63">
        <f>'kom byg'!Q4</f>
        <v>979448</v>
      </c>
      <c r="G5" s="77">
        <f>D5-F5</f>
        <v>-9240.31700000004</v>
      </c>
    </row>
    <row r="6" spans="1:7" ht="12.75">
      <c r="A6" s="6" t="s">
        <v>2</v>
      </c>
      <c r="B6" s="81"/>
      <c r="C6" s="63">
        <f>'kom byg'!F5</f>
        <v>5483665.282</v>
      </c>
      <c r="D6" s="63">
        <f>'kom byg'!K5</f>
        <v>5155577.891</v>
      </c>
      <c r="E6" s="110">
        <f t="shared" si="0"/>
        <v>328087.3909999998</v>
      </c>
      <c r="F6" s="63">
        <f>'kom byg'!Q5</f>
        <v>5736139.433</v>
      </c>
      <c r="G6" s="77">
        <f aca="true" t="shared" si="1" ref="G6:G25">D6-F6</f>
        <v>-580561.5420000004</v>
      </c>
    </row>
    <row r="7" spans="1:7" ht="12.75">
      <c r="A7" s="6" t="s">
        <v>3</v>
      </c>
      <c r="B7" s="81"/>
      <c r="C7" s="63">
        <f>'kom byg'!F6</f>
        <v>1833331.592</v>
      </c>
      <c r="D7" s="63">
        <f>'kom byg'!K6</f>
        <v>1875457.3310000002</v>
      </c>
      <c r="E7" s="110">
        <f t="shared" si="0"/>
        <v>-42125.73900000029</v>
      </c>
      <c r="F7" s="63">
        <f>'kom byg'!Q6</f>
        <v>1825958.294</v>
      </c>
      <c r="G7" s="77">
        <f t="shared" si="1"/>
        <v>49499.037000000244</v>
      </c>
    </row>
    <row r="8" spans="1:7" ht="12.75">
      <c r="A8" s="6" t="s">
        <v>5</v>
      </c>
      <c r="B8" s="81"/>
      <c r="C8" s="63">
        <f>'kom byg'!F7</f>
        <v>4491552.607</v>
      </c>
      <c r="D8" s="63">
        <f>'kom byg'!K7</f>
        <v>4394192.303</v>
      </c>
      <c r="E8" s="110">
        <f t="shared" si="0"/>
        <v>97360.30399999954</v>
      </c>
      <c r="F8" s="63">
        <f>'kom byg'!Q7</f>
        <v>4466474.375</v>
      </c>
      <c r="G8" s="77">
        <f t="shared" si="1"/>
        <v>-72282.0719999997</v>
      </c>
    </row>
    <row r="9" spans="1:7" ht="12.75">
      <c r="A9" s="6" t="s">
        <v>7</v>
      </c>
      <c r="B9" s="81"/>
      <c r="C9" s="63">
        <f>'kom byg'!F8</f>
        <v>7566321.506999999</v>
      </c>
      <c r="D9" s="63">
        <f>'kom byg'!K8</f>
        <v>5904880.376</v>
      </c>
      <c r="E9" s="110">
        <f t="shared" si="0"/>
        <v>1661441.1309999991</v>
      </c>
      <c r="F9" s="63">
        <f>'kom byg'!Q8</f>
        <v>6362747.495000001</v>
      </c>
      <c r="G9" s="77">
        <f t="shared" si="1"/>
        <v>-457867.1190000009</v>
      </c>
    </row>
    <row r="10" spans="1:7" ht="12.75">
      <c r="A10" s="5" t="s">
        <v>8</v>
      </c>
      <c r="B10" s="81"/>
      <c r="C10" s="63"/>
      <c r="D10" s="66">
        <f>D11+D12+D13+D14</f>
        <v>1212232.1</v>
      </c>
      <c r="E10" s="109">
        <v>0</v>
      </c>
      <c r="F10" s="66">
        <f>F11+F12+F13+F14</f>
        <v>1655051.2885</v>
      </c>
      <c r="G10" s="109">
        <f t="shared" si="1"/>
        <v>-442819.18849999993</v>
      </c>
    </row>
    <row r="11" spans="1:7" ht="12.75">
      <c r="A11" s="6" t="s">
        <v>9</v>
      </c>
      <c r="B11" s="81"/>
      <c r="C11" s="63"/>
      <c r="D11" s="63">
        <f>transport!L3</f>
        <v>267952.1</v>
      </c>
      <c r="E11" s="110">
        <v>0</v>
      </c>
      <c r="F11" s="63">
        <f>transport!Q3</f>
        <v>287156.8885</v>
      </c>
      <c r="G11" s="77">
        <f t="shared" si="1"/>
        <v>-19204.788500000024</v>
      </c>
    </row>
    <row r="12" spans="1:7" ht="12.75">
      <c r="A12" s="6" t="s">
        <v>279</v>
      </c>
      <c r="B12" s="81"/>
      <c r="C12" s="63">
        <f>transport!H4</f>
        <v>171720</v>
      </c>
      <c r="D12" s="63">
        <f>C12</f>
        <v>171720</v>
      </c>
      <c r="E12" s="110">
        <f t="shared" si="0"/>
        <v>0</v>
      </c>
      <c r="F12" s="63">
        <f>transport!Q4</f>
        <v>549814.4</v>
      </c>
      <c r="G12" s="77">
        <f t="shared" si="1"/>
        <v>-378094.4</v>
      </c>
    </row>
    <row r="13" spans="1:7" ht="12.75">
      <c r="A13" s="6" t="s">
        <v>230</v>
      </c>
      <c r="B13" s="81"/>
      <c r="C13" s="63"/>
      <c r="D13" s="63">
        <f>transport!L5</f>
        <v>101760</v>
      </c>
      <c r="E13" s="109">
        <v>0</v>
      </c>
      <c r="F13" s="63">
        <f>transport!Q5</f>
        <v>205440</v>
      </c>
      <c r="G13" s="77">
        <f t="shared" si="1"/>
        <v>-103680</v>
      </c>
    </row>
    <row r="14" spans="1:7" ht="12.75">
      <c r="A14" s="6" t="s">
        <v>233</v>
      </c>
      <c r="B14" s="81"/>
      <c r="C14" s="63"/>
      <c r="D14" s="63">
        <f>transport!L6</f>
        <v>670800</v>
      </c>
      <c r="E14" s="109">
        <v>0</v>
      </c>
      <c r="F14" s="63">
        <f>transport!Q6</f>
        <v>612640</v>
      </c>
      <c r="G14" s="77">
        <f t="shared" si="1"/>
        <v>58160</v>
      </c>
    </row>
    <row r="15" spans="1:7" ht="12.75">
      <c r="A15" s="8" t="s">
        <v>11</v>
      </c>
      <c r="B15" s="82">
        <f>B16+B17+B18</f>
        <v>1892767.7999999998</v>
      </c>
      <c r="C15" s="65">
        <f>C16+C17+C18</f>
        <v>1893854.2999999998</v>
      </c>
      <c r="D15" s="65">
        <f>D16+D17+D18</f>
        <v>2070945.8499999999</v>
      </c>
      <c r="E15" s="109">
        <f t="shared" si="0"/>
        <v>-177091.55000000005</v>
      </c>
      <c r="F15" s="65">
        <f>F16+F17+F18</f>
        <v>1406316.9780673182</v>
      </c>
      <c r="G15" s="109">
        <f t="shared" si="1"/>
        <v>664628.8719326816</v>
      </c>
    </row>
    <row r="16" spans="1:7" ht="12.75">
      <c r="A16" s="7" t="s">
        <v>12</v>
      </c>
      <c r="B16" s="81">
        <f>transport!D7</f>
        <v>789700</v>
      </c>
      <c r="C16" s="64">
        <f>transport!H7</f>
        <v>800300</v>
      </c>
      <c r="D16" s="64">
        <f>transport!L7</f>
        <v>797650</v>
      </c>
      <c r="E16" s="110">
        <f t="shared" si="0"/>
        <v>2650</v>
      </c>
      <c r="F16" s="64">
        <f>transport!Q7</f>
        <v>660598.0998914223</v>
      </c>
      <c r="G16" s="77">
        <f t="shared" si="1"/>
        <v>137051.90010857768</v>
      </c>
    </row>
    <row r="17" spans="1:7" ht="12.75">
      <c r="A17" s="7" t="s">
        <v>13</v>
      </c>
      <c r="B17" s="81">
        <f>transport!D8</f>
        <v>466818.7</v>
      </c>
      <c r="C17" s="64">
        <f>transport!H8</f>
        <v>444248.64999999997</v>
      </c>
      <c r="D17" s="64">
        <f>transport!L8</f>
        <v>439558.14999999997</v>
      </c>
      <c r="E17" s="110">
        <f t="shared" si="0"/>
        <v>4690.5</v>
      </c>
      <c r="F17" s="64">
        <f>transport!Q8</f>
        <v>494839.8</v>
      </c>
      <c r="G17" s="77">
        <f t="shared" si="1"/>
        <v>-55281.65000000002</v>
      </c>
    </row>
    <row r="18" spans="1:8" ht="12.75">
      <c r="A18" s="7" t="s">
        <v>273</v>
      </c>
      <c r="B18" s="81">
        <f>transport!D9</f>
        <v>636249.1</v>
      </c>
      <c r="C18" s="64">
        <f>transport!H9</f>
        <v>649305.65</v>
      </c>
      <c r="D18" s="64">
        <f>transport!L9</f>
        <v>833737.7</v>
      </c>
      <c r="E18" s="110">
        <f t="shared" si="0"/>
        <v>-184432.04999999993</v>
      </c>
      <c r="F18" s="64">
        <f>transport!I65</f>
        <v>250879.07817589576</v>
      </c>
      <c r="G18" s="77">
        <f>D18-F18</f>
        <v>582858.6218241042</v>
      </c>
      <c r="H18" t="s">
        <v>41</v>
      </c>
    </row>
    <row r="19" spans="1:7" ht="12.75">
      <c r="A19" s="8" t="s">
        <v>15</v>
      </c>
      <c r="B19" s="81"/>
      <c r="C19" s="64"/>
      <c r="D19" s="65">
        <f>teknik!J5</f>
        <v>1390463.847</v>
      </c>
      <c r="E19" s="109">
        <f t="shared" si="0"/>
        <v>-1390463.847</v>
      </c>
      <c r="F19" s="65">
        <f>teknik!J11</f>
        <v>1273572.1530000002</v>
      </c>
      <c r="G19" s="109">
        <f t="shared" si="1"/>
        <v>116891.6939999999</v>
      </c>
    </row>
    <row r="20" spans="1:7" ht="12.75">
      <c r="A20" s="8" t="s">
        <v>23</v>
      </c>
      <c r="B20" s="81"/>
      <c r="C20" s="64"/>
      <c r="D20" s="65">
        <f>D21+D22</f>
        <v>151852.94999999998</v>
      </c>
      <c r="E20" s="109">
        <v>0</v>
      </c>
      <c r="F20" s="65">
        <f>SUM(F21:F22)</f>
        <v>400285.14999999997</v>
      </c>
      <c r="G20" s="109">
        <f t="shared" si="1"/>
        <v>-248432.19999999998</v>
      </c>
    </row>
    <row r="21" spans="1:8" ht="12.75">
      <c r="A21" s="7" t="s">
        <v>266</v>
      </c>
      <c r="B21" s="81"/>
      <c r="C21" s="64"/>
      <c r="D21" s="64">
        <f>affald!J2</f>
        <v>129516.09999999999</v>
      </c>
      <c r="E21" s="109" t="s">
        <v>41</v>
      </c>
      <c r="F21" s="64">
        <f>affald!J3</f>
        <v>366253.85</v>
      </c>
      <c r="G21" s="77">
        <f t="shared" si="1"/>
        <v>-236737.75</v>
      </c>
      <c r="H21" t="s">
        <v>41</v>
      </c>
    </row>
    <row r="22" spans="1:8" ht="12.75">
      <c r="A22" s="7" t="s">
        <v>24</v>
      </c>
      <c r="B22" s="81"/>
      <c r="C22" s="64"/>
      <c r="D22" s="64">
        <f>affald!J5</f>
        <v>22336.85</v>
      </c>
      <c r="E22" s="109" t="s">
        <v>41</v>
      </c>
      <c r="F22" s="64">
        <f>affald!J6</f>
        <v>34031.299999999996</v>
      </c>
      <c r="G22" s="77">
        <f t="shared" si="1"/>
        <v>-11694.449999999997</v>
      </c>
      <c r="H22" t="s">
        <v>41</v>
      </c>
    </row>
    <row r="23" spans="1:7" ht="12.75">
      <c r="A23" s="8" t="s">
        <v>25</v>
      </c>
      <c r="B23" s="81"/>
      <c r="C23" s="65">
        <v>2271573</v>
      </c>
      <c r="D23" s="65">
        <f>D24+D25</f>
        <v>2094403.838</v>
      </c>
      <c r="E23" s="109">
        <v>0</v>
      </c>
      <c r="F23" s="65">
        <f>F24+F25</f>
        <v>2057816.168</v>
      </c>
      <c r="G23" s="109">
        <f t="shared" si="1"/>
        <v>36587.669999999925</v>
      </c>
    </row>
    <row r="24" spans="1:8" ht="12.75">
      <c r="A24" s="7" t="s">
        <v>68</v>
      </c>
      <c r="B24" s="81"/>
      <c r="C24" s="64">
        <v>2271573</v>
      </c>
      <c r="D24" s="64">
        <f>teknik!J3</f>
        <v>15814.845000000001</v>
      </c>
      <c r="E24" s="110" t="s">
        <v>41</v>
      </c>
      <c r="F24" s="64">
        <f>teknik!J9</f>
        <v>17359.839</v>
      </c>
      <c r="G24" s="77">
        <f t="shared" si="1"/>
        <v>-1544.9939999999988</v>
      </c>
      <c r="H24" t="s">
        <v>41</v>
      </c>
    </row>
    <row r="25" spans="1:8" ht="12.75">
      <c r="A25" s="7" t="s">
        <v>265</v>
      </c>
      <c r="B25" s="81"/>
      <c r="C25" s="64"/>
      <c r="D25" s="64">
        <f>teknik!J4</f>
        <v>2078588.993</v>
      </c>
      <c r="E25" s="110" t="s">
        <v>41</v>
      </c>
      <c r="F25" s="64">
        <f>teknik!J10</f>
        <v>2040456.3290000001</v>
      </c>
      <c r="G25" s="77">
        <f t="shared" si="1"/>
        <v>38132.66399999987</v>
      </c>
      <c r="H25" s="80"/>
    </row>
    <row r="26" spans="1:7" ht="12.75">
      <c r="A26" s="9" t="s">
        <v>31</v>
      </c>
      <c r="B26" s="81">
        <f>SUM(B5:B25)</f>
        <v>3785535.6</v>
      </c>
      <c r="C26" s="63">
        <f>C15+C10+C4+C23+C12</f>
        <v>24858217.176</v>
      </c>
      <c r="D26" s="63">
        <f>D4+D10+D15+D20+D19+D23</f>
        <v>25220214.169</v>
      </c>
      <c r="E26" s="109">
        <f>C26-D26</f>
        <v>-361996.9930000007</v>
      </c>
      <c r="F26" s="63">
        <f>F4+F10+F15+F19+F20+F23</f>
        <v>26163809.334567323</v>
      </c>
      <c r="G26" s="109">
        <f>D26-F26</f>
        <v>-943595.1655673236</v>
      </c>
    </row>
    <row r="27" spans="1:7" ht="12.75">
      <c r="A27" s="4" t="s">
        <v>32</v>
      </c>
      <c r="B27" s="26"/>
      <c r="C27" s="26"/>
      <c r="D27" s="113" t="s">
        <v>41</v>
      </c>
      <c r="E27" s="115">
        <f>E26/D26*100</f>
        <v>-1.4353446428895023</v>
      </c>
      <c r="F27" s="113"/>
      <c r="G27" s="114">
        <f>G26/D26*100</f>
        <v>-3.7414240784963875</v>
      </c>
    </row>
    <row r="28" ht="12.75">
      <c r="G28" s="116" t="s">
        <v>41</v>
      </c>
    </row>
    <row r="29" ht="12.75">
      <c r="A29" t="s">
        <v>246</v>
      </c>
    </row>
    <row r="30" ht="12.75">
      <c r="A30" t="s">
        <v>245</v>
      </c>
    </row>
    <row r="31" ht="12.75">
      <c r="A31" t="s">
        <v>264</v>
      </c>
    </row>
    <row r="32" ht="12.75">
      <c r="A32" t="s">
        <v>274</v>
      </c>
    </row>
    <row r="33" ht="12.75">
      <c r="A33" t="s">
        <v>280</v>
      </c>
    </row>
    <row r="34" ht="12.75">
      <c r="A34" t="s">
        <v>41</v>
      </c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G2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9.57421875" style="0" customWidth="1"/>
    <col min="2" max="2" width="10.421875" style="0" customWidth="1"/>
    <col min="3" max="7" width="10.57421875" style="0" customWidth="1"/>
  </cols>
  <sheetData>
    <row r="1" spans="1:7" ht="21">
      <c r="A1" s="69" t="s">
        <v>39</v>
      </c>
      <c r="B1" s="137" t="s">
        <v>34</v>
      </c>
      <c r="C1" s="137"/>
      <c r="D1" s="137"/>
      <c r="E1" s="137"/>
      <c r="F1" s="137"/>
      <c r="G1" s="75"/>
    </row>
    <row r="2" spans="1:7" ht="12.75">
      <c r="A2" s="2"/>
      <c r="B2" s="138" t="s">
        <v>37</v>
      </c>
      <c r="C2" s="138"/>
      <c r="D2" s="138"/>
      <c r="E2" s="138"/>
      <c r="F2" s="138"/>
      <c r="G2" s="2"/>
    </row>
    <row r="3" spans="1:7" ht="12.75">
      <c r="A3" s="2"/>
      <c r="B3" s="10">
        <v>2007</v>
      </c>
      <c r="C3" s="10">
        <v>2008</v>
      </c>
      <c r="D3" s="10">
        <v>2009</v>
      </c>
      <c r="E3" s="10" t="s">
        <v>38</v>
      </c>
      <c r="F3" s="10">
        <v>2010</v>
      </c>
      <c r="G3" s="12">
        <v>2011</v>
      </c>
    </row>
    <row r="4" spans="1:7" ht="12.75">
      <c r="A4" s="2"/>
      <c r="B4" s="10"/>
      <c r="C4" s="10"/>
      <c r="D4" s="10"/>
      <c r="E4" s="13" t="s">
        <v>41</v>
      </c>
      <c r="F4" s="10"/>
      <c r="G4" s="2"/>
    </row>
    <row r="5" spans="1:7" ht="12.75">
      <c r="A5" s="2" t="s">
        <v>10</v>
      </c>
      <c r="B5" s="2"/>
      <c r="C5" s="2"/>
      <c r="D5" s="26">
        <f>total!D4/'pr borger'!D15</f>
        <v>475.3946118716716</v>
      </c>
      <c r="E5" s="2"/>
      <c r="F5" s="2"/>
      <c r="G5" s="2"/>
    </row>
    <row r="6" spans="1:7" ht="12.75">
      <c r="A6" s="2" t="s">
        <v>11</v>
      </c>
      <c r="B6" s="2"/>
      <c r="C6" s="2"/>
      <c r="D6" s="26">
        <f>total!D15/D15</f>
        <v>53.79778802441875</v>
      </c>
      <c r="E6" s="2"/>
      <c r="F6" s="2"/>
      <c r="G6" s="2"/>
    </row>
    <row r="7" spans="1:7" ht="12.75">
      <c r="A7" s="2" t="s">
        <v>8</v>
      </c>
      <c r="B7" s="2"/>
      <c r="C7" s="2"/>
      <c r="D7" s="26">
        <f>total!D16/D15</f>
        <v>20.720872840628655</v>
      </c>
      <c r="E7" s="2"/>
      <c r="F7" s="2"/>
      <c r="G7" s="2"/>
    </row>
    <row r="8" spans="1:7" ht="12.75">
      <c r="A8" s="2" t="s">
        <v>15</v>
      </c>
      <c r="B8" s="2"/>
      <c r="C8" s="2"/>
      <c r="D8" s="26">
        <f>total!D17/D15</f>
        <v>11.418577737368489</v>
      </c>
      <c r="E8" s="2"/>
      <c r="F8" s="2"/>
      <c r="G8" s="2"/>
    </row>
    <row r="9" spans="1:7" ht="12.75">
      <c r="A9" s="2" t="s">
        <v>16</v>
      </c>
      <c r="B9" s="2"/>
      <c r="C9" s="2"/>
      <c r="D9" s="26">
        <f>total!D18/D15</f>
        <v>21.658337446421612</v>
      </c>
      <c r="E9" s="2"/>
      <c r="F9" s="2"/>
      <c r="G9" s="2"/>
    </row>
    <row r="10" spans="1:7" ht="12.75">
      <c r="A10" s="2" t="s">
        <v>35</v>
      </c>
      <c r="B10" s="2"/>
      <c r="C10" s="2"/>
      <c r="D10" s="26">
        <f>total!D19/D15</f>
        <v>36.120635069489545</v>
      </c>
      <c r="E10" s="2"/>
      <c r="F10" s="2"/>
      <c r="G10" s="2"/>
    </row>
    <row r="11" spans="1:7" ht="12.75">
      <c r="A11" s="2" t="s">
        <v>23</v>
      </c>
      <c r="B11" s="2"/>
      <c r="C11" s="2"/>
      <c r="D11" s="26" t="e">
        <f>total!#REF!/D15</f>
        <v>#REF!</v>
      </c>
      <c r="E11" s="2"/>
      <c r="F11" s="2"/>
      <c r="G11" s="2"/>
    </row>
    <row r="12" spans="1:7" ht="12.75">
      <c r="A12" s="2" t="s">
        <v>25</v>
      </c>
      <c r="B12" s="2"/>
      <c r="C12" s="2"/>
      <c r="D12" s="26" t="e">
        <f>total!#REF!/D15</f>
        <v>#REF!</v>
      </c>
      <c r="E12" s="2"/>
      <c r="F12" s="2"/>
      <c r="G12" s="2"/>
    </row>
    <row r="13" spans="1:7" s="34" customFormat="1" ht="12.75">
      <c r="A13" s="3" t="s">
        <v>36</v>
      </c>
      <c r="B13" s="3"/>
      <c r="C13" s="3"/>
      <c r="D13" s="68" t="e">
        <f>SUM(D5:D12)</f>
        <v>#REF!</v>
      </c>
      <c r="E13" s="3"/>
      <c r="F13" s="3"/>
      <c r="G13" s="3"/>
    </row>
    <row r="14" spans="1:7" ht="12.75">
      <c r="A14" s="2"/>
      <c r="B14" s="2"/>
      <c r="C14" s="2"/>
      <c r="D14" s="2"/>
      <c r="E14" s="2"/>
      <c r="F14" s="2"/>
      <c r="G14" s="2"/>
    </row>
    <row r="15" spans="1:7" s="34" customFormat="1" ht="12.75">
      <c r="A15" s="70" t="s">
        <v>40</v>
      </c>
      <c r="B15" s="70">
        <v>37841</v>
      </c>
      <c r="C15" s="70">
        <v>38277</v>
      </c>
      <c r="D15" s="70">
        <v>38495</v>
      </c>
      <c r="E15" s="70"/>
      <c r="F15" s="70"/>
      <c r="G15" s="70"/>
    </row>
    <row r="20" spans="2:5" ht="12.75">
      <c r="B20" s="67"/>
      <c r="C20" s="67"/>
      <c r="D20" s="67"/>
      <c r="E20" s="67"/>
    </row>
  </sheetData>
  <sheetProtection/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T2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9.8515625" style="0" customWidth="1"/>
    <col min="2" max="2" width="12.7109375" style="0" customWidth="1"/>
  </cols>
  <sheetData>
    <row r="1" spans="1:20" ht="22.5">
      <c r="A1" s="14" t="s">
        <v>43</v>
      </c>
      <c r="B1" s="14" t="s">
        <v>48</v>
      </c>
      <c r="C1" s="135" t="s">
        <v>42</v>
      </c>
      <c r="D1" s="135"/>
      <c r="E1" s="135"/>
      <c r="F1" s="135"/>
      <c r="G1" s="135"/>
      <c r="H1" s="135"/>
      <c r="I1" s="135" t="s">
        <v>45</v>
      </c>
      <c r="J1" s="135"/>
      <c r="K1" s="135"/>
      <c r="L1" s="135"/>
      <c r="M1" s="135"/>
      <c r="N1" s="135"/>
      <c r="O1" s="135" t="s">
        <v>46</v>
      </c>
      <c r="P1" s="135"/>
      <c r="Q1" s="135"/>
      <c r="R1" s="135"/>
      <c r="S1" s="135"/>
      <c r="T1" s="135"/>
    </row>
    <row r="2" spans="1:20" ht="21">
      <c r="A2" s="2"/>
      <c r="B2" s="2"/>
      <c r="C2" s="135" t="s">
        <v>44</v>
      </c>
      <c r="D2" s="135"/>
      <c r="E2" s="135"/>
      <c r="F2" s="135"/>
      <c r="G2" s="135"/>
      <c r="H2" s="135"/>
      <c r="I2" s="135" t="s">
        <v>44</v>
      </c>
      <c r="J2" s="135"/>
      <c r="K2" s="135"/>
      <c r="L2" s="135"/>
      <c r="M2" s="135"/>
      <c r="N2" s="135"/>
      <c r="O2" s="135" t="s">
        <v>47</v>
      </c>
      <c r="P2" s="135"/>
      <c r="Q2" s="135"/>
      <c r="R2" s="135"/>
      <c r="S2" s="135"/>
      <c r="T2" s="135"/>
    </row>
    <row r="3" spans="1:20" ht="12.75">
      <c r="A3" s="2"/>
      <c r="B3" s="2"/>
      <c r="C3" s="10">
        <v>2007</v>
      </c>
      <c r="D3" s="10">
        <v>2008</v>
      </c>
      <c r="E3" s="10">
        <v>2009</v>
      </c>
      <c r="F3" s="10" t="s">
        <v>33</v>
      </c>
      <c r="G3" s="10">
        <v>2010</v>
      </c>
      <c r="H3" s="10">
        <v>2011</v>
      </c>
      <c r="I3" s="10">
        <v>2007</v>
      </c>
      <c r="J3" s="10">
        <v>2008</v>
      </c>
      <c r="K3" s="10">
        <v>2009</v>
      </c>
      <c r="L3" s="10" t="s">
        <v>33</v>
      </c>
      <c r="M3" s="10">
        <v>2010</v>
      </c>
      <c r="N3" s="10">
        <v>2011</v>
      </c>
      <c r="O3" s="10">
        <v>2007</v>
      </c>
      <c r="P3" s="10">
        <v>2008</v>
      </c>
      <c r="Q3" s="10">
        <v>2009</v>
      </c>
      <c r="R3" s="10" t="s">
        <v>33</v>
      </c>
      <c r="S3" s="10">
        <v>2010</v>
      </c>
      <c r="T3" s="10">
        <v>2011</v>
      </c>
    </row>
    <row r="4" spans="1:20" ht="12.75">
      <c r="A4" s="15" t="s">
        <v>10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6" t="s">
        <v>1</v>
      </c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6" t="s">
        <v>2</v>
      </c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6" t="s">
        <v>3</v>
      </c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6" t="s">
        <v>4</v>
      </c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6" t="s">
        <v>5</v>
      </c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6" t="s">
        <v>6</v>
      </c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6" t="s">
        <v>7</v>
      </c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7" t="s">
        <v>16</v>
      </c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6" t="s">
        <v>17</v>
      </c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6" t="s">
        <v>18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16" t="s">
        <v>19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6" t="s">
        <v>20</v>
      </c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16" t="s">
        <v>21</v>
      </c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6" t="s">
        <v>22</v>
      </c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17" t="s">
        <v>25</v>
      </c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6" t="s">
        <v>26</v>
      </c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16" t="s">
        <v>27</v>
      </c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16" t="s">
        <v>28</v>
      </c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16" t="s">
        <v>29</v>
      </c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6" t="s">
        <v>30</v>
      </c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/>
  <mergeCells count="6">
    <mergeCell ref="O1:T1"/>
    <mergeCell ref="O2:T2"/>
    <mergeCell ref="C1:H1"/>
    <mergeCell ref="C2:H2"/>
    <mergeCell ref="I1:N1"/>
    <mergeCell ref="I2:N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Vesthimmerland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ebs</dc:creator>
  <cp:keywords/>
  <dc:description/>
  <cp:lastModifiedBy>thwj</cp:lastModifiedBy>
  <dcterms:created xsi:type="dcterms:W3CDTF">2010-10-27T09:50:15Z</dcterms:created>
  <dcterms:modified xsi:type="dcterms:W3CDTF">2011-09-12T10:50:56Z</dcterms:modified>
  <cp:category/>
  <cp:version/>
  <cp:contentType/>
  <cp:contentStatus/>
</cp:coreProperties>
</file>