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harts/chart4.xml" ContentType="application/vnd.openxmlformats-officedocument.drawingml.char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omments6.xml" ContentType="application/vnd.openxmlformats-officedocument.spreadsheetml.comment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18.xml" ContentType="application/vnd.openxmlformats-officedocument.spreadsheetml.comment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omments9.xml" ContentType="application/vnd.openxmlformats-officedocument.spreadsheetml.comment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omments7.xml" ContentType="application/vnd.openxmlformats-officedocument.spreadsheetml.comments+xml"/>
  <Override PartName="/xl/charts/chart3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omments5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19.xml" ContentType="application/vnd.openxmlformats-officedocument.spreadsheetml.comment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045" windowWidth="19260" windowHeight="6090" firstSheet="14" activeTab="20"/>
  </bookViews>
  <sheets>
    <sheet name="INTRO" sheetId="24" r:id="rId1"/>
    <sheet name="Borgmesterens afd" sheetId="11" r:id="rId2"/>
    <sheet name="Børn og Unge" sheetId="10" r:id="rId3"/>
    <sheet name="Kultur og Borgerservice" sheetId="9" r:id="rId4"/>
    <sheet name="Social og Beskæftigelse" sheetId="8" r:id="rId5"/>
    <sheet name="Sundhed og Omsorg" sheetId="7" r:id="rId6"/>
    <sheet name="Teknik og Miljø" sheetId="25" r:id="rId7"/>
    <sheet name="Århus Havn" sheetId="6" r:id="rId8"/>
    <sheet name="Midttrafik" sheetId="5" r:id="rId9"/>
    <sheet name="AffaldVarme Århus" sheetId="13" r:id="rId10"/>
    <sheet name="Ejendomsforvaltningen" sheetId="14" r:id="rId11"/>
    <sheet name="Fællesadministrationen" sheetId="15" r:id="rId12"/>
    <sheet name="Natur og Miljø" sheetId="1" r:id="rId13"/>
    <sheet name="Planlægning og Byggeri" sheetId="17" r:id="rId14"/>
    <sheet name="Trafik og Veje" sheetId="19" r:id="rId15"/>
    <sheet name="Natur og Vejservice" sheetId="22" r:id="rId16"/>
    <sheet name="Århus Brandvæsen" sheetId="20" r:id="rId17"/>
    <sheet name="Århus Vand AS" sheetId="18" r:id="rId18"/>
    <sheet name="Samlet" sheetId="12" r:id="rId19"/>
    <sheet name="Grafer" sheetId="21" r:id="rId20"/>
    <sheet name="Egne grafer" sheetId="26" r:id="rId21"/>
    <sheet name="Konversionsfaktorer" sheetId="2" r:id="rId22"/>
    <sheet name="kontakter" sheetId="23" r:id="rId23"/>
  </sheets>
  <definedNames>
    <definedName name="AktuelleForvaltninger">#REF!</definedName>
    <definedName name="Biomass_C_content">Konversionsfaktorer!$C$119</definedName>
    <definedName name="C_CO2_conversion">Konversionsfaktorer!$C$58</definedName>
    <definedName name="C_N_ratio">Konversionsfaktorer!$C$76</definedName>
    <definedName name="C_N_ratio_EF_N2O_org_soils">Konversionsfaktorer!$C$76</definedName>
    <definedName name="CH4_wet">Konversionsfaktorer!$C$84</definedName>
    <definedName name="CO2_eq._effect_of_wetlands">Konversionsfaktorer!$C$85</definedName>
    <definedName name="CO2_eq_SP">Konversionsfaktorer!$C$61</definedName>
    <definedName name="CO2_eq_wet">Konversionsfaktorer!$C$85</definedName>
    <definedName name="CO2_forest">Konversionsfaktorer!$C$127</definedName>
    <definedName name="CO2_forest_buildup">Konversionsfaktorer!$C$121</definedName>
    <definedName name="CO2_forest_rem">Konversionsfaktorer!$C$126</definedName>
    <definedName name="CO2_lime_leached">Konversionsfaktorer!$C$43</definedName>
    <definedName name="CO2_lime_sett">Konversionsfaktorer!$C$45</definedName>
    <definedName name="CO2_sett_min_fer">Konversionsfaktorer!$C$37</definedName>
    <definedName name="CO2_SP">Konversionsfaktorer!$C$59</definedName>
    <definedName name="CO2_wet">Konversionsfaktorer!$C$82</definedName>
    <definedName name="dddd">Konversionsfaktorer!$R$854</definedName>
    <definedName name="dddddddd">Konversionsfaktorer!$R$1026</definedName>
    <definedName name="dddddddddd">Konversionsfaktorer!$R$14</definedName>
    <definedName name="ddddddddddddddd">Konversionsfaktorer!$R$1032</definedName>
    <definedName name="ddddddddddddddddddddd">Konversionsfaktorer!$R$1033</definedName>
    <definedName name="EF_leaching_inorganic_N">Konversionsfaktorer!$C$31</definedName>
    <definedName name="EF_limestone">Konversionsfaktorer!$C$42</definedName>
    <definedName name="EF_N2O_leaching">Konversionsfaktorer!$C$33</definedName>
    <definedName name="EF_N2O_mineral_fertilser">Konversionsfaktorer!$C$34</definedName>
    <definedName name="EF_N2O_org_soils">Konversionsfaktorer!$C$77</definedName>
    <definedName name="EF_N2O_other_nitrogen">Konversionsfaktorer!$C$50</definedName>
    <definedName name="ffff">Konversionsfaktorer!$R$855</definedName>
    <definedName name="Forest_aff_broad_cc">Konversionsfaktorer!$C$102</definedName>
    <definedName name="Forest_aff_broad_ha">Konversionsfaktorer!#REF!</definedName>
    <definedName name="Forest_aff_broad_PK">Konversionsfaktorer!$C$97</definedName>
    <definedName name="Forest_aff_conif_cc">Konversionsfaktorer!$C$103</definedName>
    <definedName name="Forest_aff_conif_ha">Konversionsfaktorer!$C$94</definedName>
    <definedName name="Forest_aff_conif_PK">Konversionsfaktorer!$C$98</definedName>
    <definedName name="Forest_aff_mixed_cc">Konversionsfaktorer!$C$105</definedName>
    <definedName name="Forest_aff_mixed_ha">Konversionsfaktorer!$C$95</definedName>
    <definedName name="Forest_aff_mixed_PK">Konversionsfaktorer!$C$100</definedName>
    <definedName name="Forest_aff_open_cc">Konversionsfaktorer!$C$106</definedName>
    <definedName name="Forest_aff_open_ha">Konversionsfaktorer!$C$96</definedName>
    <definedName name="Forest_aff_open_PK">Konversionsfaktorer!$C$101</definedName>
    <definedName name="Forest_BEF_broad">Konversionsfaktorer!$C$107</definedName>
    <definedName name="Forest_BEF_conif">Konversionsfaktorer!$C$108</definedName>
    <definedName name="Forest_BEF_mixed">Konversionsfaktorer!$C$109</definedName>
    <definedName name="Forest_BEF_open">Konversionsfaktorer!$C$110</definedName>
    <definedName name="Forest_def_rem_broad_m3">Konversionsfaktorer!$C$122</definedName>
    <definedName name="Forest_def_rem_conif_m3">Konversionsfaktorer!$C$123</definedName>
    <definedName name="Forest_def_rem_mixed_m3">Konversionsfaktorer!$C$124</definedName>
    <definedName name="Forest_def_rem_open_m3">Konversionsfaktorer!$C$125</definedName>
    <definedName name="Forest_density_broad">Konversionsfaktorer!$C$115</definedName>
    <definedName name="Forest_density_conif">Konversionsfaktorer!$C$116</definedName>
    <definedName name="Forest_density_mixed">Konversionsfaktorer!$C$117</definedName>
    <definedName name="Forest_density_open">Konversionsfaktorer!$C$118</definedName>
    <definedName name="ForvaltningerM1">#REF!</definedName>
    <definedName name="ForvaltningerM2">#REF!</definedName>
    <definedName name="ForvaltningerM3">#REF!</definedName>
    <definedName name="ForvaltningerM4">#REF!</definedName>
    <definedName name="ForvaltningerM5">#REF!</definedName>
    <definedName name="gggggggggggggg">Konversionsfaktorer!$R$15</definedName>
    <definedName name="GWP_CH4">Konversionsfaktorer!$C$81</definedName>
    <definedName name="GWP_N2O">Konversionsfaktorer!$C$57</definedName>
    <definedName name="Lime_cons_settlement">Konversionsfaktorer!$C$41</definedName>
    <definedName name="Lime_purity_sett">Konversionsfaktorer!$C$44</definedName>
    <definedName name="magistrater">#REF!</definedName>
    <definedName name="N_cons_settlement">Konversionsfaktorer!$C$30</definedName>
    <definedName name="N2O_Atomic_weight">Konversionsfaktorer!$C$51</definedName>
    <definedName name="N2O_sett_fert">Konversionsfaktorer!$C$36</definedName>
    <definedName name="N2O_SP">Konversionsfaktorer!$C$60</definedName>
    <definedName name="N2O_wet">Konversionsfaktorer!$C$83</definedName>
    <definedName name="new">Konversionsfaktorer!$R$1030</definedName>
    <definedName name="ok">Konversionsfaktorer!$R$1029</definedName>
    <definedName name="Shoot_root_forest_broad">Konversionsfaktorer!$C$111</definedName>
    <definedName name="Shoot_root_forest_conif">Konversionsfaktorer!$C$112</definedName>
    <definedName name="Shoot_root_forest_mixed">Konversionsfaktorer!$C$113</definedName>
    <definedName name="Shoot_root_forest_open">Konversionsfaktorer!$C$114</definedName>
    <definedName name="SP_glasshouses_m3">Konversionsfaktorer!$R$1092</definedName>
    <definedName name="SP_municipality_m3">Konversionsfaktorer!$C$49</definedName>
    <definedName name="SP_privategardens_m3">Konversionsfaktorer!$R$1093</definedName>
    <definedName name="Spagnum_ash_content">Konversionsfaktorer!$C$54</definedName>
    <definedName name="Spagnum_C_fraction">Konversionsfaktorer!$C$55</definedName>
    <definedName name="Spagnum_density">Konversionsfaktorer!$C$52</definedName>
    <definedName name="Spagnum_dry_matter">Konversionsfaktorer!$C$53</definedName>
    <definedName name="Spagnum_N_fraction">Konversionsfaktorer!$C$56</definedName>
    <definedName name="ssss">Konversionsfaktorer!$R$1030</definedName>
    <definedName name="_xlnm.Print_Area" localSheetId="18">Samlet!$A$1:$F$46</definedName>
    <definedName name="Wet_agr_ha">Konversionsfaktorer!$C$67</definedName>
    <definedName name="Wet_agr_lake">Konversionsfaktorer!$C$68</definedName>
    <definedName name="Wet_agr_om_buildup">Konversionsfaktorer!$C$73</definedName>
    <definedName name="Wet_CH4_lake_ha">Konversionsfaktorer!$C$71</definedName>
    <definedName name="Wet_CH4_soil_ha">Konversionsfaktorer!$C$70</definedName>
    <definedName name="Wet_lake_after_ha">Konversionsfaktorer!$C$66</definedName>
    <definedName name="Wet_lake_after_ha1">Konversionsfaktorer!$R$1028</definedName>
    <definedName name="Wet_lake_before_ha">Konversionsfaktorer!$C$65</definedName>
    <definedName name="Wet_nitrogen_rem_total">Konversionsfaktorer!$C$74</definedName>
    <definedName name="Wet_org_soil_EF">Konversionsfaktorer!$C$72</definedName>
    <definedName name="Wet_org_soil_ha">Konversionsfaktorer!$C$69</definedName>
    <definedName name="year">Konversionsfaktorer!$R$22</definedName>
    <definedName name="aaa">Konversionsfaktorer!$R$1025</definedName>
    <definedName name="år">#REF!</definedName>
    <definedName name="aaaaaaaaaa">Konversionsfaktorer!$R$1128</definedName>
    <definedName name="aaaaaaaaaaa">Konversionsfaktorer!$R$1027</definedName>
    <definedName name="aaaaaaaaaaaaa">Konversionsfaktorer!$R$1021</definedName>
    <definedName name="aaaaaaaaaaaaaa">Konversionsfaktorer!$R$1024</definedName>
    <definedName name="aaaaaaaaaaaaaaaa">Konversionsfaktorer!$R$1173</definedName>
    <definedName name="aaaaaaaaaaaaaaaac">Konversionsfaktorer!$R$894</definedName>
  </definedNames>
  <calcPr calcId="125725"/>
</workbook>
</file>

<file path=xl/calcChain.xml><?xml version="1.0" encoding="utf-8"?>
<calcChain xmlns="http://schemas.openxmlformats.org/spreadsheetml/2006/main">
  <c r="E6" i="13"/>
  <c r="E11"/>
  <c r="E10"/>
  <c r="E8"/>
  <c r="F10" i="1" l="1"/>
  <c r="F10" i="14"/>
  <c r="E8" i="18"/>
  <c r="E20" i="11" l="1"/>
  <c r="E6" i="18" l="1"/>
  <c r="E18" i="11"/>
  <c r="C24" i="2"/>
  <c r="C23"/>
  <c r="E20" i="9" l="1"/>
  <c r="E21" i="20"/>
  <c r="E20"/>
  <c r="E20" i="22"/>
  <c r="E21"/>
  <c r="E21" i="1"/>
  <c r="E20"/>
  <c r="E21" i="7"/>
  <c r="E20"/>
  <c r="E21" i="8"/>
  <c r="E20"/>
  <c r="E21" i="10"/>
  <c r="E20"/>
  <c r="E22" i="25" l="1"/>
  <c r="F24" i="11" l="1"/>
  <c r="F23"/>
  <c r="E45" i="12" l="1"/>
  <c r="E28" i="18"/>
  <c r="E28" i="20"/>
  <c r="E28" i="22"/>
  <c r="E28" i="19"/>
  <c r="E28" i="17"/>
  <c r="E43" i="1"/>
  <c r="E28" i="15"/>
  <c r="E28" i="14"/>
  <c r="E30" i="13"/>
  <c r="E28" i="5"/>
  <c r="E28" i="6"/>
  <c r="E28" i="7"/>
  <c r="E28" i="8"/>
  <c r="E28" i="9"/>
  <c r="E28" i="10"/>
  <c r="E28" i="11"/>
  <c r="E8" i="20" l="1"/>
  <c r="E8" i="22"/>
  <c r="E8" i="5"/>
  <c r="E8" i="14"/>
  <c r="E8" i="1"/>
  <c r="E8" i="7"/>
  <c r="E8" i="8"/>
  <c r="E8" i="9"/>
  <c r="E8" i="10" l="1"/>
  <c r="E11" i="6" l="1"/>
  <c r="E20"/>
  <c r="E21" i="19" l="1"/>
  <c r="E20"/>
  <c r="E20" i="5" l="1"/>
  <c r="E21"/>
  <c r="E21" i="9"/>
  <c r="E7" i="19"/>
  <c r="D127" i="26"/>
  <c r="C138" s="1"/>
  <c r="D126"/>
  <c r="C137" s="1"/>
  <c r="D125"/>
  <c r="C136" s="1"/>
  <c r="D124"/>
  <c r="C135" s="1"/>
  <c r="D123"/>
  <c r="C134" l="1"/>
  <c r="E90"/>
  <c r="E34" i="12" l="1"/>
  <c r="E35"/>
  <c r="E36"/>
  <c r="E37"/>
  <c r="E2" i="11" l="1"/>
  <c r="C90" i="21"/>
  <c r="C80" i="26" s="1"/>
  <c r="C89" i="21"/>
  <c r="C89" i="26" s="1"/>
  <c r="C88" i="21"/>
  <c r="C88" i="26" s="1"/>
  <c r="C87" i="21"/>
  <c r="C87" i="26" s="1"/>
  <c r="C86" i="21"/>
  <c r="C86" i="26" s="1"/>
  <c r="C85" i="21"/>
  <c r="C85" i="26" s="1"/>
  <c r="C84" i="21"/>
  <c r="C84" i="26" s="1"/>
  <c r="C83" i="21"/>
  <c r="C83" i="26" s="1"/>
  <c r="C82" i="21"/>
  <c r="C82" i="26" s="1"/>
  <c r="C81" i="21"/>
  <c r="C81" i="26" s="1"/>
  <c r="C80" i="21"/>
  <c r="C79"/>
  <c r="C78" i="26" s="1"/>
  <c r="C78" i="21"/>
  <c r="C77" i="26" s="1"/>
  <c r="C77" i="21"/>
  <c r="C76" i="26" s="1"/>
  <c r="C76" i="21"/>
  <c r="C75" i="26" s="1"/>
  <c r="C75" i="21"/>
  <c r="C74" i="26" s="1"/>
  <c r="C79" l="1"/>
  <c r="C90" s="1"/>
  <c r="C63" i="21"/>
  <c r="C57" i="26" s="1"/>
  <c r="C62" i="21"/>
  <c r="C66" i="26" s="1"/>
  <c r="C61" i="21"/>
  <c r="C65" i="26" s="1"/>
  <c r="C60" i="21"/>
  <c r="C64" i="26" s="1"/>
  <c r="C59" i="21"/>
  <c r="C58"/>
  <c r="C57"/>
  <c r="C56"/>
  <c r="C60" i="26" s="1"/>
  <c r="C55" i="21"/>
  <c r="C59" i="26" s="1"/>
  <c r="C54" i="21"/>
  <c r="C58" i="26" s="1"/>
  <c r="C53" i="21"/>
  <c r="C52"/>
  <c r="C55" i="26" s="1"/>
  <c r="C51" i="21"/>
  <c r="C54" i="26" s="1"/>
  <c r="C50" i="21"/>
  <c r="C53" i="26" s="1"/>
  <c r="C49" i="21"/>
  <c r="C52" i="26" s="1"/>
  <c r="C48" i="21"/>
  <c r="C51" i="26" s="1"/>
  <c r="C56" l="1"/>
  <c r="C67" s="1"/>
  <c r="F24" i="15"/>
  <c r="F23"/>
  <c r="F23" i="12"/>
  <c r="E20"/>
  <c r="E13" i="25"/>
  <c r="D5"/>
  <c r="E5"/>
  <c r="F5" s="1"/>
  <c r="D6"/>
  <c r="E6"/>
  <c r="F6" s="1"/>
  <c r="D7"/>
  <c r="E7"/>
  <c r="F7" s="1"/>
  <c r="D8"/>
  <c r="E8"/>
  <c r="D10"/>
  <c r="E10"/>
  <c r="D11"/>
  <c r="E11"/>
  <c r="F11" s="1"/>
  <c r="D12"/>
  <c r="E12"/>
  <c r="F12" s="1"/>
  <c r="D13"/>
  <c r="D15"/>
  <c r="E15"/>
  <c r="D16"/>
  <c r="E16"/>
  <c r="D17"/>
  <c r="E17"/>
  <c r="D18"/>
  <c r="D19"/>
  <c r="E19"/>
  <c r="D20"/>
  <c r="E20"/>
  <c r="F20" s="1"/>
  <c r="D21"/>
  <c r="E21"/>
  <c r="D22"/>
  <c r="E24"/>
  <c r="C45"/>
  <c r="E45" s="1"/>
  <c r="F25"/>
  <c r="E42"/>
  <c r="E41"/>
  <c r="E40"/>
  <c r="E39"/>
  <c r="E37"/>
  <c r="E36"/>
  <c r="E35"/>
  <c r="E34"/>
  <c r="E33"/>
  <c r="E31"/>
  <c r="E30"/>
  <c r="E29"/>
  <c r="E27"/>
  <c r="F27" s="1"/>
  <c r="E25"/>
  <c r="C90" i="2"/>
  <c r="C100" s="1"/>
  <c r="C91"/>
  <c r="C101" s="1"/>
  <c r="C92"/>
  <c r="C102" s="1"/>
  <c r="C93"/>
  <c r="C103" s="1"/>
  <c r="D37" i="25"/>
  <c r="C69" i="2"/>
  <c r="C83" s="1"/>
  <c r="C67"/>
  <c r="C68"/>
  <c r="C66"/>
  <c r="C65"/>
  <c r="D33" i="25"/>
  <c r="E31" i="12"/>
  <c r="C41" i="2" s="1"/>
  <c r="C45" s="1"/>
  <c r="D31" i="25"/>
  <c r="E30" i="12"/>
  <c r="C49" i="2" s="1"/>
  <c r="E29" i="12"/>
  <c r="C30" i="2" s="1"/>
  <c r="C36" s="1"/>
  <c r="C37" s="1"/>
  <c r="D29" i="25"/>
  <c r="E3"/>
  <c r="E2"/>
  <c r="C11" i="2"/>
  <c r="F27" i="13"/>
  <c r="F27" i="12" s="1"/>
  <c r="E27"/>
  <c r="E2"/>
  <c r="E2" i="18"/>
  <c r="E2" i="20"/>
  <c r="E2" i="22"/>
  <c r="E2" i="19"/>
  <c r="E2" i="17"/>
  <c r="E2" i="1"/>
  <c r="E2" i="15"/>
  <c r="E2" i="14"/>
  <c r="E2" i="13"/>
  <c r="E2" i="5"/>
  <c r="E2" i="6"/>
  <c r="E2" i="7"/>
  <c r="E2" i="8"/>
  <c r="E2" i="9"/>
  <c r="E2" i="10"/>
  <c r="D23" i="6"/>
  <c r="D23" i="5"/>
  <c r="D23" i="13"/>
  <c r="D23" i="22"/>
  <c r="D23" i="20"/>
  <c r="D7"/>
  <c r="F7"/>
  <c r="D7" i="22"/>
  <c r="F7" s="1"/>
  <c r="D7" i="19"/>
  <c r="D7" i="17"/>
  <c r="F7" s="1"/>
  <c r="D7" i="1"/>
  <c r="F7" s="1"/>
  <c r="D7" i="15"/>
  <c r="F7" s="1"/>
  <c r="D7" i="14"/>
  <c r="F7" s="1"/>
  <c r="D7" i="13"/>
  <c r="F7" s="1"/>
  <c r="D7" i="5"/>
  <c r="F7" s="1"/>
  <c r="D19" i="10"/>
  <c r="D7" i="6"/>
  <c r="F7"/>
  <c r="D7" i="7"/>
  <c r="F7" s="1"/>
  <c r="D7" i="8"/>
  <c r="F7"/>
  <c r="D7" i="9"/>
  <c r="F7" s="1"/>
  <c r="D7" i="10"/>
  <c r="F7"/>
  <c r="D7" i="11"/>
  <c r="F7" s="1"/>
  <c r="D7" i="18"/>
  <c r="F7"/>
  <c r="F25" i="12"/>
  <c r="F24"/>
  <c r="E25"/>
  <c r="E24"/>
  <c r="E23"/>
  <c r="E22"/>
  <c r="E21"/>
  <c r="E19"/>
  <c r="E18"/>
  <c r="E17"/>
  <c r="E16"/>
  <c r="E15"/>
  <c r="E13"/>
  <c r="C93" i="21" s="1"/>
  <c r="E12" i="12"/>
  <c r="C92" i="21" s="1"/>
  <c r="E11" i="12"/>
  <c r="C91" i="21" s="1"/>
  <c r="E10" i="12"/>
  <c r="E8"/>
  <c r="E7"/>
  <c r="E6"/>
  <c r="D19" i="18"/>
  <c r="D19" i="20"/>
  <c r="D19" i="22"/>
  <c r="D19" i="19"/>
  <c r="D19" i="17"/>
  <c r="D19" i="1"/>
  <c r="D19" i="15"/>
  <c r="D19" i="14"/>
  <c r="D19" i="13"/>
  <c r="D19" i="5"/>
  <c r="D19" i="6"/>
  <c r="D19" i="9"/>
  <c r="D19" i="11"/>
  <c r="F7" i="19"/>
  <c r="C58" i="2"/>
  <c r="C79"/>
  <c r="C78"/>
  <c r="C75"/>
  <c r="E33" i="12"/>
  <c r="E5"/>
  <c r="D22" i="22"/>
  <c r="D21"/>
  <c r="F21" s="1"/>
  <c r="D20"/>
  <c r="F20" s="1"/>
  <c r="D18"/>
  <c r="D17"/>
  <c r="D16"/>
  <c r="D15"/>
  <c r="F15"/>
  <c r="D13"/>
  <c r="F13" s="1"/>
  <c r="D12"/>
  <c r="F12"/>
  <c r="D11"/>
  <c r="F11" s="1"/>
  <c r="D10"/>
  <c r="D89" i="21"/>
  <c r="D8" i="22"/>
  <c r="F8" s="1"/>
  <c r="D6"/>
  <c r="F6"/>
  <c r="D5"/>
  <c r="F5" s="1"/>
  <c r="E3"/>
  <c r="D6" i="11"/>
  <c r="F6" s="1"/>
  <c r="D8"/>
  <c r="F8" s="1"/>
  <c r="D6" i="10"/>
  <c r="F6" s="1"/>
  <c r="D8"/>
  <c r="F8" s="1"/>
  <c r="D6" i="9"/>
  <c r="F6" s="1"/>
  <c r="D8"/>
  <c r="F8" s="1"/>
  <c r="D6" i="8"/>
  <c r="F6" s="1"/>
  <c r="D8"/>
  <c r="F8" s="1"/>
  <c r="D6" i="7"/>
  <c r="F6" s="1"/>
  <c r="D8"/>
  <c r="F8" s="1"/>
  <c r="E42" i="12"/>
  <c r="E41"/>
  <c r="E40"/>
  <c r="E39"/>
  <c r="D37"/>
  <c r="D33"/>
  <c r="D31"/>
  <c r="D29"/>
  <c r="D22" i="18"/>
  <c r="D21"/>
  <c r="F21" s="1"/>
  <c r="D20"/>
  <c r="F20" s="1"/>
  <c r="D18"/>
  <c r="D17"/>
  <c r="D16"/>
  <c r="D15"/>
  <c r="F15"/>
  <c r="D13"/>
  <c r="F13"/>
  <c r="D12"/>
  <c r="F12"/>
  <c r="D11"/>
  <c r="F11"/>
  <c r="D10"/>
  <c r="D90" i="21"/>
  <c r="D8" i="18"/>
  <c r="F8" s="1"/>
  <c r="D6"/>
  <c r="F6" s="1"/>
  <c r="D5"/>
  <c r="F5" s="1"/>
  <c r="E3"/>
  <c r="D22" i="20"/>
  <c r="D21"/>
  <c r="F21" s="1"/>
  <c r="D20"/>
  <c r="F20" s="1"/>
  <c r="D18"/>
  <c r="D17"/>
  <c r="D16"/>
  <c r="D15"/>
  <c r="F15" s="1"/>
  <c r="D13"/>
  <c r="F13" s="1"/>
  <c r="D12"/>
  <c r="F12" s="1"/>
  <c r="D11"/>
  <c r="F11" s="1"/>
  <c r="D10"/>
  <c r="D8"/>
  <c r="F8" s="1"/>
  <c r="D6"/>
  <c r="F6" s="1"/>
  <c r="D5"/>
  <c r="F5" s="1"/>
  <c r="E3"/>
  <c r="D22" i="19"/>
  <c r="D21"/>
  <c r="F21" s="1"/>
  <c r="D20"/>
  <c r="F20" s="1"/>
  <c r="D18"/>
  <c r="D17"/>
  <c r="D16"/>
  <c r="D15"/>
  <c r="F15"/>
  <c r="D13"/>
  <c r="F13"/>
  <c r="D12"/>
  <c r="F12"/>
  <c r="D11"/>
  <c r="F11"/>
  <c r="D10"/>
  <c r="F10"/>
  <c r="D87" i="21" s="1"/>
  <c r="D8" i="19"/>
  <c r="F8" s="1"/>
  <c r="D6"/>
  <c r="F6" s="1"/>
  <c r="D5"/>
  <c r="F5" s="1"/>
  <c r="E3"/>
  <c r="D22" i="17"/>
  <c r="D21"/>
  <c r="F21" s="1"/>
  <c r="D20"/>
  <c r="F20" s="1"/>
  <c r="D18"/>
  <c r="D17"/>
  <c r="D16"/>
  <c r="D15"/>
  <c r="F15" s="1"/>
  <c r="D13"/>
  <c r="F13" s="1"/>
  <c r="D12"/>
  <c r="F12" s="1"/>
  <c r="D11"/>
  <c r="F11" s="1"/>
  <c r="D10"/>
  <c r="F10" s="1"/>
  <c r="D86" i="21" s="1"/>
  <c r="D8" i="17"/>
  <c r="F8" s="1"/>
  <c r="D6"/>
  <c r="F6" s="1"/>
  <c r="D5"/>
  <c r="F5" s="1"/>
  <c r="E3"/>
  <c r="D22" i="15"/>
  <c r="D21"/>
  <c r="F21" s="1"/>
  <c r="D20"/>
  <c r="F20" s="1"/>
  <c r="D18"/>
  <c r="D17"/>
  <c r="D16"/>
  <c r="D15"/>
  <c r="F15"/>
  <c r="D13"/>
  <c r="F13"/>
  <c r="D12"/>
  <c r="F12"/>
  <c r="D11"/>
  <c r="F11"/>
  <c r="D10"/>
  <c r="F10"/>
  <c r="D84" i="21" s="1"/>
  <c r="D8" i="15"/>
  <c r="F8" s="1"/>
  <c r="D6"/>
  <c r="F6" s="1"/>
  <c r="D5"/>
  <c r="F5" s="1"/>
  <c r="E3"/>
  <c r="D22" i="14"/>
  <c r="D21"/>
  <c r="F21" s="1"/>
  <c r="D20"/>
  <c r="F20" s="1"/>
  <c r="D18"/>
  <c r="D17"/>
  <c r="D16"/>
  <c r="D15"/>
  <c r="F15" s="1"/>
  <c r="D13"/>
  <c r="F13" s="1"/>
  <c r="D12"/>
  <c r="F12" s="1"/>
  <c r="D11"/>
  <c r="F11" s="1"/>
  <c r="D10"/>
  <c r="D83" i="21" s="1"/>
  <c r="D8" i="14"/>
  <c r="F8" s="1"/>
  <c r="D6"/>
  <c r="F6" s="1"/>
  <c r="D5"/>
  <c r="F5" s="1"/>
  <c r="E3"/>
  <c r="D22" i="13"/>
  <c r="D21"/>
  <c r="F21" s="1"/>
  <c r="D20"/>
  <c r="F20" s="1"/>
  <c r="D18"/>
  <c r="D17"/>
  <c r="D16"/>
  <c r="D15"/>
  <c r="F15"/>
  <c r="D13"/>
  <c r="F13"/>
  <c r="D12"/>
  <c r="F12"/>
  <c r="D11"/>
  <c r="F11"/>
  <c r="D10"/>
  <c r="F10"/>
  <c r="D82" i="21" s="1"/>
  <c r="D8" i="13"/>
  <c r="F8" s="1"/>
  <c r="D6"/>
  <c r="F6" s="1"/>
  <c r="D5"/>
  <c r="F5" s="1"/>
  <c r="E3"/>
  <c r="E3" i="9"/>
  <c r="E3" i="12"/>
  <c r="E3" i="1"/>
  <c r="E3" i="5"/>
  <c r="E3" i="6"/>
  <c r="E3" i="7"/>
  <c r="E3" i="8"/>
  <c r="E3" i="10"/>
  <c r="E3" i="11"/>
  <c r="D22" i="12"/>
  <c r="D21"/>
  <c r="D20"/>
  <c r="D19"/>
  <c r="D18"/>
  <c r="D17"/>
  <c r="D16"/>
  <c r="D15"/>
  <c r="D13"/>
  <c r="D12"/>
  <c r="D11"/>
  <c r="D10"/>
  <c r="D8"/>
  <c r="D6"/>
  <c r="D5"/>
  <c r="D22" i="11"/>
  <c r="D21"/>
  <c r="F21" s="1"/>
  <c r="D20"/>
  <c r="F20" s="1"/>
  <c r="D18"/>
  <c r="D17"/>
  <c r="D16"/>
  <c r="F16" s="1"/>
  <c r="D15"/>
  <c r="F15"/>
  <c r="D13"/>
  <c r="F13"/>
  <c r="D12"/>
  <c r="F12"/>
  <c r="D11"/>
  <c r="F11"/>
  <c r="D10"/>
  <c r="F10"/>
  <c r="D75" i="21" s="1"/>
  <c r="D5" i="11"/>
  <c r="F5"/>
  <c r="D22" i="10"/>
  <c r="D21"/>
  <c r="F21" s="1"/>
  <c r="D20"/>
  <c r="F20" s="1"/>
  <c r="D18"/>
  <c r="D17"/>
  <c r="D16"/>
  <c r="D15"/>
  <c r="F15"/>
  <c r="D13"/>
  <c r="F13"/>
  <c r="D12"/>
  <c r="F12"/>
  <c r="D11"/>
  <c r="F11"/>
  <c r="D10"/>
  <c r="D76" i="21"/>
  <c r="D5" i="10"/>
  <c r="F5" s="1"/>
  <c r="D22" i="9"/>
  <c r="F22" s="1"/>
  <c r="D21"/>
  <c r="F21" s="1"/>
  <c r="D20"/>
  <c r="F20" s="1"/>
  <c r="D18"/>
  <c r="D17"/>
  <c r="D16"/>
  <c r="D15"/>
  <c r="F15" s="1"/>
  <c r="D13"/>
  <c r="F13" s="1"/>
  <c r="D12"/>
  <c r="F12" s="1"/>
  <c r="D11"/>
  <c r="F11" s="1"/>
  <c r="D10"/>
  <c r="D77" i="21"/>
  <c r="D5" i="9"/>
  <c r="F5" s="1"/>
  <c r="D22" i="8"/>
  <c r="D21"/>
  <c r="F21" s="1"/>
  <c r="D20"/>
  <c r="F20" s="1"/>
  <c r="D19"/>
  <c r="D18"/>
  <c r="D17"/>
  <c r="F17" s="1"/>
  <c r="D16"/>
  <c r="D15"/>
  <c r="F15" s="1"/>
  <c r="D13"/>
  <c r="F13" s="1"/>
  <c r="D12"/>
  <c r="F12" s="1"/>
  <c r="D11"/>
  <c r="F11" s="1"/>
  <c r="D10"/>
  <c r="D78" i="21"/>
  <c r="D5" i="8"/>
  <c r="F5" s="1"/>
  <c r="D22" i="7"/>
  <c r="D21"/>
  <c r="F21" s="1"/>
  <c r="D20"/>
  <c r="D19"/>
  <c r="D18"/>
  <c r="D17"/>
  <c r="D16"/>
  <c r="F16" s="1"/>
  <c r="D15"/>
  <c r="F15"/>
  <c r="D13"/>
  <c r="F13"/>
  <c r="D12"/>
  <c r="F12"/>
  <c r="D11"/>
  <c r="F11"/>
  <c r="D10"/>
  <c r="D79" i="21"/>
  <c r="D5" i="7"/>
  <c r="F5" s="1"/>
  <c r="D22" i="6"/>
  <c r="F22" s="1"/>
  <c r="D21"/>
  <c r="F21"/>
  <c r="D20"/>
  <c r="F20"/>
  <c r="D18"/>
  <c r="D17"/>
  <c r="F17" s="1"/>
  <c r="D16"/>
  <c r="D15"/>
  <c r="F15" s="1"/>
  <c r="D13"/>
  <c r="F13" s="1"/>
  <c r="D12"/>
  <c r="F12" s="1"/>
  <c r="D11"/>
  <c r="F11" s="1"/>
  <c r="D10"/>
  <c r="F10" s="1"/>
  <c r="D8"/>
  <c r="F8"/>
  <c r="D6"/>
  <c r="F6"/>
  <c r="D5"/>
  <c r="F5"/>
  <c r="D22" i="5"/>
  <c r="D21"/>
  <c r="F21" s="1"/>
  <c r="D20"/>
  <c r="F20" s="1"/>
  <c r="D18"/>
  <c r="D17"/>
  <c r="D16"/>
  <c r="D15"/>
  <c r="F15" s="1"/>
  <c r="D13"/>
  <c r="F13" s="1"/>
  <c r="D12"/>
  <c r="F12" s="1"/>
  <c r="D11"/>
  <c r="F11" s="1"/>
  <c r="D10"/>
  <c r="D81" i="21" s="1"/>
  <c r="D8" i="5"/>
  <c r="F8" s="1"/>
  <c r="D6"/>
  <c r="F6" s="1"/>
  <c r="D5"/>
  <c r="F5" s="1"/>
  <c r="D11" i="1"/>
  <c r="F11" s="1"/>
  <c r="C19" i="2"/>
  <c r="F22" i="20" s="1"/>
  <c r="C14" i="2"/>
  <c r="C18" s="1"/>
  <c r="C13"/>
  <c r="C21" s="1"/>
  <c r="D35" i="1"/>
  <c r="D31"/>
  <c r="D29"/>
  <c r="D27"/>
  <c r="D22"/>
  <c r="F22" s="1"/>
  <c r="D15"/>
  <c r="F15" s="1"/>
  <c r="D21"/>
  <c r="F21" s="1"/>
  <c r="D20"/>
  <c r="F20" s="1"/>
  <c r="D18"/>
  <c r="D17"/>
  <c r="D16"/>
  <c r="D13"/>
  <c r="F13" s="1"/>
  <c r="D12"/>
  <c r="F12" s="1"/>
  <c r="D10"/>
  <c r="D85" i="21" s="1"/>
  <c r="D8" i="1"/>
  <c r="F8"/>
  <c r="D6"/>
  <c r="F6"/>
  <c r="D5"/>
  <c r="F5"/>
  <c r="F22" i="7"/>
  <c r="F22" i="15"/>
  <c r="F22" i="19"/>
  <c r="F22" i="8"/>
  <c r="F22" i="13"/>
  <c r="F22" i="18"/>
  <c r="F16" i="9"/>
  <c r="F16" i="15"/>
  <c r="F16" i="10"/>
  <c r="F16" i="5"/>
  <c r="F17" i="17"/>
  <c r="F16" i="19"/>
  <c r="F16" i="18"/>
  <c r="F16" i="22"/>
  <c r="C64" i="21"/>
  <c r="F16" i="1"/>
  <c r="H22" i="12" l="1"/>
  <c r="D61" i="21"/>
  <c r="E65" i="26" s="1"/>
  <c r="F16" i="25"/>
  <c r="F17" i="11"/>
  <c r="F16" i="8"/>
  <c r="F17" i="20"/>
  <c r="F17" i="5"/>
  <c r="F15" i="25"/>
  <c r="F17" i="10"/>
  <c r="F17" i="1"/>
  <c r="F17" i="13"/>
  <c r="F22" i="5"/>
  <c r="D53" i="21"/>
  <c r="F13" i="25"/>
  <c r="C127" i="26"/>
  <c r="C126"/>
  <c r="C123"/>
  <c r="F8" i="25"/>
  <c r="C128" i="26" s="1"/>
  <c r="D128"/>
  <c r="C124"/>
  <c r="C84" i="2"/>
  <c r="C125" i="26"/>
  <c r="F5" i="12"/>
  <c r="H20" s="1"/>
  <c r="D62" i="21"/>
  <c r="E66" i="26" s="1"/>
  <c r="D59" i="21"/>
  <c r="E63" i="26" s="1"/>
  <c r="C82" i="2"/>
  <c r="C104"/>
  <c r="F37" i="1" s="1"/>
  <c r="F39" i="12" s="1"/>
  <c r="D55" i="21"/>
  <c r="E59" i="26" s="1"/>
  <c r="D58" i="21"/>
  <c r="E62" i="26" s="1"/>
  <c r="F20" i="7"/>
  <c r="F20" i="12" s="1"/>
  <c r="F21" i="25"/>
  <c r="C94" i="21"/>
  <c r="D63"/>
  <c r="E57" i="26" s="1"/>
  <c r="F18" i="25"/>
  <c r="F18" i="5"/>
  <c r="F18" i="17"/>
  <c r="F18" i="20"/>
  <c r="F18" i="22"/>
  <c r="F18" i="1"/>
  <c r="F18" i="18"/>
  <c r="F18" i="8"/>
  <c r="F18" i="15"/>
  <c r="F18" i="14"/>
  <c r="F18" i="6"/>
  <c r="F18" i="13"/>
  <c r="F18" i="19"/>
  <c r="D51" i="21"/>
  <c r="E54" i="26" s="1"/>
  <c r="D57" i="21"/>
  <c r="E61" i="26" s="1"/>
  <c r="D60" i="21"/>
  <c r="E64" i="26" s="1"/>
  <c r="F7" i="12"/>
  <c r="D56" i="21"/>
  <c r="E60" i="26" s="1"/>
  <c r="C60" i="2"/>
  <c r="C59"/>
  <c r="F31" i="25"/>
  <c r="F29" i="1"/>
  <c r="F31" i="12" s="1"/>
  <c r="F39" i="25"/>
  <c r="D80" i="21"/>
  <c r="F10" i="12"/>
  <c r="F15"/>
  <c r="D50" i="21"/>
  <c r="E53" i="26" s="1"/>
  <c r="D49" i="21"/>
  <c r="E52" i="26" s="1"/>
  <c r="D88" i="21"/>
  <c r="F27" i="1"/>
  <c r="F29" i="12" s="1"/>
  <c r="F29" i="25"/>
  <c r="F18" i="7"/>
  <c r="F18" i="9"/>
  <c r="F18" i="10"/>
  <c r="F8" i="12"/>
  <c r="C85" i="2"/>
  <c r="D54" i="21"/>
  <c r="E58" i="26" s="1"/>
  <c r="D52" i="21"/>
  <c r="E55" i="26" s="1"/>
  <c r="D48" i="21"/>
  <c r="E51" i="26" s="1"/>
  <c r="F11" i="12"/>
  <c r="F12"/>
  <c r="D92" i="21" s="1"/>
  <c r="F13" i="12"/>
  <c r="D93" i="21" s="1"/>
  <c r="F18" i="11"/>
  <c r="F21" i="12"/>
  <c r="F6"/>
  <c r="F17" i="25"/>
  <c r="F22"/>
  <c r="F17" i="18"/>
  <c r="F16" i="20"/>
  <c r="F17" i="19"/>
  <c r="F16" i="17"/>
  <c r="F17" i="22"/>
  <c r="F16" i="13"/>
  <c r="F17" i="9"/>
  <c r="F17" i="7"/>
  <c r="F16" i="6"/>
  <c r="C20" i="2"/>
  <c r="F16" i="14"/>
  <c r="F17"/>
  <c r="F17" i="15"/>
  <c r="F22" i="22"/>
  <c r="F22" i="14"/>
  <c r="F22" i="10"/>
  <c r="F22" i="17"/>
  <c r="F22" i="11"/>
  <c r="F28" l="1"/>
  <c r="C129" i="26"/>
  <c r="C139"/>
  <c r="D129"/>
  <c r="C140" s="1"/>
  <c r="E56"/>
  <c r="E67" s="1"/>
  <c r="C34"/>
  <c r="C61" i="2"/>
  <c r="D91" i="21"/>
  <c r="C68" s="1"/>
  <c r="C35" i="26"/>
  <c r="F19" i="1"/>
  <c r="C111" i="21" s="1"/>
  <c r="C111" i="26" s="1"/>
  <c r="F19" i="6"/>
  <c r="C106" i="21" s="1"/>
  <c r="F19" i="15"/>
  <c r="C110" i="21" s="1"/>
  <c r="C110" i="26" s="1"/>
  <c r="F19" i="14"/>
  <c r="F28" s="1"/>
  <c r="F19" i="19"/>
  <c r="C113" i="21" s="1"/>
  <c r="C113" i="26" s="1"/>
  <c r="F19" i="10"/>
  <c r="C102" i="21" s="1"/>
  <c r="C101" i="26" s="1"/>
  <c r="F19" i="8"/>
  <c r="F28" s="1"/>
  <c r="F19" i="5"/>
  <c r="F28" s="1"/>
  <c r="F19" i="9"/>
  <c r="C103" i="21" s="1"/>
  <c r="C102" i="26" s="1"/>
  <c r="F19" i="17"/>
  <c r="F28" s="1"/>
  <c r="F19" i="25"/>
  <c r="F19" i="7"/>
  <c r="C105" i="21" s="1"/>
  <c r="C104" i="26" s="1"/>
  <c r="F19" i="20"/>
  <c r="F28" s="1"/>
  <c r="F19" i="22"/>
  <c r="F28" s="1"/>
  <c r="F19" i="13"/>
  <c r="F30" s="1"/>
  <c r="F19" i="18"/>
  <c r="C116" i="21" s="1"/>
  <c r="C106" i="26" s="1"/>
  <c r="F18" i="12"/>
  <c r="C101" i="21"/>
  <c r="C100" i="26" s="1"/>
  <c r="D64" i="21"/>
  <c r="E60" s="1"/>
  <c r="C109"/>
  <c r="C109" i="26" s="1"/>
  <c r="F28" i="6"/>
  <c r="F16" i="12"/>
  <c r="F33" i="25"/>
  <c r="F31" i="1"/>
  <c r="F33" i="12" s="1"/>
  <c r="F30" i="25"/>
  <c r="F28" i="1"/>
  <c r="F30" i="12" s="1"/>
  <c r="C33" i="26" s="1"/>
  <c r="F22" i="12"/>
  <c r="F17"/>
  <c r="F28" i="15"/>
  <c r="H42" i="12" l="1"/>
  <c r="C32" i="26" s="1"/>
  <c r="C112" i="21"/>
  <c r="C112" i="26" s="1"/>
  <c r="F28" i="9"/>
  <c r="C4" i="21" s="1"/>
  <c r="C8" i="26" s="1"/>
  <c r="D94" i="21"/>
  <c r="E84" s="1"/>
  <c r="C108"/>
  <c r="C108" i="26" s="1"/>
  <c r="C114" i="21"/>
  <c r="C114" i="26" s="1"/>
  <c r="C107" i="21"/>
  <c r="C107" i="26" s="1"/>
  <c r="F28" i="7"/>
  <c r="F28" i="10"/>
  <c r="G28" s="1"/>
  <c r="F45" i="25"/>
  <c r="G45" s="1"/>
  <c r="C115" i="21"/>
  <c r="C115" i="26" s="1"/>
  <c r="F28" i="19"/>
  <c r="C32" i="21" s="1"/>
  <c r="E56"/>
  <c r="C104"/>
  <c r="C103" i="26" s="1"/>
  <c r="E49" i="21"/>
  <c r="E48"/>
  <c r="E62"/>
  <c r="E50"/>
  <c r="E51"/>
  <c r="E52"/>
  <c r="E57"/>
  <c r="E54"/>
  <c r="G28" i="20"/>
  <c r="C29" i="21"/>
  <c r="C16"/>
  <c r="C21" i="26" s="1"/>
  <c r="C15" i="21"/>
  <c r="C20" i="26" s="1"/>
  <c r="C28" i="21"/>
  <c r="G28" i="22"/>
  <c r="C25" i="21"/>
  <c r="G28" i="14"/>
  <c r="C10" i="21"/>
  <c r="C15" i="26" s="1"/>
  <c r="G28" i="15"/>
  <c r="C11" i="21"/>
  <c r="C16" i="26" s="1"/>
  <c r="C26" i="21"/>
  <c r="G28" i="9"/>
  <c r="C7" i="21"/>
  <c r="G28" i="6"/>
  <c r="C2" i="21"/>
  <c r="C6" i="26" s="1"/>
  <c r="G28" i="11"/>
  <c r="G28" i="8"/>
  <c r="C5" i="21"/>
  <c r="C9" i="26" s="1"/>
  <c r="F28" i="18"/>
  <c r="F43" i="1"/>
  <c r="C14" i="21"/>
  <c r="C19" i="26" s="1"/>
  <c r="C31" i="21"/>
  <c r="C9"/>
  <c r="C14" i="26" s="1"/>
  <c r="G30" i="13"/>
  <c r="C13" i="21"/>
  <c r="C18" i="26" s="1"/>
  <c r="C30" i="21"/>
  <c r="G28" i="17"/>
  <c r="G28" i="7"/>
  <c r="C6" i="21"/>
  <c r="C10" i="26" s="1"/>
  <c r="E59" i="21"/>
  <c r="E58"/>
  <c r="E55"/>
  <c r="E63"/>
  <c r="E61"/>
  <c r="E53"/>
  <c r="G28" i="5"/>
  <c r="C8" i="21"/>
  <c r="C13" i="26" s="1"/>
  <c r="F19" i="12"/>
  <c r="F45" s="1"/>
  <c r="H25" l="1"/>
  <c r="H43" s="1"/>
  <c r="E88" i="21"/>
  <c r="E90"/>
  <c r="E91"/>
  <c r="E75"/>
  <c r="E78"/>
  <c r="E77"/>
  <c r="E79"/>
  <c r="E80"/>
  <c r="E86"/>
  <c r="E82"/>
  <c r="E93"/>
  <c r="E92"/>
  <c r="E76"/>
  <c r="E83"/>
  <c r="E81"/>
  <c r="E89"/>
  <c r="E85"/>
  <c r="E87"/>
  <c r="C105" i="26"/>
  <c r="C116" s="1"/>
  <c r="D100" s="1"/>
  <c r="C36"/>
  <c r="C37" s="1"/>
  <c r="C3" i="21"/>
  <c r="C7" i="26" s="1"/>
  <c r="C117" i="21"/>
  <c r="D116" s="1"/>
  <c r="G28" i="19"/>
  <c r="E64" i="21"/>
  <c r="C27"/>
  <c r="C33" s="1"/>
  <c r="D25" s="1"/>
  <c r="C12"/>
  <c r="C17" i="26" s="1"/>
  <c r="C11" s="1"/>
  <c r="G43" i="1"/>
  <c r="G28" i="18"/>
  <c r="C17" i="21"/>
  <c r="C12" i="26" s="1"/>
  <c r="E94" i="21" l="1"/>
  <c r="D103" i="26"/>
  <c r="D107"/>
  <c r="D104"/>
  <c r="D101"/>
  <c r="D105"/>
  <c r="D106"/>
  <c r="D102"/>
  <c r="C23"/>
  <c r="E10" s="1"/>
  <c r="D106" i="21"/>
  <c r="D103"/>
  <c r="D111"/>
  <c r="D112"/>
  <c r="C18"/>
  <c r="D14" s="1"/>
  <c r="D108"/>
  <c r="D105"/>
  <c r="D101"/>
  <c r="D114"/>
  <c r="D113"/>
  <c r="D102"/>
  <c r="D104"/>
  <c r="D110"/>
  <c r="D107"/>
  <c r="D115"/>
  <c r="D109"/>
  <c r="D21"/>
  <c r="D26"/>
  <c r="D29"/>
  <c r="D32"/>
  <c r="D31"/>
  <c r="D28"/>
  <c r="D30"/>
  <c r="D27"/>
  <c r="E8" i="26" l="1"/>
  <c r="D16" i="21"/>
  <c r="D12"/>
  <c r="D11"/>
  <c r="E11" i="26"/>
  <c r="E13"/>
  <c r="E9"/>
  <c r="D3" i="21"/>
  <c r="D10"/>
  <c r="E7" i="26"/>
  <c r="E6"/>
  <c r="D17" i="21"/>
  <c r="E12" i="26"/>
  <c r="D5" i="21"/>
  <c r="D2"/>
  <c r="D8"/>
  <c r="D6"/>
  <c r="D7"/>
  <c r="D9"/>
  <c r="D13"/>
  <c r="D4"/>
  <c r="D15"/>
  <c r="D117"/>
  <c r="D33"/>
  <c r="E23" i="26" l="1"/>
  <c r="D18" i="21"/>
</calcChain>
</file>

<file path=xl/comments1.xml><?xml version="1.0" encoding="utf-8"?>
<comments xmlns="http://schemas.openxmlformats.org/spreadsheetml/2006/main">
  <authors>
    <author>Thomas D. Pedersen</author>
  </authors>
  <commentList>
    <comment ref="E20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Tillagt 6.022 liter fra Q8 bulk som ikke kunne fordeles.</t>
        </r>
      </text>
    </comment>
    <comment ref="C28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2008 tal regnet m. rev. el-faktor til 577 kg/MWH</t>
        </r>
      </text>
    </comment>
  </commentList>
</comments>
</file>

<file path=xl/comments10.xml><?xml version="1.0" encoding="utf-8"?>
<comments xmlns="http://schemas.openxmlformats.org/spreadsheetml/2006/main">
  <authors>
    <author>Thomas D. Pedersen</author>
  </authors>
  <commentList>
    <comment ref="E5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Energiforbrug (el + FV) for EJE bygninger i kategorien/mappen "Ikke i brug" A2100 skal IKKE medregnes.</t>
        </r>
      </text>
    </comment>
    <comment ref="E22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Taget samlet for MTM under MTM-fanen.</t>
        </r>
      </text>
    </comment>
    <comment ref="C28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2008 tal regnet m. rev. el-faktor til 577 kg/MWH</t>
        </r>
      </text>
    </comment>
  </commentList>
</comments>
</file>

<file path=xl/comments11.xml><?xml version="1.0" encoding="utf-8"?>
<comments xmlns="http://schemas.openxmlformats.org/spreadsheetml/2006/main">
  <authors>
    <author>Thomas D. Pedersen</author>
  </authors>
  <commentList>
    <comment ref="E22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Taget samlet for MTM under MTM-fanen.</t>
        </r>
      </text>
    </comment>
    <comment ref="C28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2008 tal regnet m. rev. el-faktor til 577 kg/MWH</t>
        </r>
      </text>
    </comment>
  </commentList>
</comments>
</file>

<file path=xl/comments12.xml><?xml version="1.0" encoding="utf-8"?>
<comments xmlns="http://schemas.openxmlformats.org/spreadsheetml/2006/main">
  <authors>
    <author>Thomas D. Pedersen</author>
  </authors>
  <commentList>
    <comment ref="E22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Taget samlet for MTM under MTM-fanen.</t>
        </r>
      </text>
    </comment>
    <comment ref="E27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Antaget forbrug ud fra 2008-2010 tal</t>
        </r>
      </text>
    </comment>
    <comment ref="C43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2008 tal regnet m. rev. el-faktor til 577 kg/MWH</t>
        </r>
      </text>
    </comment>
  </commentList>
</comments>
</file>

<file path=xl/comments13.xml><?xml version="1.0" encoding="utf-8"?>
<comments xmlns="http://schemas.openxmlformats.org/spreadsheetml/2006/main">
  <authors>
    <author>Thomas D. Pedersen</author>
  </authors>
  <commentList>
    <comment ref="E22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Taget samlet for MTM under MTM-fanen.</t>
        </r>
      </text>
    </comment>
    <comment ref="C28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2008 tal regnet m. rev. el-faktor til 577 kg/MWH</t>
        </r>
      </text>
    </comment>
  </commentList>
</comments>
</file>

<file path=xl/comments14.xml><?xml version="1.0" encoding="utf-8"?>
<comments xmlns="http://schemas.openxmlformats.org/spreadsheetml/2006/main">
  <authors>
    <author>Thomas D. Pedersen</author>
  </authors>
  <commentList>
    <comment ref="E22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Taget samlet for MTM under MTM-fanen.</t>
        </r>
      </text>
    </comment>
    <comment ref="C28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2008 tal regnet m. rev. el-faktor til 577 kg/MWH</t>
        </r>
      </text>
    </comment>
  </commentList>
</comments>
</file>

<file path=xl/comments15.xml><?xml version="1.0" encoding="utf-8"?>
<comments xmlns="http://schemas.openxmlformats.org/spreadsheetml/2006/main">
  <authors>
    <author>Thomas D. Pedersen</author>
  </authors>
  <commentList>
    <comment ref="E20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Antaget 11.298 liter fra MTM hører under NVS</t>
        </r>
      </text>
    </comment>
    <comment ref="E22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Taget samlet for MTM under MTM-fanen.</t>
        </r>
      </text>
    </comment>
    <comment ref="C28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2008 tal regnet m. rev. el-faktor til 577 kg/MWH</t>
        </r>
      </text>
    </comment>
  </commentList>
</comments>
</file>

<file path=xl/comments16.xml><?xml version="1.0" encoding="utf-8"?>
<comments xmlns="http://schemas.openxmlformats.org/spreadsheetml/2006/main">
  <authors>
    <author>Thomas D. Pedersen</author>
  </authors>
  <commentList>
    <comment ref="E22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Taget samlet for MTM under MTM-fanen.</t>
        </r>
      </text>
    </comment>
    <comment ref="C28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2008 tal regnet m. rev. el-faktor til 577 kg/MWH</t>
        </r>
      </text>
    </comment>
  </commentList>
</comments>
</file>

<file path=xl/comments17.xml><?xml version="1.0" encoding="utf-8"?>
<comments xmlns="http://schemas.openxmlformats.org/spreadsheetml/2006/main">
  <authors>
    <author>aztnbtp</author>
    <author>Thomas D. Pedersen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aztnbtp:</t>
        </r>
        <r>
          <rPr>
            <sz val="9"/>
            <color indexed="81"/>
            <rFont val="Tahoma"/>
            <family val="2"/>
          </rPr>
          <t xml:space="preserve">
Fra A2100 - 46 % af forbrug v. Bautavej - de 54 % er lagt til AVA</t>
        </r>
      </text>
    </comment>
    <comment ref="F10" authorId="1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Fra A2100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aztnbtp:</t>
        </r>
        <r>
          <rPr>
            <sz val="9"/>
            <color indexed="81"/>
            <rFont val="Tahoma"/>
            <family val="2"/>
          </rPr>
          <t xml:space="preserve">
Eskelundvej 17</t>
        </r>
      </text>
    </comment>
    <comment ref="C28" authorId="1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2008 tal regnet m. rev. el-faktor til 577 kg/MWH</t>
        </r>
      </text>
    </comment>
  </commentList>
</comments>
</file>

<file path=xl/comments18.xml><?xml version="1.0" encoding="utf-8"?>
<comments xmlns="http://schemas.openxmlformats.org/spreadsheetml/2006/main">
  <authors>
    <author>Thomas D. Pedersen</author>
  </authors>
  <commentList>
    <comment ref="C128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AVA el+varme fratrukket + ToV el til vejbelysning + fyringoluie 51.678 L fra AVA forbrænding</t>
        </r>
      </text>
    </comment>
  </commentList>
</comments>
</file>

<file path=xl/comments19.xml><?xml version="1.0" encoding="utf-8"?>
<comments xmlns="http://schemas.openxmlformats.org/spreadsheetml/2006/main">
  <authors>
    <author>Thomas D. Pedersen</author>
  </authors>
  <commentList>
    <comment ref="A9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Peter henviste til Pia. 
Til 2007 kortlægning var det Ole Texel der leverede data.</t>
        </r>
      </text>
    </comment>
  </commentList>
</comments>
</file>

<file path=xl/comments2.xml><?xml version="1.0" encoding="utf-8"?>
<comments xmlns="http://schemas.openxmlformats.org/spreadsheetml/2006/main">
  <authors>
    <author>Thomas D. Pedersen</author>
  </authors>
  <commentList>
    <comment ref="F10" authorId="0">
      <text>
        <r>
          <rPr>
            <b/>
            <sz val="8"/>
            <color indexed="81"/>
            <rFont val="Tahoma"/>
            <family val="2"/>
          </rPr>
          <t xml:space="preserve">Thomas D. Pedersen: </t>
        </r>
        <r>
          <rPr>
            <sz val="8"/>
            <color indexed="81"/>
            <rFont val="Tahoma"/>
            <family val="2"/>
          </rPr>
          <t xml:space="preserve">CO2-tal fra A2100 der indeholder CO2 fra både FV og olie </t>
        </r>
      </text>
    </comment>
    <comment ref="C28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2008 tal regnet m. rev. el-faktor til 577 kg/MWH</t>
        </r>
      </text>
    </comment>
  </commentList>
</comments>
</file>

<file path=xl/comments3.xml><?xml version="1.0" encoding="utf-8"?>
<comments xmlns="http://schemas.openxmlformats.org/spreadsheetml/2006/main">
  <authors>
    <author>Thomas D. Pedersen</author>
  </authors>
  <commentList>
    <comment ref="F10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CO2-tal fra A2100 der indeholder CO2 fra både FV og olie </t>
        </r>
      </text>
    </comment>
    <comment ref="C28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2008 tal regnet m. rev. el-faktor til 577 kg/MWH</t>
        </r>
      </text>
    </comment>
  </commentList>
</comments>
</file>

<file path=xl/comments4.xml><?xml version="1.0" encoding="utf-8"?>
<comments xmlns="http://schemas.openxmlformats.org/spreadsheetml/2006/main">
  <authors>
    <author>Thomas D. Pedersen</author>
  </authors>
  <commentList>
    <comment ref="F10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CO2-tal fra A2100 der indeholder CO2 fra både FV og olie </t>
        </r>
      </text>
    </comment>
    <comment ref="C28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Thomas D. Pedersen</author>
  </authors>
  <commentList>
    <comment ref="F10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CO2-tal fra A2100 der indeholder CO2 fra både FV og olie </t>
        </r>
      </text>
    </comment>
    <comment ref="C28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2008 tal regnet m. rev. el-faktor til 577 kg/MWH</t>
        </r>
      </text>
    </comment>
  </commentList>
</comments>
</file>

<file path=xl/comments6.xml><?xml version="1.0" encoding="utf-8"?>
<comments xmlns="http://schemas.openxmlformats.org/spreadsheetml/2006/main">
  <authors>
    <author>aztnbtp</author>
    <author>Thomas D. Pedersen</author>
  </authors>
  <commentList>
    <comment ref="E10" authorId="0">
      <text>
        <r>
          <rPr>
            <b/>
            <sz val="9"/>
            <color indexed="81"/>
            <rFont val="Tahoma"/>
            <family val="2"/>
          </rPr>
          <t>aztnbtp:</t>
        </r>
        <r>
          <rPr>
            <sz val="9"/>
            <color indexed="81"/>
            <rFont val="Tahoma"/>
            <family val="2"/>
          </rPr>
          <t xml:space="preserve">
Disse tal er IKKE anvendt til beregning af CO2.
CO2 er hente direkte fra A2100 og skrevet ind da det indeholder både FV og olie</t>
        </r>
      </text>
    </comment>
    <comment ref="F10" authorId="1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CO2-tal fra A2100 der indeholder CO2 fra både FV og olie </t>
        </r>
      </text>
    </comment>
    <comment ref="E18" authorId="1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Samlet tal for MTM</t>
        </r>
      </text>
    </comment>
  </commentList>
</comments>
</file>

<file path=xl/comments7.xml><?xml version="1.0" encoding="utf-8"?>
<comments xmlns="http://schemas.openxmlformats.org/spreadsheetml/2006/main">
  <authors>
    <author>Thomas D. Pedersen</author>
  </authors>
  <commentList>
    <comment ref="C28" authorId="0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2008 tal regnet m. rev. el-faktor til 577 kg/MWH</t>
        </r>
      </text>
    </comment>
  </commentList>
</comments>
</file>

<file path=xl/comments8.xml><?xml version="1.0" encoding="utf-8"?>
<comments xmlns="http://schemas.openxmlformats.org/spreadsheetml/2006/main">
  <authors>
    <author>oprcabosm</author>
    <author>Thomas D. Pedersen</author>
  </authors>
  <commentList>
    <comment ref="E8" authorId="0">
      <text>
        <r>
          <rPr>
            <b/>
            <sz val="8"/>
            <color indexed="81"/>
            <rFont val="Tahoma"/>
            <family val="2"/>
          </rPr>
          <t>THDP</t>
        </r>
        <r>
          <rPr>
            <sz val="8"/>
            <color indexed="81"/>
            <rFont val="Tahoma"/>
            <family val="2"/>
          </rPr>
          <t xml:space="preserve">
Fra Agenda 2100 - MTM</t>
        </r>
      </text>
    </comment>
    <comment ref="E22" authorId="1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Taget samlet for MTM under MTM-fanen.</t>
        </r>
      </text>
    </comment>
    <comment ref="C28" authorId="1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2008 tal regnet m. rev. el-faktor til 577 kg/MWH</t>
        </r>
      </text>
    </comment>
  </commentList>
</comments>
</file>

<file path=xl/comments9.xml><?xml version="1.0" encoding="utf-8"?>
<comments xmlns="http://schemas.openxmlformats.org/spreadsheetml/2006/main">
  <authors>
    <author>aztnbtp</author>
    <author>Thomas D. Pedersen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aztnbtp:</t>
        </r>
        <r>
          <rPr>
            <sz val="9"/>
            <color indexed="81"/>
            <rFont val="Tahoma"/>
            <family val="2"/>
          </rPr>
          <t xml:space="preserve">
Anvendt tal fra AVA MEA-kortlægning, herunder:
- AVA Adm.bygning Bautavej (El under Øvrige)
- Affald beholderværksted (el under Øvrige)
- affald, Genrbugsstationer (el under Øvrige)
- Affald, Nedlagte lossepladser (el under Drift)
- affald, Øvrige anlæg (el under Drift)
- Affaldscenter (el under drift)
- Varme disb. (el under drift = TN10 - tidligere tal fra Grethe på TN er har dårlige estimater)
- Varme Transmission (el under drift)
For Varme Transmission dog ikke fyringsgasolie for:
- hele VPÅ
- TN25
- TN10
- Private i ÅK
- Private uden for ÅK</t>
        </r>
      </text>
    </comment>
    <comment ref="E22" authorId="1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Taget samlet for MTM under MTM-fanen.</t>
        </r>
      </text>
    </comment>
    <comment ref="C30" authorId="1">
      <text>
        <r>
          <rPr>
            <b/>
            <sz val="8"/>
            <color indexed="81"/>
            <rFont val="Tahoma"/>
            <family val="2"/>
          </rPr>
          <t>Thomas D. Pedersen: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<sst xmlns="http://schemas.openxmlformats.org/spreadsheetml/2006/main" count="1777" uniqueCount="416">
  <si>
    <t>Erik Cederstöm, Århus Kommune, Hyrevognsnævnet</t>
  </si>
  <si>
    <t>http://www.dmu.dk/NR/rdonlyres/61672940-FB63-418B-BE21-3F46F0876A6B/0/Emf_internet_marts2009_transport.htm</t>
  </si>
  <si>
    <t>CO2 Beregneren</t>
  </si>
  <si>
    <t>Oplyst fra COWI regnskab</t>
  </si>
  <si>
    <t>Carl Flemming Rasmussen, Århus Kommune. Teknik og Miljø, Fællesadministrationen</t>
  </si>
  <si>
    <t>Frands V. Petersen, Århus kommune - fælllesindkøb. Teknik og Miljø, Fællesadministrationen</t>
  </si>
  <si>
    <t>Grethe Hjortbak, AffaldVarme Århus, Teknik og Miljø, Århus Kommune</t>
  </si>
  <si>
    <t>Sundhed og Omsorg. Grønt regnskab 2008.</t>
  </si>
  <si>
    <t>Keld Hansen, AffaldVarme Århus</t>
  </si>
  <si>
    <t>Data fra Jørn Lang, Århus Sporveje</t>
  </si>
  <si>
    <t>konversionsfaktor fra DMU</t>
  </si>
  <si>
    <t>Data og CO2 beregning fra VIA Travel</t>
  </si>
  <si>
    <t>Fra</t>
  </si>
  <si>
    <t xml:space="preserve">Til: </t>
  </si>
  <si>
    <t>ton CO2</t>
  </si>
  <si>
    <t>2, 4</t>
  </si>
  <si>
    <t>Bykørsel - 1 liter benzin svarer til ca. 9,1 kWh (1), 1 kWh = 3,6MJ, 0,07276 t CO2/GJ (4)</t>
  </si>
  <si>
    <t>Bykørsel</t>
  </si>
  <si>
    <t>1 l fyringsolie = 10 kWh (2) = 36 MJ,  266,4 kg CO2/MWh (2)</t>
  </si>
  <si>
    <t>kWh (El)</t>
  </si>
  <si>
    <t>Taxa kr.</t>
  </si>
  <si>
    <t>Taxa km</t>
  </si>
  <si>
    <t>Medarb.kørsel, kr</t>
  </si>
  <si>
    <t>Medarb.kørsel, km</t>
  </si>
  <si>
    <t>År</t>
  </si>
  <si>
    <t>Elektricitet</t>
  </si>
  <si>
    <t>Belysning</t>
  </si>
  <si>
    <t>Elbiler</t>
  </si>
  <si>
    <t>Drift (pumper, ventilatorer m.v.)</t>
  </si>
  <si>
    <t>Fjernvarme</t>
  </si>
  <si>
    <t>Diesel</t>
  </si>
  <si>
    <t>Transport &amp; køretøjer</t>
  </si>
  <si>
    <t>Benzin</t>
  </si>
  <si>
    <t>Opvarmning</t>
  </si>
  <si>
    <t>Øvrigt (ikke varme)</t>
  </si>
  <si>
    <t>Fyringsolie</t>
  </si>
  <si>
    <t>CO2 udledning (beregning i tons)</t>
  </si>
  <si>
    <t>liter</t>
  </si>
  <si>
    <t>Medarbejderkørsel</t>
  </si>
  <si>
    <t>Taxa</t>
  </si>
  <si>
    <t>Fly</t>
  </si>
  <si>
    <t>Tog</t>
  </si>
  <si>
    <t>Færger</t>
  </si>
  <si>
    <t>Materialeforbrug</t>
  </si>
  <si>
    <t>Ton</t>
  </si>
  <si>
    <t>ha</t>
  </si>
  <si>
    <t>Hjemmehjælpen</t>
  </si>
  <si>
    <t>km</t>
  </si>
  <si>
    <t>kWh (el)</t>
  </si>
  <si>
    <t>kWh (fv)</t>
  </si>
  <si>
    <t>Udledning i år</t>
  </si>
  <si>
    <t>Målopfyldelse</t>
  </si>
  <si>
    <t>Procent</t>
  </si>
  <si>
    <r>
      <t>(tons 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</si>
  <si>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Naturgas</t>
  </si>
  <si>
    <t>m3</t>
  </si>
  <si>
    <t>kr</t>
  </si>
  <si>
    <t>Anden kørsel</t>
  </si>
  <si>
    <t>Benzin - liter</t>
  </si>
  <si>
    <t>Diesel - liter</t>
  </si>
  <si>
    <t>Marinediesel -liter</t>
  </si>
  <si>
    <t>Fyringsolie - liter</t>
  </si>
  <si>
    <t>Taxa - km</t>
  </si>
  <si>
    <t>Medarbejderkørsel - km</t>
  </si>
  <si>
    <t>Anden kørsel - km</t>
  </si>
  <si>
    <t>Elbiler - km</t>
  </si>
  <si>
    <t>Lastbil/bus - km</t>
  </si>
  <si>
    <t>Naturgas - m3</t>
  </si>
  <si>
    <t>Elbiler - kWh (el)</t>
  </si>
  <si>
    <t>Medarbejderkørsel - kr</t>
  </si>
  <si>
    <t>Taxa - kr</t>
  </si>
  <si>
    <t>Anden kørsel - kr</t>
  </si>
  <si>
    <t>Anden kørsel, kr</t>
  </si>
  <si>
    <t>Anden kørsel km</t>
  </si>
  <si>
    <t>Hjemmehjælpen - km</t>
  </si>
  <si>
    <t>CO2 kortlægning for Århus Kommune som virksomhed</t>
  </si>
  <si>
    <t>Enhed</t>
  </si>
  <si>
    <t>Registrering</t>
  </si>
  <si>
    <t>Generelt</t>
  </si>
  <si>
    <t>Organistion</t>
  </si>
  <si>
    <t>N/A</t>
  </si>
  <si>
    <t>Referencer:</t>
  </si>
  <si>
    <t>Kbh. Kommune. CO2 regnskab 2008. COWI</t>
  </si>
  <si>
    <t>http://www.key2green.dk/page521.aspx</t>
  </si>
  <si>
    <t>Forbrug af kunstgødning</t>
  </si>
  <si>
    <t>Arealbidrag vådområder</t>
  </si>
  <si>
    <t>Søareal før etablering af vådomr.</t>
  </si>
  <si>
    <t>Søareal efter etablering af vådomr.</t>
  </si>
  <si>
    <t>Landbrugsareal konverteret til vådområde</t>
  </si>
  <si>
    <t>Landbrugsareal konverteret til sø</t>
  </si>
  <si>
    <t>Landbrugsareal på humusjord, JB 11</t>
  </si>
  <si>
    <t>Arealbidrag skovrejsning</t>
  </si>
  <si>
    <t>Skovrejsning på anden landbrugsjord i rotation</t>
  </si>
  <si>
    <t>Skovrejsning på anden jord med vedvarende græs</t>
  </si>
  <si>
    <t>Skovrejsning på JB 11 jord med vedvarende græs</t>
  </si>
  <si>
    <t>Skovrejsning på JB 11 landbrugsjord i rotation</t>
  </si>
  <si>
    <t>Forbrug af spagnum</t>
  </si>
  <si>
    <t>Forbrug af kalk</t>
  </si>
  <si>
    <t>Vejbelysning</t>
  </si>
  <si>
    <t>Borgmesterens afdeling</t>
  </si>
  <si>
    <t>Børn og Unge</t>
  </si>
  <si>
    <t>Kultur og Borgerservice</t>
  </si>
  <si>
    <t>Social og Beskæftigelse</t>
  </si>
  <si>
    <t>Sundhed og Omsorg</t>
  </si>
  <si>
    <t>Århus Havn</t>
  </si>
  <si>
    <t>AffaldVarme Århus</t>
  </si>
  <si>
    <t>Ejendomsforvaltningen</t>
  </si>
  <si>
    <t>Fællesadministrationen</t>
  </si>
  <si>
    <t>Natur og Miljø</t>
  </si>
  <si>
    <t>Planlægning og Byggeri</t>
  </si>
  <si>
    <t>Trafik og Veje</t>
  </si>
  <si>
    <t>Århus Brandvæsen</t>
  </si>
  <si>
    <t>Århus Vand AS</t>
  </si>
  <si>
    <t>Teknik og Miljø</t>
  </si>
  <si>
    <t>Århus Kommune</t>
  </si>
  <si>
    <t>Ton CO2</t>
  </si>
  <si>
    <t>Total</t>
  </si>
  <si>
    <t>% af total</t>
  </si>
  <si>
    <t>Elforbrug</t>
  </si>
  <si>
    <t>CO2 kortlægning Borgmesterens afdeling</t>
  </si>
  <si>
    <t>CO2 kortlægning Børn og Unge</t>
  </si>
  <si>
    <t>CO2 kortlægning Kultur og Borgerservice</t>
  </si>
  <si>
    <t>CO2 kortlægning Social og Beskæftigelse</t>
  </si>
  <si>
    <t>CO2 kortlægning Sundhed og Omsorg</t>
  </si>
  <si>
    <t>CO2 kortlægning Århus Havn</t>
  </si>
  <si>
    <t>CO2 kortlægning AffaldVarme Århus</t>
  </si>
  <si>
    <t>CO2 kortlægning Ejendomsforvaltningen</t>
  </si>
  <si>
    <t>CO2 kortlægning Fællesadministrationen</t>
  </si>
  <si>
    <t>CO2 kortlægning Natur og Miljø</t>
  </si>
  <si>
    <t>CO2 kortlægning Planlægning og Byggeri</t>
  </si>
  <si>
    <t>CO2 kortlægning Trafik og Veje</t>
  </si>
  <si>
    <t>CO2 kortlægning Natur og Vejservice</t>
  </si>
  <si>
    <t>CO2 kortlægning Århus Vand AS</t>
  </si>
  <si>
    <t>CO2 kortlægning Århus Brandvæsen</t>
  </si>
  <si>
    <t>Kommunen som virksomhed</t>
  </si>
  <si>
    <t xml:space="preserve">Tlf. </t>
  </si>
  <si>
    <t>Mail</t>
  </si>
  <si>
    <t>Per Overgaard</t>
  </si>
  <si>
    <t>Vand, drift</t>
  </si>
  <si>
    <t>Grethe Hjortbak</t>
  </si>
  <si>
    <t>Fjv. transmission fra producent til og med vekslerstation (ekskl. affaldsforbr.)</t>
  </si>
  <si>
    <t>Peter Pallesen</t>
  </si>
  <si>
    <t>Fjernvarme Århus distribution (fra veksler til kunden)</t>
  </si>
  <si>
    <t>pepa@aarhus.dk</t>
  </si>
  <si>
    <t>Bent Knudsen</t>
  </si>
  <si>
    <t>29209319 89401721</t>
  </si>
  <si>
    <t>Hanne Tokkesdal</t>
  </si>
  <si>
    <t>Jørgen Rasmussen</t>
  </si>
  <si>
    <t>89401711 29209343</t>
  </si>
  <si>
    <t>jora@aarhus.dk</t>
  </si>
  <si>
    <t>Hanne Rasmussen</t>
  </si>
  <si>
    <t>29209251 89401681</t>
  </si>
  <si>
    <t>Erik Damgaard</t>
  </si>
  <si>
    <t>29209242 89401677</t>
  </si>
  <si>
    <t>ed@aarhus.dk</t>
  </si>
  <si>
    <t>Viatravel</t>
  </si>
  <si>
    <t>transport (fly+tog - kun rejser booket ved Via travel).</t>
  </si>
  <si>
    <t>Erik Cederstrøm</t>
  </si>
  <si>
    <t>?</t>
  </si>
  <si>
    <t>Kim Gulvad</t>
  </si>
  <si>
    <t>Grønne områder</t>
  </si>
  <si>
    <t>Centralt indkøb</t>
  </si>
  <si>
    <t>89401614?</t>
  </si>
  <si>
    <t>fvp@aarhus.dk</t>
  </si>
  <si>
    <t>Carl Fl. Rasmussen</t>
  </si>
  <si>
    <t>Indkøb, regnskab for Statoil aftale</t>
  </si>
  <si>
    <t>Knud Jensen</t>
  </si>
  <si>
    <t>Henrik kløverpris</t>
  </si>
  <si>
    <t>Jesper Adamsen</t>
  </si>
  <si>
    <t>Hj.plejen - fandt rigtig person i regnskab</t>
  </si>
  <si>
    <t>Inger Knudsen</t>
  </si>
  <si>
    <t>Hjemmeplejen?</t>
  </si>
  <si>
    <t>Bente Damsgaard Sejersen</t>
  </si>
  <si>
    <t>Anni L. Sørensen</t>
  </si>
  <si>
    <t>ansor@aarhus.dk</t>
  </si>
  <si>
    <t>Jørn Lang</t>
  </si>
  <si>
    <t>Midttrafik</t>
  </si>
  <si>
    <t>Natur og Vejservice</t>
  </si>
  <si>
    <t>Varmeforbrug</t>
  </si>
  <si>
    <t>Trafik</t>
  </si>
  <si>
    <t>Vådområder:</t>
  </si>
  <si>
    <t>Søareal før etablering</t>
  </si>
  <si>
    <t>Søareal efter etablering</t>
  </si>
  <si>
    <t>Landbrugsareal på organisk jord, JB11</t>
  </si>
  <si>
    <t>CH4 emission fra vådområder</t>
  </si>
  <si>
    <t>CH4 emission fra søer</t>
  </si>
  <si>
    <t>Emissionsfaktor organiske jorde</t>
  </si>
  <si>
    <t>Opbygning af organisk stof, vådområder</t>
  </si>
  <si>
    <t>Kvælstoffjenelse af vådområderne</t>
  </si>
  <si>
    <t>Wet_lake_before_ha</t>
  </si>
  <si>
    <t>Wet_lake_after_ha</t>
  </si>
  <si>
    <t>Wet_agr_ha</t>
  </si>
  <si>
    <t>Wet_agr_lake</t>
  </si>
  <si>
    <t>Wet_org_soil_ha</t>
  </si>
  <si>
    <t>Wet_CH4_soil_ha</t>
  </si>
  <si>
    <t>Wet_CH4_lake_ha</t>
  </si>
  <si>
    <t xml:space="preserve">Wet_org_soil_EF </t>
  </si>
  <si>
    <t xml:space="preserve">Wet_agr_om_buildup </t>
  </si>
  <si>
    <t>Wet_nitrogen_rem_total</t>
  </si>
  <si>
    <t>C_CO2_conversion</t>
  </si>
  <si>
    <t>EF_N2O_leaching</t>
  </si>
  <si>
    <t>N2O_Atomic_weight</t>
  </si>
  <si>
    <t>C_N_ratio</t>
  </si>
  <si>
    <t>EF_N2O_org_soils</t>
  </si>
  <si>
    <t>CO2_wet</t>
  </si>
  <si>
    <t>N2O_wet</t>
  </si>
  <si>
    <t>GWP_N2O</t>
  </si>
  <si>
    <t>GWP_CH4</t>
  </si>
  <si>
    <t>CH4_wet</t>
  </si>
  <si>
    <t>Skovrejsning:</t>
  </si>
  <si>
    <t>Kg CO2/år</t>
  </si>
  <si>
    <t>andel</t>
  </si>
  <si>
    <t>dimensionsløs</t>
  </si>
  <si>
    <t>CO2 effekt af vådområderne</t>
  </si>
  <si>
    <t>N2O effekt af vådområder</t>
  </si>
  <si>
    <t>CH4 effekt af vådområder</t>
  </si>
  <si>
    <t>CO2-ækv. effekt af vådområder</t>
  </si>
  <si>
    <t>Global Warming Potentila, N2O</t>
  </si>
  <si>
    <t>kg CO2/år</t>
  </si>
  <si>
    <t>kg N2O/år</t>
  </si>
  <si>
    <t>kg CH4/år</t>
  </si>
  <si>
    <t>Kg CO2-ækv./år</t>
  </si>
  <si>
    <t>kg CH4/ha/år</t>
  </si>
  <si>
    <t>kg C/ha</t>
  </si>
  <si>
    <t>C-CO2 omregning (Atomvægte 44/12)</t>
  </si>
  <si>
    <t>Omregningsfaktor, N2O til N2O-N</t>
  </si>
  <si>
    <t>N2O, emissionsfaktor, udvaskning</t>
  </si>
  <si>
    <t>kg N2O/kg N</t>
  </si>
  <si>
    <t>N2O fra organiske jorde</t>
  </si>
  <si>
    <t>kg N2O-N/kg N</t>
  </si>
  <si>
    <t>C:N-ratio i organisk stof</t>
  </si>
  <si>
    <t>dimensionless</t>
  </si>
  <si>
    <t>Global Warming Potentila, CH4</t>
  </si>
  <si>
    <t>kg N/ha</t>
  </si>
  <si>
    <t>CO2_eq_wet</t>
  </si>
  <si>
    <t>Nuværende arealanvendelse</t>
  </si>
  <si>
    <t>Fremtidig arealanvendelse</t>
  </si>
  <si>
    <t>Korn på humusjord (JB11) i omdrift</t>
  </si>
  <si>
    <t>Løvskov med produktion af 8 m3 salgbart ved pr. år pr. ha</t>
  </si>
  <si>
    <t>Korn på anden jord i omdrift</t>
  </si>
  <si>
    <t>Tons CO2 ækv/ha/år</t>
  </si>
  <si>
    <t>Effekt</t>
  </si>
  <si>
    <t>Vedvarende græs på humusjord (JB 11)</t>
  </si>
  <si>
    <t>Vedvarende græs på anden jord</t>
  </si>
  <si>
    <t>Emissions faktorer</t>
  </si>
  <si>
    <t>Tons CO2 ækv/år</t>
  </si>
  <si>
    <t>Areal</t>
  </si>
  <si>
    <t>Input data fra faneblad "Samlet"</t>
  </si>
  <si>
    <t>Emissionsfaktorer</t>
  </si>
  <si>
    <t>Kommentar</t>
  </si>
  <si>
    <t>Diverse konversionsfaktorer:</t>
  </si>
  <si>
    <t>Faktor</t>
  </si>
  <si>
    <t>Reference jf. nedenfor</t>
  </si>
  <si>
    <t>Resultater til faneblad "Natur og Miljø" (kun kg CO2 ækv./år overføres)</t>
  </si>
  <si>
    <t>Sum skovrejsning</t>
  </si>
  <si>
    <t>Resultater til faneblad "Natur og miljø" (kun sum overføres)</t>
  </si>
  <si>
    <t>CO2_sett_min_fer</t>
  </si>
  <si>
    <t>N2O_sett_fert</t>
  </si>
  <si>
    <t>N_cons_settlement</t>
  </si>
  <si>
    <t>EF_leaching_inorganic_N</t>
  </si>
  <si>
    <t>EF_N2O_mineral_fertilser</t>
  </si>
  <si>
    <t>Kg CO2 ækv/år</t>
  </si>
  <si>
    <t>CO2 emission som følge af handelsgødningsforbrug i bebyggede områder</t>
  </si>
  <si>
    <t>Kg/år</t>
  </si>
  <si>
    <t>N2O emission fra bebygget område</t>
  </si>
  <si>
    <t>kg N/kg N</t>
  </si>
  <si>
    <t>Udvaskningsfaktor, handelsgødning</t>
  </si>
  <si>
    <t>N2O, emissionsfaktor, handelsgødning</t>
  </si>
  <si>
    <t>Handelsgødnings forbrug på kommunale arealer:</t>
  </si>
  <si>
    <t>Handelgødningsforbrug i kommunalt regi</t>
  </si>
  <si>
    <t>Input data fra faneblad "Samlet</t>
  </si>
  <si>
    <t>Resultater til faneblad "Natur og Miljø" (kun kg CO2 ækv/år overføres)</t>
  </si>
  <si>
    <t>Kalkforbrug på kommunale arealer:</t>
  </si>
  <si>
    <t>CO2_lime_sett</t>
  </si>
  <si>
    <t>CO2 emission som følge af kalkforbrug i kommunalt regi</t>
  </si>
  <si>
    <t>Lime_purity_sett</t>
  </si>
  <si>
    <t>Andel kalk i indkøbt kalk</t>
  </si>
  <si>
    <t>Lime_cons_settlement</t>
  </si>
  <si>
    <t>kg kalk/år</t>
  </si>
  <si>
    <t>Kalkforbrug i kommunalt regi og private haver, kg</t>
  </si>
  <si>
    <t>CO2_lime_leached</t>
  </si>
  <si>
    <t>Udvaskning af kalk</t>
  </si>
  <si>
    <t>EF_limestone</t>
  </si>
  <si>
    <t>ton CO2/ton limestone</t>
  </si>
  <si>
    <t>Emissionsfaktor, kalk</t>
  </si>
  <si>
    <t>Resultat til faneblad "Natur og miljø"</t>
  </si>
  <si>
    <t>CO2_eq_SP</t>
  </si>
  <si>
    <t>CO2-ækv. fra spagnum</t>
  </si>
  <si>
    <t>N2O_SP</t>
  </si>
  <si>
    <t>N2O effekt af spagnum</t>
  </si>
  <si>
    <t>CO2_SP</t>
  </si>
  <si>
    <t>CO2 effekt af spagnum</t>
  </si>
  <si>
    <t>SP_municipality_m3</t>
  </si>
  <si>
    <t>Spagnumforbrug i kommunalt regi</t>
  </si>
  <si>
    <t>Spagnum_density</t>
  </si>
  <si>
    <t>Spagnum_dry_matter</t>
  </si>
  <si>
    <t>Spagnum_ash_content</t>
  </si>
  <si>
    <t>Spagnum_C_fraction</t>
  </si>
  <si>
    <t>Spagnum_N_fraction</t>
  </si>
  <si>
    <t>Kg/m3</t>
  </si>
  <si>
    <t>ton C/ton organisk tørstof</t>
  </si>
  <si>
    <t>ton N/ton organisk tørstof</t>
  </si>
  <si>
    <t>Spagnum densitet</t>
  </si>
  <si>
    <t>Spagnum tørstofandel</t>
  </si>
  <si>
    <t>Spagnum, askeindhold</t>
  </si>
  <si>
    <t>Spagnum, andel C af org. tørstof</t>
  </si>
  <si>
    <t>Spagnum, andel N af org. tørstof</t>
  </si>
  <si>
    <t>EF_N2O_other_nitrogen</t>
  </si>
  <si>
    <t>N2O, emissionsfaktor, andet kvælstof</t>
  </si>
  <si>
    <t>Spagnumforbrug i kommunalt regi:</t>
  </si>
  <si>
    <r>
      <rPr>
        <b/>
        <sz val="11"/>
        <color indexed="8"/>
        <rFont val="Arial"/>
        <family val="2"/>
      </rPr>
      <t>Vejledning</t>
    </r>
    <r>
      <rPr>
        <sz val="11"/>
        <color theme="1"/>
        <rFont val="Arial"/>
        <family val="2"/>
      </rPr>
      <t>: Tabellerne og graferne i dette faneblad beregnes automatisk ud fra data indtastet i de øvrige faneblade. Der bør derfor ikke indtastes tal i dette faneblad. Graferne kan dog ændres i udseende og størrelse ved at trække i dem, hvis det ønskes.</t>
    </r>
  </si>
  <si>
    <r>
      <rPr>
        <b/>
        <sz val="11"/>
        <color indexed="8"/>
        <rFont val="Arial"/>
        <family val="2"/>
      </rPr>
      <t>Vejledning</t>
    </r>
    <r>
      <rPr>
        <sz val="11"/>
        <color theme="1"/>
        <rFont val="Arial"/>
        <family val="2"/>
      </rPr>
      <t>: Tabellerne i dette faneblad summeres automatisk ud fra data indtastet i de øvrige faneblade. Der bør derfor ikke indtastes tal i dette faneblad, bortset fra årstallet.</t>
    </r>
  </si>
  <si>
    <t>Vejbelysningen</t>
  </si>
  <si>
    <t>CO2 kortlægning Midttrafik</t>
  </si>
  <si>
    <t>(rejsebureauet)</t>
  </si>
  <si>
    <t xml:space="preserve">Vejledning: </t>
  </si>
  <si>
    <t>Det er kun de gule felter der skal udfyldes.</t>
  </si>
  <si>
    <t>CO2 effekten af Fly, Tog og Færger beregnes af rejsebureauet og indsættes af Natur og Miljø. Afdelingen skal derfor ikke indtaste noget her.</t>
  </si>
  <si>
    <t>El- og varmeforbrug i bygninger kan indhentes via Ejendomsforvaltningens årlige opgørelse. Hvis Belysning og drift ikke kan udskilles af tallet for elektricitetsforbrug, anføres det samlede forbrug under "Øvrigt".</t>
  </si>
  <si>
    <t>For Transport &amp; køretøjer registreres enten kørte km, kørselsgodtgørelse/taxa i kr eller brændstofforbrug i liter - undgå dobbeltregistrering hvor der for det samme køretøj registreres både km og kr. "Medarbejderkørsel" er kørsel i personalebiler til møder o. lign. hvor der holdes km regnskab for køretøjet, mens "Anden kørsel" omfatter kørsel i egne biler, hvor der opnås kørselgodtgørelse. For entreprenørmaskiner og lignende hvor der typisk holdes regnskab via brændstofforbruget anføres dette under Diesel og benzin.</t>
  </si>
  <si>
    <t>CO2 bidrag fra Midttrafik skal kun medregnes i det omfang Århus Kommune er medejer af Midttrafik, og kun i forhold til den andel Århus Kommune ejer. Hvis Belysning og drift ikke kan udskilles af tallet for elektricitetsforbrug, anføres det samlede forbrug under "Øvrigt".</t>
  </si>
  <si>
    <t>CO2 bidrag fra Århus Havn skal kun medregnes i det omfang Århus Kommune er medejer af havenen og kun i forhold til den andel Århus Kommune ejer. Hvis Belysning og drift ikke kan udskilles af tallet for elektricitetsforbrug, anføres det samlede forbrug under "Øvrigt".</t>
  </si>
  <si>
    <t>CO2 bidrag fra AffaldVarme Århus skal kun medregnes i det omfang Århus Kommune er medejer af AffaldVarme Århus, og kun i forhold til den andel Århus Kommune ejer. Hvis Belysning og drift ikke kan udskilles af tallet for elektricitetsforbrug, anføres det samlede forbrug under "Øvrigt".</t>
  </si>
  <si>
    <t>For vådområder og skovrejsning henvises til dataindsamlingsvejledningen for CO2 beregneren på MiIjøportalen, der giver en forklaring på de enkelte felter.</t>
  </si>
  <si>
    <t>CO2 bidrag fra Natur og Vejservice skal kun medregnes i det omfang Århus Kommune er medejer af Natur og Vejservice, og kun i forhold til den andel Århus Kommune ejer. Hvis Belysning og drift ikke kan udskilles af tallet for elektricitetsforbrug, anføres det samlede forbrug under "Øvrigt".</t>
  </si>
  <si>
    <t>CO2 bidrag fra Århus Brandvæsen skal kun medregnes i det omfang Århus Kommune er medejer af Århus Brandvæsen, og kun i forhold til den andel Århus Kommune ejer. Hvis Belysning og drift ikke kan udskilles af tallet for elektricitetsforbrug, anføres det samlede forbrug under "Øvrigt".</t>
  </si>
  <si>
    <t>CO2 beregning af fly, tog og færger kan normalt beregnes af virksomhedens rejseselskab</t>
  </si>
  <si>
    <t>Beregnet ud fra oplyste data fra AffaldVarme Århus</t>
  </si>
  <si>
    <t>Beregnet efter Hyrevognsnævnets standardtur/tarif 2008</t>
  </si>
  <si>
    <t>Industrielle processer</t>
  </si>
  <si>
    <t>Kalkforbrug til røggasrensning</t>
  </si>
  <si>
    <t>tons</t>
  </si>
  <si>
    <t>Kalk til røggasrensning, tons</t>
  </si>
  <si>
    <t>Kalk til røggasrensning</t>
  </si>
  <si>
    <r>
      <rPr>
        <b/>
        <sz val="11"/>
        <color indexed="8"/>
        <rFont val="Arial"/>
        <family val="2"/>
      </rPr>
      <t>Vejledning</t>
    </r>
    <r>
      <rPr>
        <sz val="11"/>
        <color theme="1"/>
        <rFont val="Arial"/>
        <family val="2"/>
      </rPr>
      <t>: Der bør udvises stor forsigtighed med at ændre data i dette faneblad, da de anvendes i beregningerne i de øvrige faneblade. Der bør kun indtastes tal i de gule felter, og kun hvis der findes opdaterede tal. Hvis årstallet ændres i dette faneblad rettes det automatisk i alle øvrige faneblade.</t>
    </r>
  </si>
  <si>
    <t>(Rejsebureauet)</t>
  </si>
  <si>
    <t>Egenregistrering af CO2</t>
  </si>
  <si>
    <t>COWI A/S</t>
  </si>
  <si>
    <t>Dette regneark er COWI A/S' ejendom og må ikke</t>
  </si>
  <si>
    <t>videregives eller sælges uden COWIs tilladelse</t>
  </si>
  <si>
    <t>Kontaktperson:</t>
  </si>
  <si>
    <t>Claus Werner Nielsen</t>
  </si>
  <si>
    <t>T: +4587696691</t>
  </si>
  <si>
    <t>E: cwn@cowi.dk</t>
  </si>
  <si>
    <t>CO2 kortlægning Teknik og Miljø</t>
  </si>
  <si>
    <t>Denne folder udfyldes automatisk ved summering af tilsvarende felter i Teknik og Miljøs enkelte forvaltninger og der kan derfor ikke indtastes tal i tabellen.</t>
  </si>
  <si>
    <t>Version 4.0</t>
  </si>
  <si>
    <t>An forbruger (dvs. nettab på 20 % indregnet)</t>
  </si>
  <si>
    <t>pop@aarhusvand.dk</t>
  </si>
  <si>
    <t>Pia Kruse</t>
  </si>
  <si>
    <t>pkr@port.aarhus.dk</t>
  </si>
  <si>
    <t>jl@busselskabet.dk</t>
  </si>
  <si>
    <t>Lars Pedersen</t>
  </si>
  <si>
    <t>lp@busselskabet.dk</t>
  </si>
  <si>
    <t>Kontaktpersoner, Århus Kommune, CO2 kortlægning 2009</t>
  </si>
  <si>
    <t>CO2 bidrag fra Århus Vand skal kun medregnes i det omfang Århus Kommune er medejer af Århus Vand og kun i forhold til den andel Århus Kommune ejer. Hvis Belysning og drift ikke kan udskilles af tallet for elektricitetsforbrug, anføres det samlede forbrug under "Øvrigt".</t>
  </si>
  <si>
    <t>Navn</t>
  </si>
  <si>
    <t>Stilling/funktion</t>
  </si>
  <si>
    <t>Funktionsleder, Drift</t>
  </si>
  <si>
    <t>Firma/afdeling</t>
  </si>
  <si>
    <t>Århus Vand A/S</t>
  </si>
  <si>
    <t>pja@aarhusvand.dk</t>
  </si>
  <si>
    <t xml:space="preserve">Data </t>
  </si>
  <si>
    <t>El-forbrug for spildevandsanlæg og pumpestationer</t>
  </si>
  <si>
    <t>Pia Jacobsen</t>
  </si>
  <si>
    <t>Udarbejdet af Thomas D. Pedersen</t>
  </si>
  <si>
    <t>Spildevand, drift</t>
  </si>
  <si>
    <t>El-forbrug, vandværker, pumpestationer ol.</t>
  </si>
  <si>
    <t>Peter Norsmark</t>
  </si>
  <si>
    <t>Affald Varme Aarhus</t>
  </si>
  <si>
    <t>Affald Varme Aarhus, Forbrændingsanlægget</t>
  </si>
  <si>
    <t>Hyrevognsnævnet</t>
  </si>
  <si>
    <t>Sekretær</t>
  </si>
  <si>
    <t>Oplys. om standardture ol.</t>
  </si>
  <si>
    <t>Henrik Lilballe Hansen</t>
  </si>
  <si>
    <t>ToM Fællesadm. V. Økonomiafdelingen</t>
  </si>
  <si>
    <t>Udtræk SAP for taxi kørsel for ÅK magistrater</t>
  </si>
  <si>
    <t>hlh@aarhus</t>
  </si>
  <si>
    <t>Hanne Kristensen</t>
  </si>
  <si>
    <t>hakr@aarhus.dk</t>
  </si>
  <si>
    <t>Frands V. Petersen</t>
  </si>
  <si>
    <t>ÅK indkøb af benzin, diesel m.m. via Q8 og Statoil indkøbsaftaler (købekort og tankleveringer)</t>
  </si>
  <si>
    <t>Indkøb</t>
  </si>
  <si>
    <t>Lokal Energi</t>
  </si>
  <si>
    <t>Data for el-forbrug</t>
  </si>
  <si>
    <t>Data for fjernvarme-forbrug</t>
  </si>
  <si>
    <t>Århus Sporveje/Midttrafik</t>
  </si>
  <si>
    <t>Diesel, transport</t>
  </si>
  <si>
    <t>Energi-forbrug (el+FV) i bygninger</t>
  </si>
  <si>
    <t>ÅK CO2 for energi (el og varme) minus Midttrafik og Århus havn</t>
  </si>
  <si>
    <t>ÅK CO2 minus Midttrafik og Århus havn</t>
  </si>
  <si>
    <t>ton</t>
  </si>
  <si>
    <t>Elforbrug MWh</t>
  </si>
  <si>
    <t>Varmeforbrug MWh</t>
  </si>
  <si>
    <t>Arealer</t>
  </si>
  <si>
    <t>Øvrige</t>
  </si>
  <si>
    <t>El</t>
  </si>
  <si>
    <t>Transport</t>
  </si>
  <si>
    <t>varmeforbrug</t>
  </si>
  <si>
    <t>%</t>
  </si>
  <si>
    <t>Ton Co2</t>
  </si>
  <si>
    <t>Busselskabet Aarhus Sporveje (Midttrafik)</t>
  </si>
  <si>
    <t>kWh</t>
  </si>
  <si>
    <t>Kommunale bygninger (-Vand m.fl.)</t>
  </si>
  <si>
    <t>Samlet energiforbrug anlæg</t>
  </si>
  <si>
    <t>Aarhus Vand A/S</t>
  </si>
  <si>
    <t>AffaldVarme Aarhus</t>
  </si>
  <si>
    <t xml:space="preserve">Vejbelysning </t>
  </si>
  <si>
    <t>Graddagekorr. energiforbrug (kWh) kommunale bygninger</t>
  </si>
  <si>
    <t>Ton CO2 i 2010</t>
  </si>
  <si>
    <t>Mål (6% reduktion i forhold til 2008)</t>
  </si>
  <si>
    <t xml:space="preserve">Udledning basisår 2008 </t>
  </si>
  <si>
    <t>Takst i 2011 ca. 3,45 kr/km</t>
  </si>
  <si>
    <t>For el leveret ab transmissionsnet tillagt 5 % nettab, dvs. 423/0,95. Regnet v. Energikvalitetsmetoden. Uden korrektion for VE elproduktionn</t>
  </si>
  <si>
    <t>Tekniske anlæg</t>
  </si>
  <si>
    <t>Bygninger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</si>
</sst>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#,##0.0"/>
    <numFmt numFmtId="165" formatCode="#,##0.0000"/>
    <numFmt numFmtId="166" formatCode="0.0000"/>
    <numFmt numFmtId="167" formatCode="0.0"/>
    <numFmt numFmtId="168" formatCode="_ * #,##0_ ;_ * \-#,##0_ ;_ * &quot;-&quot;??_ ;_ @_ "/>
  </numFmts>
  <fonts count="22">
    <font>
      <sz val="11"/>
      <color theme="1"/>
      <name val="Arial"/>
      <family val="2"/>
    </font>
    <font>
      <b/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36"/>
      <color indexed="8"/>
      <name val="Arial"/>
      <family val="2"/>
    </font>
    <font>
      <sz val="24"/>
      <color indexed="8"/>
      <name val="Arial"/>
      <family val="2"/>
    </font>
    <font>
      <b/>
      <u/>
      <sz val="11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/>
    <xf numFmtId="43" fontId="19" fillId="0" borderId="0" applyFont="0" applyFill="0" applyBorder="0" applyAlignment="0" applyProtection="0"/>
  </cellStyleXfs>
  <cellXfs count="190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164" fontId="0" fillId="0" borderId="1" xfId="0" applyNumberFormat="1" applyBorder="1"/>
    <xf numFmtId="0" fontId="0" fillId="2" borderId="0" xfId="0" applyFill="1"/>
    <xf numFmtId="0" fontId="0" fillId="2" borderId="1" xfId="0" applyFill="1" applyBorder="1" applyAlignment="1">
      <alignment horizontal="center" vertical="top" wrapText="1"/>
    </xf>
    <xf numFmtId="0" fontId="1" fillId="2" borderId="0" xfId="0" applyFont="1" applyFill="1"/>
    <xf numFmtId="0" fontId="0" fillId="0" borderId="2" xfId="0" applyBorder="1"/>
    <xf numFmtId="0" fontId="0" fillId="0" borderId="3" xfId="0" applyBorder="1"/>
    <xf numFmtId="0" fontId="0" fillId="2" borderId="4" xfId="0" applyFill="1" applyBorder="1" applyAlignment="1">
      <alignment horizontal="center" vertical="top" wrapText="1"/>
    </xf>
    <xf numFmtId="49" fontId="0" fillId="2" borderId="4" xfId="0" applyNumberFormat="1" applyFill="1" applyBorder="1" applyAlignment="1">
      <alignment horizontal="center" vertical="top" wrapText="1"/>
    </xf>
    <xf numFmtId="0" fontId="3" fillId="3" borderId="1" xfId="2" applyFont="1" applyBorder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vertical="top"/>
    </xf>
    <xf numFmtId="0" fontId="1" fillId="0" borderId="5" xfId="0" applyFont="1" applyBorder="1"/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0" fillId="0" borderId="3" xfId="0" applyBorder="1" applyAlignment="1">
      <alignment vertical="top" wrapText="1"/>
    </xf>
    <xf numFmtId="0" fontId="0" fillId="2" borderId="10" xfId="0" applyFill="1" applyBorder="1"/>
    <xf numFmtId="0" fontId="0" fillId="2" borderId="11" xfId="0" applyFill="1" applyBorder="1"/>
    <xf numFmtId="0" fontId="1" fillId="0" borderId="12" xfId="0" applyFont="1" applyBorder="1"/>
    <xf numFmtId="0" fontId="1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2" borderId="7" xfId="0" applyFill="1" applyBorder="1" applyAlignment="1"/>
    <xf numFmtId="0" fontId="0" fillId="0" borderId="0" xfId="0" applyAlignment="1">
      <alignment wrapText="1"/>
    </xf>
    <xf numFmtId="0" fontId="15" fillId="0" borderId="0" xfId="1" applyAlignment="1" applyProtection="1"/>
    <xf numFmtId="49" fontId="0" fillId="0" borderId="0" xfId="0" applyNumberFormat="1" applyAlignment="1">
      <alignment wrapText="1"/>
    </xf>
    <xf numFmtId="0" fontId="15" fillId="0" borderId="0" xfId="1" applyAlignment="1" applyProtection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wrapText="1"/>
    </xf>
    <xf numFmtId="165" fontId="0" fillId="0" borderId="0" xfId="0" applyNumberFormat="1" applyFill="1" applyAlignment="1">
      <alignment wrapText="1"/>
    </xf>
    <xf numFmtId="0" fontId="0" fillId="0" borderId="1" xfId="0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wrapText="1"/>
    </xf>
    <xf numFmtId="0" fontId="4" fillId="0" borderId="0" xfId="0" applyFont="1" applyFill="1"/>
    <xf numFmtId="0" fontId="7" fillId="0" borderId="1" xfId="0" applyFont="1" applyBorder="1"/>
    <xf numFmtId="0" fontId="4" fillId="0" borderId="1" xfId="0" applyFont="1" applyFill="1" applyBorder="1" applyAlignment="1">
      <alignment horizontal="left" wrapText="1"/>
    </xf>
    <xf numFmtId="165" fontId="0" fillId="0" borderId="1" xfId="0" applyNumberFormat="1" applyFill="1" applyBorder="1" applyAlignment="1">
      <alignment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0" fillId="0" borderId="1" xfId="0" applyFill="1" applyBorder="1"/>
    <xf numFmtId="0" fontId="6" fillId="0" borderId="1" xfId="0" applyFont="1" applyFill="1" applyBorder="1"/>
    <xf numFmtId="0" fontId="5" fillId="0" borderId="1" xfId="0" applyFont="1" applyFill="1" applyBorder="1"/>
    <xf numFmtId="0" fontId="0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5" fontId="8" fillId="2" borderId="1" xfId="0" applyNumberFormat="1" applyFont="1" applyFill="1" applyBorder="1" applyAlignment="1">
      <alignment horizontal="left" wrapText="1"/>
    </xf>
    <xf numFmtId="0" fontId="1" fillId="0" borderId="0" xfId="0" applyFont="1" applyFill="1" applyBorder="1"/>
    <xf numFmtId="0" fontId="0" fillId="0" borderId="1" xfId="0" applyBorder="1" applyAlignment="1">
      <alignment wrapText="1"/>
    </xf>
    <xf numFmtId="1" fontId="0" fillId="0" borderId="1" xfId="0" applyNumberFormat="1" applyBorder="1"/>
    <xf numFmtId="0" fontId="5" fillId="0" borderId="1" xfId="0" applyFont="1" applyFill="1" applyBorder="1" applyAlignment="1">
      <alignment horizontal="left"/>
    </xf>
    <xf numFmtId="0" fontId="0" fillId="0" borderId="0" xfId="0" applyAlignment="1">
      <alignment vertical="center"/>
    </xf>
    <xf numFmtId="4" fontId="0" fillId="0" borderId="1" xfId="0" applyNumberFormat="1" applyBorder="1"/>
    <xf numFmtId="4" fontId="0" fillId="2" borderId="10" xfId="0" applyNumberFormat="1" applyFill="1" applyBorder="1"/>
    <xf numFmtId="4" fontId="0" fillId="2" borderId="9" xfId="0" applyNumberFormat="1" applyFill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0" fontId="0" fillId="0" borderId="0" xfId="0" applyAlignment="1">
      <alignment horizontal="right"/>
    </xf>
    <xf numFmtId="0" fontId="0" fillId="0" borderId="0" xfId="0" applyAlignment="1"/>
    <xf numFmtId="0" fontId="1" fillId="2" borderId="5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15" xfId="0" applyFill="1" applyBorder="1"/>
    <xf numFmtId="0" fontId="0" fillId="2" borderId="8" xfId="0" applyFill="1" applyBorder="1" applyAlignment="1"/>
    <xf numFmtId="0" fontId="0" fillId="2" borderId="9" xfId="0" applyFill="1" applyBorder="1" applyAlignment="1"/>
    <xf numFmtId="0" fontId="1" fillId="0" borderId="1" xfId="0" applyFont="1" applyFill="1" applyBorder="1"/>
    <xf numFmtId="0" fontId="0" fillId="0" borderId="1" xfId="0" applyFont="1" applyFill="1" applyBorder="1"/>
    <xf numFmtId="4" fontId="0" fillId="0" borderId="1" xfId="0" applyNumberFormat="1" applyFill="1" applyBorder="1"/>
    <xf numFmtId="4" fontId="0" fillId="2" borderId="11" xfId="0" applyNumberFormat="1" applyFill="1" applyBorder="1"/>
    <xf numFmtId="0" fontId="3" fillId="3" borderId="1" xfId="2" applyFont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6" fontId="3" fillId="3" borderId="1" xfId="2" applyNumberFormat="1" applyFont="1" applyBorder="1" applyAlignment="1" applyProtection="1">
      <alignment horizontal="right"/>
      <protection locked="0"/>
    </xf>
    <xf numFmtId="0" fontId="10" fillId="2" borderId="5" xfId="0" applyFont="1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left"/>
    </xf>
    <xf numFmtId="0" fontId="0" fillId="2" borderId="14" xfId="0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11" fillId="2" borderId="12" xfId="0" applyFont="1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15" xfId="0" applyFill="1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</xf>
    <xf numFmtId="166" fontId="3" fillId="0" borderId="1" xfId="2" applyNumberFormat="1" applyFont="1" applyFill="1" applyBorder="1" applyAlignment="1" applyProtection="1">
      <alignment horizontal="right"/>
    </xf>
    <xf numFmtId="3" fontId="3" fillId="3" borderId="1" xfId="2" applyNumberFormat="1" applyFont="1" applyBorder="1" applyAlignment="1" applyProtection="1">
      <alignment horizontal="right"/>
      <protection locked="0"/>
    </xf>
    <xf numFmtId="3" fontId="3" fillId="0" borderId="1" xfId="2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ill="1" applyProtection="1">
      <protection locked="0"/>
    </xf>
    <xf numFmtId="0" fontId="12" fillId="0" borderId="0" xfId="0" applyFont="1"/>
    <xf numFmtId="0" fontId="12" fillId="0" borderId="0" xfId="0" applyFont="1" applyAlignment="1">
      <alignment wrapText="1"/>
    </xf>
    <xf numFmtId="3" fontId="0" fillId="2" borderId="8" xfId="0" applyNumberFormat="1" applyFill="1" applyBorder="1" applyProtection="1">
      <protection locked="0"/>
    </xf>
    <xf numFmtId="3" fontId="0" fillId="2" borderId="0" xfId="0" applyNumberFormat="1" applyFill="1"/>
    <xf numFmtId="3" fontId="0" fillId="2" borderId="8" xfId="0" applyNumberFormat="1" applyFill="1" applyBorder="1"/>
    <xf numFmtId="3" fontId="3" fillId="0" borderId="1" xfId="2" applyNumberFormat="1" applyFont="1" applyFill="1" applyBorder="1" applyAlignment="1">
      <alignment horizontal="right"/>
    </xf>
    <xf numFmtId="3" fontId="0" fillId="0" borderId="1" xfId="0" applyNumberFormat="1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15" fillId="0" borderId="0" xfId="1" applyFill="1" applyAlignment="1" applyProtection="1"/>
    <xf numFmtId="3" fontId="0" fillId="0" borderId="1" xfId="0" applyNumberFormat="1" applyBorder="1"/>
    <xf numFmtId="3" fontId="0" fillId="2" borderId="1" xfId="0" applyNumberFormat="1" applyFill="1" applyBorder="1"/>
    <xf numFmtId="3" fontId="0" fillId="0" borderId="0" xfId="0" applyNumberFormat="1"/>
    <xf numFmtId="4" fontId="17" fillId="0" borderId="0" xfId="0" applyNumberFormat="1" applyFont="1"/>
    <xf numFmtId="3" fontId="17" fillId="0" borderId="0" xfId="0" applyNumberFormat="1" applyFont="1"/>
    <xf numFmtId="4" fontId="17" fillId="0" borderId="0" xfId="0" applyNumberFormat="1" applyFont="1" applyAlignment="1"/>
    <xf numFmtId="0" fontId="17" fillId="0" borderId="0" xfId="0" applyFont="1"/>
    <xf numFmtId="3" fontId="0" fillId="0" borderId="1" xfId="0" quotePrefix="1" applyNumberFormat="1" applyBorder="1"/>
    <xf numFmtId="0" fontId="18" fillId="0" borderId="0" xfId="0" applyFont="1"/>
    <xf numFmtId="167" fontId="18" fillId="0" borderId="0" xfId="0" applyNumberFormat="1" applyFont="1"/>
    <xf numFmtId="167" fontId="0" fillId="0" borderId="0" xfId="0" applyNumberFormat="1"/>
    <xf numFmtId="167" fontId="17" fillId="0" borderId="0" xfId="0" applyNumberFormat="1" applyFont="1"/>
    <xf numFmtId="0" fontId="0" fillId="4" borderId="0" xfId="0" applyFill="1"/>
    <xf numFmtId="0" fontId="0" fillId="4" borderId="0" xfId="0" applyFont="1" applyFill="1"/>
    <xf numFmtId="0" fontId="18" fillId="0" borderId="0" xfId="0" applyFont="1" applyFill="1"/>
    <xf numFmtId="4" fontId="0" fillId="0" borderId="0" xfId="0" applyNumberFormat="1"/>
    <xf numFmtId="0" fontId="18" fillId="0" borderId="1" xfId="0" applyFont="1" applyBorder="1"/>
    <xf numFmtId="0" fontId="17" fillId="0" borderId="1" xfId="0" applyFont="1" applyBorder="1"/>
    <xf numFmtId="3" fontId="17" fillId="2" borderId="1" xfId="0" applyNumberFormat="1" applyFont="1" applyFill="1" applyBorder="1"/>
    <xf numFmtId="168" fontId="17" fillId="0" borderId="1" xfId="3" applyNumberFormat="1" applyFont="1" applyBorder="1"/>
    <xf numFmtId="0" fontId="1" fillId="5" borderId="1" xfId="0" applyFont="1" applyFill="1" applyBorder="1"/>
    <xf numFmtId="0" fontId="17" fillId="5" borderId="1" xfId="0" applyFont="1" applyFill="1" applyBorder="1"/>
    <xf numFmtId="3" fontId="0" fillId="5" borderId="0" xfId="0" applyNumberFormat="1" applyFill="1"/>
    <xf numFmtId="3" fontId="17" fillId="5" borderId="0" xfId="0" applyNumberFormat="1" applyFont="1" applyFill="1"/>
    <xf numFmtId="3" fontId="3" fillId="6" borderId="1" xfId="2" applyNumberFormat="1" applyFont="1" applyFill="1" applyBorder="1" applyAlignment="1" applyProtection="1">
      <alignment horizontal="right"/>
      <protection locked="0"/>
    </xf>
    <xf numFmtId="3" fontId="3" fillId="7" borderId="1" xfId="2" applyNumberFormat="1" applyFont="1" applyFill="1" applyBorder="1" applyAlignment="1" applyProtection="1">
      <alignment horizontal="right"/>
      <protection locked="0"/>
    </xf>
    <xf numFmtId="3" fontId="9" fillId="3" borderId="1" xfId="2" applyNumberFormat="1" applyFont="1" applyBorder="1" applyAlignment="1" applyProtection="1">
      <alignment horizontal="right"/>
      <protection locked="0"/>
    </xf>
    <xf numFmtId="3" fontId="9" fillId="0" borderId="1" xfId="2" applyNumberFormat="1" applyFont="1" applyFill="1" applyBorder="1" applyAlignment="1" applyProtection="1">
      <alignment horizontal="right"/>
      <protection locked="0"/>
    </xf>
    <xf numFmtId="3" fontId="3" fillId="5" borderId="1" xfId="2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0" xfId="0" applyFill="1" applyBorder="1" applyAlignment="1">
      <alignment wrapText="1"/>
    </xf>
    <xf numFmtId="0" fontId="0" fillId="2" borderId="12" xfId="0" applyNumberFormat="1" applyFill="1" applyBorder="1" applyAlignment="1">
      <alignment vertical="top" wrapText="1"/>
    </xf>
    <xf numFmtId="0" fontId="0" fillId="2" borderId="0" xfId="0" applyNumberFormat="1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4" fontId="0" fillId="0" borderId="4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4" xfId="0" applyNumberFormat="1" applyBorder="1" applyAlignment="1"/>
    <xf numFmtId="4" fontId="0" fillId="0" borderId="2" xfId="0" applyNumberFormat="1" applyBorder="1" applyAlignment="1"/>
    <xf numFmtId="4" fontId="0" fillId="0" borderId="3" xfId="0" applyNumberFormat="1" applyBorder="1" applyAlignment="1"/>
    <xf numFmtId="0" fontId="0" fillId="2" borderId="12" xfId="0" applyNumberFormat="1" applyFill="1" applyBorder="1" applyAlignment="1">
      <alignment wrapText="1"/>
    </xf>
    <xf numFmtId="0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5" xfId="0" applyFill="1" applyBorder="1" applyAlignment="1">
      <alignment vertical="top"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2" borderId="7" xfId="0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Alignment="1"/>
    <xf numFmtId="0" fontId="0" fillId="0" borderId="7" xfId="0" applyBorder="1" applyAlignment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4">
    <cellStyle name="1000-sep (2 dec)" xfId="3" builtinId="3"/>
    <cellStyle name="Hyperlink" xfId="1" builtinId="8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da-DK"/>
              <a:t>Fordeling af CO2</a:t>
            </a:r>
            <a:r>
              <a:rPr lang="da-DK" baseline="0"/>
              <a:t> emissioner i Århus Kommune</a:t>
            </a:r>
            <a:endParaRPr lang="da-DK"/>
          </a:p>
        </c:rich>
      </c:tx>
      <c:layout>
        <c:manualLayout>
          <c:xMode val="edge"/>
          <c:yMode val="edge"/>
          <c:x val="0.18541438752403447"/>
          <c:y val="9.7087378640776708E-3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Ref>
              <c:f>Grafer!$A$2:$A$17</c:f>
              <c:strCache>
                <c:ptCount val="16"/>
                <c:pt idx="0">
                  <c:v>Borgmesterens afdeling</c:v>
                </c:pt>
                <c:pt idx="1">
                  <c:v>Børn og Unge</c:v>
                </c:pt>
                <c:pt idx="2">
                  <c:v>Kultur og Borgerservice</c:v>
                </c:pt>
                <c:pt idx="3">
                  <c:v>Social og Beskæftigelse</c:v>
                </c:pt>
                <c:pt idx="4">
                  <c:v>Sundhed og Omsorg</c:v>
                </c:pt>
                <c:pt idx="5">
                  <c:v>Århus Havn</c:v>
                </c:pt>
                <c:pt idx="6">
                  <c:v>Busselskabet Aarhus Sporveje (Midttrafik)</c:v>
                </c:pt>
                <c:pt idx="7">
                  <c:v>AffaldVarme Århus</c:v>
                </c:pt>
                <c:pt idx="8">
                  <c:v>Ejendomsforvaltningen</c:v>
                </c:pt>
                <c:pt idx="9">
                  <c:v>Fællesadministrationen</c:v>
                </c:pt>
                <c:pt idx="10">
                  <c:v>Natur og Miljø</c:v>
                </c:pt>
                <c:pt idx="11">
                  <c:v>Planlægning og Byggeri</c:v>
                </c:pt>
                <c:pt idx="12">
                  <c:v>Trafik og Veje</c:v>
                </c:pt>
                <c:pt idx="13">
                  <c:v>Natur og Vejservice</c:v>
                </c:pt>
                <c:pt idx="14">
                  <c:v>Århus Brandvæsen</c:v>
                </c:pt>
                <c:pt idx="15">
                  <c:v>Århus Vand AS</c:v>
                </c:pt>
              </c:strCache>
            </c:strRef>
          </c:cat>
          <c:val>
            <c:numRef>
              <c:f>Grafer!$B$2:$B$17</c:f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0.25682167087605012"/>
                  <c:y val="-2.6043625614759838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4.8051484988047524E-2"/>
                  <c:y val="1.1564918021610941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3.3401943967981712E-2"/>
                  <c:y val="-2.69729011146334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Kultur og borgerservice
7%</a:t>
                    </a:r>
                  </a:p>
                </c:rich>
              </c:tx>
              <c:showCatName val="1"/>
              <c:showPercent val="1"/>
            </c:dLbl>
            <c:dLbl>
              <c:idx val="3"/>
              <c:layout>
                <c:manualLayout>
                  <c:x val="4.5071964632208313E-2"/>
                  <c:y val="-1.4207314994716569E-3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3.3420672330195425E-2"/>
                  <c:y val="1.3593755326039006E-3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1.6453046285166327E-2"/>
                  <c:y val="5.9304844176032104E-3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4.8223371735479865E-2"/>
                  <c:y val="-3.1164793721173689E-4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4.8256506530165715E-2"/>
                  <c:y val="4.4219606044390132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6.2384804815350123E-2"/>
                  <c:y val="0.1372491909385114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5.1217298523790873E-2"/>
                  <c:y val="6.1980480595265394E-3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-9.0067665212517398E-2"/>
                  <c:y val="-5.6239329307137577E-3"/>
                </c:manualLayout>
              </c:layout>
              <c:showCatName val="1"/>
              <c:showPercent val="1"/>
            </c:dLbl>
            <c:dLbl>
              <c:idx val="11"/>
              <c:layout>
                <c:manualLayout>
                  <c:x val="-0.10210396942234708"/>
                  <c:y val="2.0774150803965042E-2"/>
                </c:manualLayout>
              </c:layout>
              <c:showCatName val="1"/>
              <c:showPercent val="1"/>
            </c:dLbl>
            <c:dLbl>
              <c:idx val="14"/>
              <c:layout>
                <c:manualLayout>
                  <c:x val="-7.7827329902802014E-2"/>
                  <c:y val="-0.12154651785031724"/>
                </c:manualLayout>
              </c:layout>
              <c:showCatName val="1"/>
              <c:showPercent val="1"/>
            </c:dLbl>
            <c:dLbl>
              <c:idx val="15"/>
              <c:layout>
                <c:manualLayout>
                  <c:x val="2.9956195441264592E-2"/>
                  <c:y val="-2.6563208725123577E-2"/>
                </c:manualLayout>
              </c:layout>
              <c:showCatName val="1"/>
              <c:showPercent val="1"/>
            </c:dLbl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Ref>
              <c:f>Grafer!$A$2:$A$17</c:f>
              <c:strCache>
                <c:ptCount val="16"/>
                <c:pt idx="0">
                  <c:v>Borgmesterens afdeling</c:v>
                </c:pt>
                <c:pt idx="1">
                  <c:v>Børn og Unge</c:v>
                </c:pt>
                <c:pt idx="2">
                  <c:v>Kultur og Borgerservice</c:v>
                </c:pt>
                <c:pt idx="3">
                  <c:v>Social og Beskæftigelse</c:v>
                </c:pt>
                <c:pt idx="4">
                  <c:v>Sundhed og Omsorg</c:v>
                </c:pt>
                <c:pt idx="5">
                  <c:v>Århus Havn</c:v>
                </c:pt>
                <c:pt idx="6">
                  <c:v>Busselskabet Aarhus Sporveje (Midttrafik)</c:v>
                </c:pt>
                <c:pt idx="7">
                  <c:v>AffaldVarme Århus</c:v>
                </c:pt>
                <c:pt idx="8">
                  <c:v>Ejendomsforvaltningen</c:v>
                </c:pt>
                <c:pt idx="9">
                  <c:v>Fællesadministrationen</c:v>
                </c:pt>
                <c:pt idx="10">
                  <c:v>Natur og Miljø</c:v>
                </c:pt>
                <c:pt idx="11">
                  <c:v>Planlægning og Byggeri</c:v>
                </c:pt>
                <c:pt idx="12">
                  <c:v>Trafik og Veje</c:v>
                </c:pt>
                <c:pt idx="13">
                  <c:v>Natur og Vejservice</c:v>
                </c:pt>
                <c:pt idx="14">
                  <c:v>Århus Brandvæsen</c:v>
                </c:pt>
                <c:pt idx="15">
                  <c:v>Århus Vand AS</c:v>
                </c:pt>
              </c:strCache>
            </c:strRef>
          </c:cat>
          <c:val>
            <c:numRef>
              <c:f>Grafer!$C$2:$C$17</c:f>
              <c:numCache>
                <c:formatCode>#,##0</c:formatCode>
                <c:ptCount val="16"/>
                <c:pt idx="0">
                  <c:v>149.78885005029937</c:v>
                </c:pt>
                <c:pt idx="1">
                  <c:v>24110.835764679792</c:v>
                </c:pt>
                <c:pt idx="2">
                  <c:v>9565.2059450446668</c:v>
                </c:pt>
                <c:pt idx="3">
                  <c:v>8092.3830782235418</c:v>
                </c:pt>
                <c:pt idx="4">
                  <c:v>14115.303702364652</c:v>
                </c:pt>
                <c:pt idx="5">
                  <c:v>3912.3560719999996</c:v>
                </c:pt>
                <c:pt idx="6">
                  <c:v>18885.519914500004</c:v>
                </c:pt>
                <c:pt idx="7">
                  <c:v>22025.506513999997</c:v>
                </c:pt>
                <c:pt idx="8">
                  <c:v>4023.91194</c:v>
                </c:pt>
                <c:pt idx="9">
                  <c:v>0</c:v>
                </c:pt>
                <c:pt idx="10">
                  <c:v>-14402.780903924682</c:v>
                </c:pt>
                <c:pt idx="11">
                  <c:v>2.9209999999999998</c:v>
                </c:pt>
                <c:pt idx="12">
                  <c:v>7839.3828299999996</c:v>
                </c:pt>
                <c:pt idx="13">
                  <c:v>595.76620999999989</c:v>
                </c:pt>
                <c:pt idx="14">
                  <c:v>417.43652000000003</c:v>
                </c:pt>
                <c:pt idx="15">
                  <c:v>13626.296059699998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en-US"/>
              <a:t>CO2</a:t>
            </a:r>
            <a:r>
              <a:rPr lang="en-US" baseline="0"/>
              <a:t> fra transport</a:t>
            </a:r>
            <a:endParaRPr lang="en-US"/>
          </a:p>
        </c:rich>
      </c:tx>
      <c:layout>
        <c:manualLayout>
          <c:xMode val="edge"/>
          <c:yMode val="edge"/>
          <c:x val="0.37869731800766282"/>
          <c:y val="1.7699115044247787E-2"/>
        </c:manualLayout>
      </c:layout>
      <c:spPr>
        <a:noFill/>
        <a:ln w="25400">
          <a:noFill/>
        </a:ln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'Egne grafer'!$C$99</c:f>
              <c:strCache>
                <c:ptCount val="1"/>
                <c:pt idx="0">
                  <c:v>Ton CO2</c:v>
                </c:pt>
              </c:strCache>
            </c:strRef>
          </c:tx>
          <c:cat>
            <c:strRef>
              <c:f>'Egne grafer'!$B$100:$B$107</c:f>
              <c:strCache>
                <c:ptCount val="8"/>
                <c:pt idx="0">
                  <c:v>Borgmesterens afdeling</c:v>
                </c:pt>
                <c:pt idx="1">
                  <c:v>Børn og Unge</c:v>
                </c:pt>
                <c:pt idx="2">
                  <c:v>Kultur og Borgerservice</c:v>
                </c:pt>
                <c:pt idx="3">
                  <c:v>Social og Beskæftigelse</c:v>
                </c:pt>
                <c:pt idx="4">
                  <c:v>Sundhed og Omsorg</c:v>
                </c:pt>
                <c:pt idx="5">
                  <c:v>Teknik og Miljø</c:v>
                </c:pt>
                <c:pt idx="6">
                  <c:v>Århus Vand AS</c:v>
                </c:pt>
                <c:pt idx="7">
                  <c:v>Busselskabet Aarhus Sporveje (Midttrafik)</c:v>
                </c:pt>
              </c:strCache>
            </c:strRef>
          </c:cat>
          <c:val>
            <c:numRef>
              <c:f>'Egne grafer'!$C$100:$C$107</c:f>
              <c:numCache>
                <c:formatCode>#,##0</c:formatCode>
                <c:ptCount val="8"/>
                <c:pt idx="0">
                  <c:v>149.78885005029937</c:v>
                </c:pt>
                <c:pt idx="1">
                  <c:v>3052.5924846797925</c:v>
                </c:pt>
                <c:pt idx="2">
                  <c:v>307.37982504466612</c:v>
                </c:pt>
                <c:pt idx="3">
                  <c:v>3187.4064882235421</c:v>
                </c:pt>
                <c:pt idx="4">
                  <c:v>1552.6311323646512</c:v>
                </c:pt>
                <c:pt idx="5">
                  <c:v>1507.4766500000001</c:v>
                </c:pt>
                <c:pt idx="6">
                  <c:v>1554.2843499999999</c:v>
                </c:pt>
                <c:pt idx="7">
                  <c:v>18288.215404500002</c:v>
                </c:pt>
              </c:numCache>
            </c:numRef>
          </c:val>
        </c:ser>
        <c:axId val="66041344"/>
        <c:axId val="66042880"/>
      </c:barChart>
      <c:catAx>
        <c:axId val="66041344"/>
        <c:scaling>
          <c:orientation val="minMax"/>
        </c:scaling>
        <c:axPos val="l"/>
        <c:numFmt formatCode="General" sourceLinked="1"/>
        <c:tickLblPos val="nextTo"/>
        <c:crossAx val="66042880"/>
        <c:crosses val="autoZero"/>
        <c:auto val="1"/>
        <c:lblAlgn val="ctr"/>
        <c:lblOffset val="100"/>
      </c:catAx>
      <c:valAx>
        <c:axId val="6604288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 CO2</a:t>
                </a:r>
              </a:p>
            </c:rich>
          </c:tx>
          <c:layout/>
        </c:title>
        <c:numFmt formatCode="#,##0" sourceLinked="0"/>
        <c:tickLblPos val="nextTo"/>
        <c:crossAx val="66041344"/>
        <c:crosses val="autoZero"/>
        <c:crossBetween val="between"/>
      </c:valAx>
    </c:plotArea>
    <c:plotVisOnly val="1"/>
    <c:dispBlanksAs val="gap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da-DK" baseline="0"/>
              <a:t>Graddage korr. energiforbrug v. kommunale bygninger</a:t>
            </a:r>
            <a:endParaRPr lang="da-DK"/>
          </a:p>
        </c:rich>
      </c:tx>
      <c:layout>
        <c:manualLayout>
          <c:xMode val="edge"/>
          <c:yMode val="edge"/>
          <c:x val="0.1854143875240348"/>
          <c:y val="9.7087378640776708E-3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'Egne grafer'!$D$133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'Egne grafer'!$B$134:$B$139</c:f>
              <c:strCache>
                <c:ptCount val="6"/>
                <c:pt idx="0">
                  <c:v>Borgmesterens afdeling</c:v>
                </c:pt>
                <c:pt idx="1">
                  <c:v>Børn og Unge</c:v>
                </c:pt>
                <c:pt idx="2">
                  <c:v>Kultur og Borgerservice</c:v>
                </c:pt>
                <c:pt idx="3">
                  <c:v>Social og Beskæftigelse</c:v>
                </c:pt>
                <c:pt idx="4">
                  <c:v>Sundhed og Omsorg</c:v>
                </c:pt>
                <c:pt idx="5">
                  <c:v>Teknik og Miljø</c:v>
                </c:pt>
              </c:strCache>
            </c:strRef>
          </c:cat>
          <c:val>
            <c:numRef>
              <c:f>'Egne grafer'!$D$134:$D$139</c:f>
              <c:numCache>
                <c:formatCode>#,##0</c:formatCode>
                <c:ptCount val="6"/>
                <c:pt idx="0">
                  <c:v>24390</c:v>
                </c:pt>
                <c:pt idx="1">
                  <c:v>94853943</c:v>
                </c:pt>
                <c:pt idx="2">
                  <c:v>37167421</c:v>
                </c:pt>
                <c:pt idx="3">
                  <c:v>21446993</c:v>
                </c:pt>
                <c:pt idx="4">
                  <c:v>55548219</c:v>
                </c:pt>
                <c:pt idx="5">
                  <c:v>24682759</c:v>
                </c:pt>
              </c:numCache>
            </c:numRef>
          </c:val>
        </c:ser>
        <c:ser>
          <c:idx val="2"/>
          <c:order val="1"/>
          <c:tx>
            <c:strRef>
              <c:f>'Egne grafer'!$C$133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'Egne grafer'!$B$134:$B$139</c:f>
              <c:strCache>
                <c:ptCount val="6"/>
                <c:pt idx="0">
                  <c:v>Borgmesterens afdeling</c:v>
                </c:pt>
                <c:pt idx="1">
                  <c:v>Børn og Unge</c:v>
                </c:pt>
                <c:pt idx="2">
                  <c:v>Kultur og Borgerservice</c:v>
                </c:pt>
                <c:pt idx="3">
                  <c:v>Social og Beskæftigelse</c:v>
                </c:pt>
                <c:pt idx="4">
                  <c:v>Sundhed og Omsorg</c:v>
                </c:pt>
                <c:pt idx="5">
                  <c:v>Teknik og Miljø</c:v>
                </c:pt>
              </c:strCache>
            </c:strRef>
          </c:cat>
          <c:val>
            <c:numRef>
              <c:f>'Egne grafer'!$C$134:$C$139</c:f>
              <c:numCache>
                <c:formatCode>#,##0</c:formatCode>
                <c:ptCount val="6"/>
                <c:pt idx="0">
                  <c:v>0</c:v>
                </c:pt>
                <c:pt idx="1">
                  <c:v>21474704</c:v>
                </c:pt>
                <c:pt idx="2">
                  <c:v>12114216</c:v>
                </c:pt>
                <c:pt idx="3">
                  <c:v>4548262</c:v>
                </c:pt>
                <c:pt idx="4">
                  <c:v>12749826</c:v>
                </c:pt>
                <c:pt idx="5">
                  <c:v>9265458</c:v>
                </c:pt>
              </c:numCache>
            </c:numRef>
          </c:val>
        </c:ser>
        <c:gapWidth val="100"/>
        <c:axId val="81218944"/>
        <c:axId val="81233024"/>
      </c:barChart>
      <c:catAx>
        <c:axId val="81218944"/>
        <c:scaling>
          <c:orientation val="minMax"/>
        </c:scaling>
        <c:axPos val="b"/>
        <c:numFmt formatCode="General" sourceLinked="1"/>
        <c:tickLblPos val="nextTo"/>
        <c:crossAx val="81233024"/>
        <c:crosses val="autoZero"/>
        <c:auto val="1"/>
        <c:lblAlgn val="ctr"/>
        <c:lblOffset val="100"/>
      </c:catAx>
      <c:valAx>
        <c:axId val="812330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kWh</a:t>
                </a:r>
              </a:p>
            </c:rich>
          </c:tx>
          <c:layout/>
        </c:title>
        <c:numFmt formatCode="#,##0" sourceLinked="0"/>
        <c:tickLblPos val="nextTo"/>
        <c:crossAx val="81218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da-DK"/>
              <a:t>Ton</a:t>
            </a:r>
            <a:r>
              <a:rPr lang="da-DK" baseline="0"/>
              <a:t> </a:t>
            </a:r>
            <a:r>
              <a:rPr lang="da-DK"/>
              <a:t>CO2 </a:t>
            </a:r>
          </a:p>
          <a:p>
            <a:pPr>
              <a:defRPr/>
            </a:pPr>
            <a:r>
              <a:rPr lang="da-DK"/>
              <a:t>Teknik og Miljø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bar"/>
        <c:grouping val="clustered"/>
        <c:ser>
          <c:idx val="0"/>
          <c:order val="0"/>
          <c:cat>
            <c:strRef>
              <c:f>Grafer!$A$25:$A$32</c:f>
              <c:strCache>
                <c:ptCount val="8"/>
                <c:pt idx="0">
                  <c:v>Ejendomsforvaltningen</c:v>
                </c:pt>
                <c:pt idx="1">
                  <c:v>Fællesadministrationen</c:v>
                </c:pt>
                <c:pt idx="2">
                  <c:v>Natur og Miljø</c:v>
                </c:pt>
                <c:pt idx="3">
                  <c:v>Natur og Vejservice</c:v>
                </c:pt>
                <c:pt idx="4">
                  <c:v>Århus Brandvæsen</c:v>
                </c:pt>
                <c:pt idx="5">
                  <c:v>Planlægning og Byggeri</c:v>
                </c:pt>
                <c:pt idx="6">
                  <c:v>AffaldVarme Århus</c:v>
                </c:pt>
                <c:pt idx="7">
                  <c:v>Trafik og Veje</c:v>
                </c:pt>
              </c:strCache>
            </c:strRef>
          </c:cat>
          <c:val>
            <c:numRef>
              <c:f>Grafer!$B$25:$B$32</c:f>
            </c:numRef>
          </c:val>
        </c:ser>
        <c:ser>
          <c:idx val="1"/>
          <c:order val="1"/>
          <c:cat>
            <c:strRef>
              <c:f>Grafer!$A$25:$A$32</c:f>
              <c:strCache>
                <c:ptCount val="8"/>
                <c:pt idx="0">
                  <c:v>Ejendomsforvaltningen</c:v>
                </c:pt>
                <c:pt idx="1">
                  <c:v>Fællesadministrationen</c:v>
                </c:pt>
                <c:pt idx="2">
                  <c:v>Natur og Miljø</c:v>
                </c:pt>
                <c:pt idx="3">
                  <c:v>Natur og Vejservice</c:v>
                </c:pt>
                <c:pt idx="4">
                  <c:v>Århus Brandvæsen</c:v>
                </c:pt>
                <c:pt idx="5">
                  <c:v>Planlægning og Byggeri</c:v>
                </c:pt>
                <c:pt idx="6">
                  <c:v>AffaldVarme Århus</c:v>
                </c:pt>
                <c:pt idx="7">
                  <c:v>Trafik og Veje</c:v>
                </c:pt>
              </c:strCache>
            </c:strRef>
          </c:cat>
          <c:val>
            <c:numRef>
              <c:f>Grafer!$C$25:$C$32</c:f>
              <c:numCache>
                <c:formatCode>#,##0</c:formatCode>
                <c:ptCount val="8"/>
                <c:pt idx="0">
                  <c:v>4023.91194</c:v>
                </c:pt>
                <c:pt idx="1">
                  <c:v>0</c:v>
                </c:pt>
                <c:pt idx="2">
                  <c:v>-14402.780903924682</c:v>
                </c:pt>
                <c:pt idx="3">
                  <c:v>595.76620999999989</c:v>
                </c:pt>
                <c:pt idx="4">
                  <c:v>417.43652000000003</c:v>
                </c:pt>
                <c:pt idx="5">
                  <c:v>2.9209999999999998</c:v>
                </c:pt>
                <c:pt idx="6">
                  <c:v>22025.506513999997</c:v>
                </c:pt>
                <c:pt idx="7">
                  <c:v>7839.3828299999996</c:v>
                </c:pt>
              </c:numCache>
            </c:numRef>
          </c:val>
        </c:ser>
        <c:axId val="50082560"/>
        <c:axId val="50084096"/>
      </c:barChart>
      <c:catAx>
        <c:axId val="50082560"/>
        <c:scaling>
          <c:orientation val="minMax"/>
        </c:scaling>
        <c:axPos val="l"/>
        <c:numFmt formatCode="General" sourceLinked="1"/>
        <c:majorTickMark val="none"/>
        <c:tickLblPos val="nextTo"/>
        <c:crossAx val="50084096"/>
        <c:crosses val="autoZero"/>
        <c:auto val="1"/>
        <c:lblAlgn val="ctr"/>
        <c:lblOffset val="100"/>
      </c:catAx>
      <c:valAx>
        <c:axId val="50084096"/>
        <c:scaling>
          <c:orientation val="minMax"/>
        </c:scaling>
        <c:axPos val="b"/>
        <c:majorGridlines/>
        <c:numFmt formatCode="#,##0" sourceLinked="1"/>
        <c:majorTickMark val="none"/>
        <c:tickLblPos val="nextTo"/>
        <c:crossAx val="50082560"/>
        <c:crosses val="autoZero"/>
        <c:crossBetween val="between"/>
      </c:valAx>
    </c:plotArea>
    <c:plotVisOnly val="1"/>
    <c:dispBlanksAs val="gap"/>
  </c:chart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en-US"/>
              <a:t>Ton CO2 fra elforbrug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Grafer!$D$47</c:f>
              <c:strCache>
                <c:ptCount val="1"/>
                <c:pt idx="0">
                  <c:v>Ton CO2</c:v>
                </c:pt>
              </c:strCache>
            </c:strRef>
          </c:tx>
          <c:cat>
            <c:strRef>
              <c:f>Grafer!$A$48:$A$63</c:f>
              <c:strCache>
                <c:ptCount val="16"/>
                <c:pt idx="0">
                  <c:v>Borgmesterens afdeling</c:v>
                </c:pt>
                <c:pt idx="1">
                  <c:v>Børn og Unge</c:v>
                </c:pt>
                <c:pt idx="2">
                  <c:v>Kultur og Borgerservice</c:v>
                </c:pt>
                <c:pt idx="3">
                  <c:v>Social og Beskæftigelse</c:v>
                </c:pt>
                <c:pt idx="4">
                  <c:v>Sundhed og Omsorg</c:v>
                </c:pt>
                <c:pt idx="5">
                  <c:v>Århus Havn</c:v>
                </c:pt>
                <c:pt idx="6">
                  <c:v>Midttrafik</c:v>
                </c:pt>
                <c:pt idx="7">
                  <c:v>AffaldVarme Århus</c:v>
                </c:pt>
                <c:pt idx="8">
                  <c:v>Ejendomsforvaltningen</c:v>
                </c:pt>
                <c:pt idx="9">
                  <c:v>Fællesadministrationen</c:v>
                </c:pt>
                <c:pt idx="10">
                  <c:v>Natur og Miljø</c:v>
                </c:pt>
                <c:pt idx="11">
                  <c:v>Planlægning og Byggeri</c:v>
                </c:pt>
                <c:pt idx="12">
                  <c:v>Trafik og Veje</c:v>
                </c:pt>
                <c:pt idx="13">
                  <c:v>Århus Brandvæsen</c:v>
                </c:pt>
                <c:pt idx="14">
                  <c:v>Natur og Vejservice</c:v>
                </c:pt>
                <c:pt idx="15">
                  <c:v>Århus Vand AS</c:v>
                </c:pt>
              </c:strCache>
            </c:strRef>
          </c:cat>
          <c:val>
            <c:numRef>
              <c:f>Grafer!$D$48:$D$63</c:f>
              <c:numCache>
                <c:formatCode>#,##0</c:formatCode>
                <c:ptCount val="16"/>
                <c:pt idx="0">
                  <c:v>0</c:v>
                </c:pt>
                <c:pt idx="1">
                  <c:v>9556.2432799999988</c:v>
                </c:pt>
                <c:pt idx="2">
                  <c:v>5390.8261199999997</c:v>
                </c:pt>
                <c:pt idx="3">
                  <c:v>2023.97659</c:v>
                </c:pt>
                <c:pt idx="4">
                  <c:v>5673.6725699999997</c:v>
                </c:pt>
                <c:pt idx="5">
                  <c:v>2517.2648749999998</c:v>
                </c:pt>
                <c:pt idx="6">
                  <c:v>377.41251</c:v>
                </c:pt>
                <c:pt idx="7">
                  <c:v>19870.31266</c:v>
                </c:pt>
                <c:pt idx="8">
                  <c:v>2201.8653399999998</c:v>
                </c:pt>
                <c:pt idx="9">
                  <c:v>0</c:v>
                </c:pt>
                <c:pt idx="10">
                  <c:v>144.559585</c:v>
                </c:pt>
                <c:pt idx="11">
                  <c:v>0</c:v>
                </c:pt>
                <c:pt idx="12">
                  <c:v>7734.4800299999997</c:v>
                </c:pt>
                <c:pt idx="13">
                  <c:v>144.64991999999998</c:v>
                </c:pt>
                <c:pt idx="14">
                  <c:v>233.48170999999999</c:v>
                </c:pt>
                <c:pt idx="15">
                  <c:v>11723.420629699998</c:v>
                </c:pt>
              </c:numCache>
            </c:numRef>
          </c:val>
        </c:ser>
        <c:axId val="50112000"/>
        <c:axId val="50113536"/>
      </c:barChart>
      <c:catAx>
        <c:axId val="50112000"/>
        <c:scaling>
          <c:orientation val="minMax"/>
        </c:scaling>
        <c:axPos val="l"/>
        <c:numFmt formatCode="General" sourceLinked="1"/>
        <c:tickLblPos val="nextTo"/>
        <c:crossAx val="50113536"/>
        <c:crosses val="autoZero"/>
        <c:auto val="1"/>
        <c:lblAlgn val="ctr"/>
        <c:lblOffset val="100"/>
      </c:catAx>
      <c:valAx>
        <c:axId val="50113536"/>
        <c:scaling>
          <c:orientation val="minMax"/>
        </c:scaling>
        <c:axPos val="b"/>
        <c:majorGridlines/>
        <c:numFmt formatCode="#,##0" sourceLinked="0"/>
        <c:tickLblPos val="nextTo"/>
        <c:crossAx val="50112000"/>
        <c:crosses val="autoZero"/>
        <c:crossBetween val="between"/>
      </c:valAx>
    </c:plotArea>
    <c:plotVisOnly val="1"/>
    <c:dispBlanksAs val="gap"/>
  </c:chart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en-US"/>
              <a:t>Ton CO2 fra varmeforbrug</a:t>
            </a:r>
          </a:p>
        </c:rich>
      </c:tx>
      <c:layout>
        <c:manualLayout>
          <c:xMode val="edge"/>
          <c:yMode val="edge"/>
          <c:x val="0.42944830353429442"/>
          <c:y val="1.9370460048426425E-2"/>
        </c:manualLayout>
      </c:layout>
      <c:spPr>
        <a:noFill/>
        <a:ln w="25400">
          <a:noFill/>
        </a:ln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Grafer!$D$74</c:f>
              <c:strCache>
                <c:ptCount val="1"/>
                <c:pt idx="0">
                  <c:v>Ton CO2</c:v>
                </c:pt>
              </c:strCache>
            </c:strRef>
          </c:tx>
          <c:cat>
            <c:strRef>
              <c:f>Grafer!$A$75:$A$93</c:f>
              <c:strCache>
                <c:ptCount val="19"/>
                <c:pt idx="0">
                  <c:v>Borgmesterens afdeling</c:v>
                </c:pt>
                <c:pt idx="1">
                  <c:v>Børn og Unge</c:v>
                </c:pt>
                <c:pt idx="2">
                  <c:v>Kultur og Borgerservice</c:v>
                </c:pt>
                <c:pt idx="3">
                  <c:v>Social og Beskæftigelse</c:v>
                </c:pt>
                <c:pt idx="4">
                  <c:v>Sundhed og Omsorg</c:v>
                </c:pt>
                <c:pt idx="5">
                  <c:v>Århus Havn</c:v>
                </c:pt>
                <c:pt idx="6">
                  <c:v>Midttrafik</c:v>
                </c:pt>
                <c:pt idx="7">
                  <c:v>AffaldVarme Århus</c:v>
                </c:pt>
                <c:pt idx="8">
                  <c:v>Ejendomsforvaltningen</c:v>
                </c:pt>
                <c:pt idx="9">
                  <c:v>Fællesadministrationen</c:v>
                </c:pt>
                <c:pt idx="10">
                  <c:v>Natur og Miljø</c:v>
                </c:pt>
                <c:pt idx="11">
                  <c:v>Planlægning og Byggeri</c:v>
                </c:pt>
                <c:pt idx="12">
                  <c:v>Trafik og Veje</c:v>
                </c:pt>
                <c:pt idx="13">
                  <c:v>Århus Brandvæsen</c:v>
                </c:pt>
                <c:pt idx="14">
                  <c:v>Natur og Vejservice</c:v>
                </c:pt>
                <c:pt idx="15">
                  <c:v>Århus Vand AS</c:v>
                </c:pt>
                <c:pt idx="16">
                  <c:v>Fyringsolie</c:v>
                </c:pt>
                <c:pt idx="17">
                  <c:v>Naturgas</c:v>
                </c:pt>
                <c:pt idx="18">
                  <c:v>Elektricitet</c:v>
                </c:pt>
              </c:strCache>
            </c:strRef>
          </c:cat>
          <c:val>
            <c:numRef>
              <c:f>Grafer!$D$75:$D$93</c:f>
              <c:numCache>
                <c:formatCode>#,##0</c:formatCode>
                <c:ptCount val="19"/>
                <c:pt idx="0">
                  <c:v>0</c:v>
                </c:pt>
                <c:pt idx="1">
                  <c:v>11502</c:v>
                </c:pt>
                <c:pt idx="2">
                  <c:v>3867</c:v>
                </c:pt>
                <c:pt idx="3">
                  <c:v>2881</c:v>
                </c:pt>
                <c:pt idx="4">
                  <c:v>6889</c:v>
                </c:pt>
                <c:pt idx="5">
                  <c:v>70.13776</c:v>
                </c:pt>
                <c:pt idx="6">
                  <c:v>219.892</c:v>
                </c:pt>
                <c:pt idx="7">
                  <c:v>344.26561400000003</c:v>
                </c:pt>
                <c:pt idx="8">
                  <c:v>1571.5070000000001</c:v>
                </c:pt>
                <c:pt idx="9">
                  <c:v>0</c:v>
                </c:pt>
                <c:pt idx="10">
                  <c:v>276.351</c:v>
                </c:pt>
                <c:pt idx="11">
                  <c:v>0</c:v>
                </c:pt>
                <c:pt idx="12">
                  <c:v>0</c:v>
                </c:pt>
                <c:pt idx="13">
                  <c:v>145.60300000000001</c:v>
                </c:pt>
                <c:pt idx="14">
                  <c:v>209.84399999999999</c:v>
                </c:pt>
                <c:pt idx="15">
                  <c:v>278</c:v>
                </c:pt>
                <c:pt idx="16">
                  <c:v>487.06382199999996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50129152"/>
        <c:axId val="79503360"/>
      </c:barChart>
      <c:catAx>
        <c:axId val="50129152"/>
        <c:scaling>
          <c:orientation val="minMax"/>
        </c:scaling>
        <c:axPos val="l"/>
        <c:numFmt formatCode="General" sourceLinked="1"/>
        <c:tickLblPos val="nextTo"/>
        <c:crossAx val="79503360"/>
        <c:crosses val="autoZero"/>
        <c:auto val="1"/>
        <c:lblAlgn val="ctr"/>
        <c:lblOffset val="100"/>
      </c:catAx>
      <c:valAx>
        <c:axId val="79503360"/>
        <c:scaling>
          <c:orientation val="minMax"/>
        </c:scaling>
        <c:axPos val="b"/>
        <c:majorGridlines/>
        <c:numFmt formatCode="#,##0" sourceLinked="0"/>
        <c:tickLblPos val="nextTo"/>
        <c:crossAx val="50129152"/>
        <c:crosses val="autoZero"/>
        <c:crossBetween val="between"/>
      </c:valAx>
    </c:plotArea>
    <c:plotVisOnly val="1"/>
    <c:dispBlanksAs val="gap"/>
  </c:chart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en-US"/>
              <a:t>Ton CO2 fra trafik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Grafer!$C$100</c:f>
              <c:strCache>
                <c:ptCount val="1"/>
                <c:pt idx="0">
                  <c:v>Ton CO2</c:v>
                </c:pt>
              </c:strCache>
            </c:strRef>
          </c:tx>
          <c:cat>
            <c:strRef>
              <c:f>Grafer!$A$101:$A$116</c:f>
              <c:strCache>
                <c:ptCount val="16"/>
                <c:pt idx="0">
                  <c:v>Borgmesterens afdeling</c:v>
                </c:pt>
                <c:pt idx="1">
                  <c:v>Børn og Unge</c:v>
                </c:pt>
                <c:pt idx="2">
                  <c:v>Kultur og Borgerservice</c:v>
                </c:pt>
                <c:pt idx="3">
                  <c:v>Social og Beskæftigelse</c:v>
                </c:pt>
                <c:pt idx="4">
                  <c:v>Sundhed og Omsorg</c:v>
                </c:pt>
                <c:pt idx="5">
                  <c:v>Århus Havn</c:v>
                </c:pt>
                <c:pt idx="6">
                  <c:v>Midttrafik</c:v>
                </c:pt>
                <c:pt idx="7">
                  <c:v>AffaldVarme Århus</c:v>
                </c:pt>
                <c:pt idx="8">
                  <c:v>Ejendomsforvaltningen</c:v>
                </c:pt>
                <c:pt idx="9">
                  <c:v>Fællesadministrationen</c:v>
                </c:pt>
                <c:pt idx="10">
                  <c:v>Natur og Miljø</c:v>
                </c:pt>
                <c:pt idx="11">
                  <c:v>Planlægning og Byggeri</c:v>
                </c:pt>
                <c:pt idx="12">
                  <c:v>Trafik og Veje</c:v>
                </c:pt>
                <c:pt idx="13">
                  <c:v>Århus Brandvæsen</c:v>
                </c:pt>
                <c:pt idx="14">
                  <c:v>Natur og Vejservice</c:v>
                </c:pt>
                <c:pt idx="15">
                  <c:v>Århus Vand AS</c:v>
                </c:pt>
              </c:strCache>
            </c:strRef>
          </c:cat>
          <c:val>
            <c:numRef>
              <c:f>Grafer!$C$101:$C$116</c:f>
              <c:numCache>
                <c:formatCode>#,##0</c:formatCode>
                <c:ptCount val="16"/>
                <c:pt idx="0">
                  <c:v>149.78885005029937</c:v>
                </c:pt>
                <c:pt idx="1">
                  <c:v>3052.5924846797925</c:v>
                </c:pt>
                <c:pt idx="2">
                  <c:v>307.37982504466612</c:v>
                </c:pt>
                <c:pt idx="3">
                  <c:v>3187.4064882235421</c:v>
                </c:pt>
                <c:pt idx="4">
                  <c:v>1552.6311323646512</c:v>
                </c:pt>
                <c:pt idx="5">
                  <c:v>1191.1429350000001</c:v>
                </c:pt>
                <c:pt idx="6">
                  <c:v>18288.215404500002</c:v>
                </c:pt>
                <c:pt idx="7">
                  <c:v>699.30599999999993</c:v>
                </c:pt>
                <c:pt idx="8">
                  <c:v>250.53960000000001</c:v>
                </c:pt>
                <c:pt idx="9">
                  <c:v>0</c:v>
                </c:pt>
                <c:pt idx="10">
                  <c:v>170.18315000000001</c:v>
                </c:pt>
                <c:pt idx="11">
                  <c:v>2.9209999999999998</c:v>
                </c:pt>
                <c:pt idx="12">
                  <c:v>104.9028</c:v>
                </c:pt>
                <c:pt idx="13">
                  <c:v>127.1836</c:v>
                </c:pt>
                <c:pt idx="14">
                  <c:v>152.44050000000001</c:v>
                </c:pt>
                <c:pt idx="15">
                  <c:v>1554.2843499999999</c:v>
                </c:pt>
              </c:numCache>
            </c:numRef>
          </c:val>
        </c:ser>
        <c:axId val="79522816"/>
        <c:axId val="79532800"/>
      </c:barChart>
      <c:catAx>
        <c:axId val="79522816"/>
        <c:scaling>
          <c:orientation val="minMax"/>
        </c:scaling>
        <c:axPos val="l"/>
        <c:numFmt formatCode="General" sourceLinked="1"/>
        <c:tickLblPos val="nextTo"/>
        <c:crossAx val="79532800"/>
        <c:crosses val="autoZero"/>
        <c:auto val="1"/>
        <c:lblAlgn val="ctr"/>
        <c:lblOffset val="100"/>
      </c:catAx>
      <c:valAx>
        <c:axId val="79532800"/>
        <c:scaling>
          <c:orientation val="minMax"/>
        </c:scaling>
        <c:axPos val="b"/>
        <c:majorGridlines/>
        <c:numFmt formatCode="#,##0" sourceLinked="0"/>
        <c:tickLblPos val="nextTo"/>
        <c:crossAx val="79522816"/>
        <c:crosses val="autoZero"/>
        <c:crossBetween val="between"/>
      </c:valAx>
    </c:plotArea>
    <c:plotVisOnly val="1"/>
    <c:dispBlanksAs val="gap"/>
  </c:chart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da-DK"/>
              <a:t>Fordeling af CO2</a:t>
            </a:r>
            <a:r>
              <a:rPr lang="da-DK" baseline="0"/>
              <a:t> udledningen fra Århus Kommune</a:t>
            </a:r>
            <a:endParaRPr lang="da-DK"/>
          </a:p>
        </c:rich>
      </c:tx>
      <c:layout>
        <c:manualLayout>
          <c:xMode val="edge"/>
          <c:yMode val="edge"/>
          <c:x val="0.18541438752403464"/>
          <c:y val="9.7087378640776708E-3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1"/>
          <c:order val="0"/>
          <c:tx>
            <c:strRef>
              <c:f>'Egne grafer'!$C$5</c:f>
              <c:strCache>
                <c:ptCount val="1"/>
                <c:pt idx="0">
                  <c:v>Ton CO2</c:v>
                </c:pt>
              </c:strCache>
            </c:strRef>
          </c:tx>
          <c:dLbls>
            <c:dLbl>
              <c:idx val="0"/>
              <c:layout>
                <c:manualLayout>
                  <c:x val="0.22215151064950286"/>
                  <c:y val="1.4445588979869755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9.5275230390369295E-2"/>
                  <c:y val="6.4280834075341534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4.7385187486212586E-2"/>
                  <c:y val="-1.2490412090949818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2.8220400408782522E-3"/>
                  <c:y val="2.9345345135627452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1.2380978106724653E-2"/>
                  <c:y val="-1.2963667789863301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6.9583969242266924E-2"/>
                  <c:y val="-8.3221304653991728E-3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7.362587395271989E-3"/>
                  <c:y val="2.4598122573924412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3.1726475871476617E-2"/>
                  <c:y val="-1.6318126531301103E-2"/>
                </c:manualLayout>
              </c:layout>
              <c:showCatName val="1"/>
              <c:showPercent val="1"/>
            </c:dLbl>
            <c:showCatName val="1"/>
            <c:showPercent val="1"/>
          </c:dLbls>
          <c:cat>
            <c:strRef>
              <c:f>'Egne grafer'!$B$6:$B$13</c:f>
              <c:strCache>
                <c:ptCount val="8"/>
                <c:pt idx="0">
                  <c:v>Borgmesterens afdeling</c:v>
                </c:pt>
                <c:pt idx="1">
                  <c:v>Børn og Unge</c:v>
                </c:pt>
                <c:pt idx="2">
                  <c:v>Kultur og Borgerservice</c:v>
                </c:pt>
                <c:pt idx="3">
                  <c:v>Social og Beskæftigelse</c:v>
                </c:pt>
                <c:pt idx="4">
                  <c:v>Sundhed og Omsorg</c:v>
                </c:pt>
                <c:pt idx="5">
                  <c:v>Teknik og Miljø</c:v>
                </c:pt>
                <c:pt idx="6">
                  <c:v>Århus Vand AS</c:v>
                </c:pt>
                <c:pt idx="7">
                  <c:v>Busselskabet Aarhus Sporveje (Midttrafik)</c:v>
                </c:pt>
              </c:strCache>
            </c:strRef>
          </c:cat>
          <c:val>
            <c:numRef>
              <c:f>'Egne grafer'!$C$6:$C$13</c:f>
              <c:numCache>
                <c:formatCode>0.0</c:formatCode>
                <c:ptCount val="8"/>
                <c:pt idx="0">
                  <c:v>149.78885005029937</c:v>
                </c:pt>
                <c:pt idx="1">
                  <c:v>24110.835764679792</c:v>
                </c:pt>
                <c:pt idx="2">
                  <c:v>9565.2059450446668</c:v>
                </c:pt>
                <c:pt idx="3">
                  <c:v>8092.3830782235418</c:v>
                </c:pt>
                <c:pt idx="4">
                  <c:v>14115.303702364652</c:v>
                </c:pt>
                <c:pt idx="5">
                  <c:v>20502.144110075318</c:v>
                </c:pt>
                <c:pt idx="6">
                  <c:v>13626.296059699998</c:v>
                </c:pt>
                <c:pt idx="7">
                  <c:v>18885.519914500004</c:v>
                </c:pt>
              </c:numCache>
            </c:numRef>
          </c:val>
        </c:ser>
        <c:ser>
          <c:idx val="0"/>
          <c:order val="1"/>
          <c:tx>
            <c:strRef>
              <c:f>'Egne grafer'!$E$5</c:f>
              <c:strCache>
                <c:ptCount val="1"/>
                <c:pt idx="0">
                  <c:v>% af total</c:v>
                </c:pt>
              </c:strCache>
            </c:strRef>
          </c:tx>
          <c:cat>
            <c:strRef>
              <c:f>'Egne grafer'!$B$6:$B$13</c:f>
              <c:strCache>
                <c:ptCount val="8"/>
                <c:pt idx="0">
                  <c:v>Borgmesterens afdeling</c:v>
                </c:pt>
                <c:pt idx="1">
                  <c:v>Børn og Unge</c:v>
                </c:pt>
                <c:pt idx="2">
                  <c:v>Kultur og Borgerservice</c:v>
                </c:pt>
                <c:pt idx="3">
                  <c:v>Social og Beskæftigelse</c:v>
                </c:pt>
                <c:pt idx="4">
                  <c:v>Sundhed og Omsorg</c:v>
                </c:pt>
                <c:pt idx="5">
                  <c:v>Teknik og Miljø</c:v>
                </c:pt>
                <c:pt idx="6">
                  <c:v>Århus Vand AS</c:v>
                </c:pt>
                <c:pt idx="7">
                  <c:v>Busselskabet Aarhus Sporveje (Midttrafik)</c:v>
                </c:pt>
              </c:strCache>
            </c:strRef>
          </c:cat>
          <c:val>
            <c:numRef>
              <c:f>'Egne grafer'!$E$6:$E$13</c:f>
              <c:numCache>
                <c:formatCode>General</c:formatCode>
                <c:ptCount val="8"/>
                <c:pt idx="0">
                  <c:v>0.13736113258907531</c:v>
                </c:pt>
                <c:pt idx="1">
                  <c:v>22.110402124012975</c:v>
                </c:pt>
                <c:pt idx="2">
                  <c:v>8.7715976297160054</c:v>
                </c:pt>
                <c:pt idx="3">
                  <c:v>7.420972285962427</c:v>
                </c:pt>
                <c:pt idx="4">
                  <c:v>12.944181778179701</c:v>
                </c:pt>
                <c:pt idx="5">
                  <c:v>18.801117269534419</c:v>
                </c:pt>
                <c:pt idx="6">
                  <c:v>12.495746239629439</c:v>
                </c:pt>
                <c:pt idx="7">
                  <c:v>17.318621540375947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en-US"/>
              <a:t>Ton CO</a:t>
            </a:r>
            <a:r>
              <a:rPr lang="en-US" sz="1100"/>
              <a:t>2  </a:t>
            </a:r>
            <a:endParaRPr lang="en-U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cat>
            <c:strRef>
              <c:f>'Egne grafer'!$B$32:$B$36</c:f>
              <c:strCache>
                <c:ptCount val="5"/>
                <c:pt idx="0">
                  <c:v>Arealer</c:v>
                </c:pt>
                <c:pt idx="1">
                  <c:v>Øvrige</c:v>
                </c:pt>
                <c:pt idx="2">
                  <c:v>El</c:v>
                </c:pt>
                <c:pt idx="3">
                  <c:v>Opvarmning</c:v>
                </c:pt>
                <c:pt idx="4">
                  <c:v>Transport</c:v>
                </c:pt>
              </c:strCache>
            </c:strRef>
          </c:cat>
          <c:val>
            <c:numRef>
              <c:f>'Egne grafer'!$C$32:$C$36</c:f>
              <c:numCache>
                <c:formatCode>General</c:formatCode>
                <c:ptCount val="5"/>
                <c:pt idx="0" formatCode="#,##0.00">
                  <c:v>-15221.79049492468</c:v>
                </c:pt>
                <c:pt idx="1">
                  <c:v>0</c:v>
                </c:pt>
                <c:pt idx="2" formatCode="#,##0">
                  <c:v>0</c:v>
                </c:pt>
                <c:pt idx="3" formatCode="#,##0.00">
                  <c:v>0</c:v>
                </c:pt>
                <c:pt idx="4" formatCode="#,##0.00">
                  <c:v>30790.918119862952</c:v>
                </c:pt>
              </c:numCache>
            </c:numRef>
          </c:val>
        </c:ser>
        <c:axId val="81029760"/>
        <c:axId val="81047936"/>
      </c:barChart>
      <c:catAx>
        <c:axId val="81029760"/>
        <c:scaling>
          <c:orientation val="minMax"/>
        </c:scaling>
        <c:axPos val="l"/>
        <c:numFmt formatCode="General" sourceLinked="1"/>
        <c:tickLblPos val="nextTo"/>
        <c:crossAx val="81047936"/>
        <c:crosses val="autoZero"/>
        <c:auto val="1"/>
        <c:lblAlgn val="ctr"/>
        <c:lblOffset val="100"/>
      </c:catAx>
      <c:valAx>
        <c:axId val="81047936"/>
        <c:scaling>
          <c:orientation val="minMax"/>
        </c:scaling>
        <c:axPos val="b"/>
        <c:majorGridlines/>
        <c:numFmt formatCode="#,##0" sourceLinked="0"/>
        <c:tickLblPos val="nextTo"/>
        <c:crossAx val="81029760"/>
        <c:crosses val="autoZero"/>
        <c:crossBetween val="between"/>
      </c:valAx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en-US"/>
              <a:t>MWh el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'Egne grafer'!$C$50</c:f>
              <c:strCache>
                <c:ptCount val="1"/>
                <c:pt idx="0">
                  <c:v>Elforbrug MWh</c:v>
                </c:pt>
              </c:strCache>
            </c:strRef>
          </c:tx>
          <c:cat>
            <c:strRef>
              <c:f>'Egne grafer'!$B$51:$B$58</c:f>
              <c:strCache>
                <c:ptCount val="8"/>
                <c:pt idx="0">
                  <c:v>Borgmesterens afdeling</c:v>
                </c:pt>
                <c:pt idx="1">
                  <c:v>Børn og Unge</c:v>
                </c:pt>
                <c:pt idx="2">
                  <c:v>Kultur og Borgerservice</c:v>
                </c:pt>
                <c:pt idx="3">
                  <c:v>Social og Beskæftigelse</c:v>
                </c:pt>
                <c:pt idx="4">
                  <c:v>Sundhed og Omsorg</c:v>
                </c:pt>
                <c:pt idx="5">
                  <c:v>Teknik og Miljø</c:v>
                </c:pt>
                <c:pt idx="6">
                  <c:v>Århus Vand AS</c:v>
                </c:pt>
                <c:pt idx="7">
                  <c:v>Busselskabet Aarhus Sporveje (Midttrafik)</c:v>
                </c:pt>
              </c:strCache>
            </c:strRef>
          </c:cat>
          <c:val>
            <c:numRef>
              <c:f>'Egne grafer'!$C$51:$C$58</c:f>
              <c:numCache>
                <c:formatCode>#,##0</c:formatCode>
                <c:ptCount val="8"/>
                <c:pt idx="0">
                  <c:v>0</c:v>
                </c:pt>
                <c:pt idx="1">
                  <c:v>21474.704000000002</c:v>
                </c:pt>
                <c:pt idx="2">
                  <c:v>12114.216</c:v>
                </c:pt>
                <c:pt idx="3">
                  <c:v>4548.2619999999997</c:v>
                </c:pt>
                <c:pt idx="4">
                  <c:v>12749.825999999999</c:v>
                </c:pt>
                <c:pt idx="5">
                  <c:v>67830.987999999998</c:v>
                </c:pt>
                <c:pt idx="6">
                  <c:v>26344.765460000002</c:v>
                </c:pt>
                <c:pt idx="7">
                  <c:v>848.11800000000005</c:v>
                </c:pt>
              </c:numCache>
            </c:numRef>
          </c:val>
        </c:ser>
        <c:axId val="81058816"/>
        <c:axId val="81064704"/>
      </c:barChart>
      <c:catAx>
        <c:axId val="81058816"/>
        <c:scaling>
          <c:orientation val="minMax"/>
        </c:scaling>
        <c:axPos val="l"/>
        <c:numFmt formatCode="General" sourceLinked="1"/>
        <c:tickLblPos val="nextTo"/>
        <c:crossAx val="81064704"/>
        <c:crosses val="autoZero"/>
        <c:auto val="1"/>
        <c:lblAlgn val="ctr"/>
        <c:lblOffset val="100"/>
      </c:catAx>
      <c:valAx>
        <c:axId val="8106470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MWh</a:t>
                </a:r>
              </a:p>
            </c:rich>
          </c:tx>
          <c:layout/>
        </c:title>
        <c:numFmt formatCode="#,##0" sourceLinked="0"/>
        <c:tickLblPos val="nextTo"/>
        <c:crossAx val="81058816"/>
        <c:crosses val="autoZero"/>
        <c:crossBetween val="between"/>
      </c:valAx>
    </c:plotArea>
    <c:plotVisOnly val="1"/>
    <c:dispBlanksAs val="gap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en-US"/>
              <a:t>MWh varmeforbrug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'Egne grafer'!$C$73</c:f>
              <c:strCache>
                <c:ptCount val="1"/>
                <c:pt idx="0">
                  <c:v>Varmeforbrug MWh</c:v>
                </c:pt>
              </c:strCache>
            </c:strRef>
          </c:tx>
          <c:cat>
            <c:strRef>
              <c:f>'Egne grafer'!$B$74:$B$81</c:f>
              <c:strCache>
                <c:ptCount val="8"/>
                <c:pt idx="0">
                  <c:v>Borgmesterens afdeling</c:v>
                </c:pt>
                <c:pt idx="1">
                  <c:v>Børn og Unge</c:v>
                </c:pt>
                <c:pt idx="2">
                  <c:v>Kultur og Borgerservice</c:v>
                </c:pt>
                <c:pt idx="3">
                  <c:v>Social og Beskæftigelse</c:v>
                </c:pt>
                <c:pt idx="4">
                  <c:v>Sundhed og Omsorg</c:v>
                </c:pt>
                <c:pt idx="5">
                  <c:v>Teknik og Miljø</c:v>
                </c:pt>
                <c:pt idx="6">
                  <c:v>Århus Vand AS</c:v>
                </c:pt>
                <c:pt idx="7">
                  <c:v>Busselskabet Aarhus Sporveje (Midttrafik)</c:v>
                </c:pt>
              </c:strCache>
            </c:strRef>
          </c:cat>
          <c:val>
            <c:numRef>
              <c:f>'Egne grafer'!$C$74:$C$81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2235.491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6023808"/>
        <c:axId val="66025344"/>
      </c:barChart>
      <c:catAx>
        <c:axId val="66023808"/>
        <c:scaling>
          <c:orientation val="minMax"/>
        </c:scaling>
        <c:axPos val="l"/>
        <c:numFmt formatCode="General" sourceLinked="1"/>
        <c:tickLblPos val="nextTo"/>
        <c:crossAx val="66025344"/>
        <c:crosses val="autoZero"/>
        <c:auto val="1"/>
        <c:lblAlgn val="ctr"/>
        <c:lblOffset val="100"/>
      </c:catAx>
      <c:valAx>
        <c:axId val="6602534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MWh</a:t>
                </a:r>
              </a:p>
            </c:rich>
          </c:tx>
          <c:layout/>
        </c:title>
        <c:numFmt formatCode="#,##0" sourceLinked="0"/>
        <c:tickLblPos val="nextTo"/>
        <c:crossAx val="66023808"/>
        <c:crosses val="autoZero"/>
        <c:crossBetween val="between"/>
      </c:valAx>
    </c:plotArea>
    <c:plotVisOnly val="1"/>
    <c:dispBlanksAs val="gap"/>
  </c:chart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19050</xdr:rowOff>
    </xdr:from>
    <xdr:to>
      <xdr:col>13</xdr:col>
      <xdr:colOff>76200</xdr:colOff>
      <xdr:row>21</xdr:row>
      <xdr:rowOff>133350</xdr:rowOff>
    </xdr:to>
    <xdr:graphicFrame macro="">
      <xdr:nvGraphicFramePr>
        <xdr:cNvPr id="102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22</xdr:row>
      <xdr:rowOff>152400</xdr:rowOff>
    </xdr:from>
    <xdr:to>
      <xdr:col>12</xdr:col>
      <xdr:colOff>85725</xdr:colOff>
      <xdr:row>41</xdr:row>
      <xdr:rowOff>95250</xdr:rowOff>
    </xdr:to>
    <xdr:graphicFrame macro="">
      <xdr:nvGraphicFramePr>
        <xdr:cNvPr id="102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44</xdr:row>
      <xdr:rowOff>152400</xdr:rowOff>
    </xdr:from>
    <xdr:to>
      <xdr:col>15</xdr:col>
      <xdr:colOff>542925</xdr:colOff>
      <xdr:row>66</xdr:row>
      <xdr:rowOff>19050</xdr:rowOff>
    </xdr:to>
    <xdr:graphicFrame macro="">
      <xdr:nvGraphicFramePr>
        <xdr:cNvPr id="1024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28575</xdr:colOff>
      <xdr:row>71</xdr:row>
      <xdr:rowOff>142875</xdr:rowOff>
    </xdr:from>
    <xdr:to>
      <xdr:col>15</xdr:col>
      <xdr:colOff>647700</xdr:colOff>
      <xdr:row>93</xdr:row>
      <xdr:rowOff>85725</xdr:rowOff>
    </xdr:to>
    <xdr:graphicFrame macro="">
      <xdr:nvGraphicFramePr>
        <xdr:cNvPr id="1024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685800</xdr:colOff>
      <xdr:row>97</xdr:row>
      <xdr:rowOff>123825</xdr:rowOff>
    </xdr:from>
    <xdr:to>
      <xdr:col>15</xdr:col>
      <xdr:colOff>619125</xdr:colOff>
      <xdr:row>119</xdr:row>
      <xdr:rowOff>152400</xdr:rowOff>
    </xdr:to>
    <xdr:graphicFrame macro="">
      <xdr:nvGraphicFramePr>
        <xdr:cNvPr id="1024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14</xdr:col>
      <xdr:colOff>66675</xdr:colOff>
      <xdr:row>29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31</xdr:row>
      <xdr:rowOff>19050</xdr:rowOff>
    </xdr:from>
    <xdr:to>
      <xdr:col>12</xdr:col>
      <xdr:colOff>453606</xdr:colOff>
      <xdr:row>46</xdr:row>
      <xdr:rowOff>38100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48</xdr:row>
      <xdr:rowOff>0</xdr:rowOff>
    </xdr:from>
    <xdr:to>
      <xdr:col>15</xdr:col>
      <xdr:colOff>457200</xdr:colOff>
      <xdr:row>70</xdr:row>
      <xdr:rowOff>57150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72</xdr:row>
      <xdr:rowOff>0</xdr:rowOff>
    </xdr:from>
    <xdr:to>
      <xdr:col>15</xdr:col>
      <xdr:colOff>457200</xdr:colOff>
      <xdr:row>94</xdr:row>
      <xdr:rowOff>57150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98</xdr:row>
      <xdr:rowOff>0</xdr:rowOff>
    </xdr:from>
    <xdr:to>
      <xdr:col>15</xdr:col>
      <xdr:colOff>457200</xdr:colOff>
      <xdr:row>121</xdr:row>
      <xdr:rowOff>47625</xdr:rowOff>
    </xdr:to>
    <xdr:graphicFrame macro="">
      <xdr:nvGraphicFramePr>
        <xdr:cNvPr id="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504825</xdr:colOff>
      <xdr:row>125</xdr:row>
      <xdr:rowOff>171450</xdr:rowOff>
    </xdr:from>
    <xdr:to>
      <xdr:col>15</xdr:col>
      <xdr:colOff>257175</xdr:colOff>
      <xdr:row>147</xdr:row>
      <xdr:rowOff>9525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82826</xdr:colOff>
      <xdr:row>64</xdr:row>
      <xdr:rowOff>0</xdr:rowOff>
    </xdr:from>
    <xdr:to>
      <xdr:col>4</xdr:col>
      <xdr:colOff>679174</xdr:colOff>
      <xdr:row>69</xdr:row>
      <xdr:rowOff>0</xdr:rowOff>
    </xdr:to>
    <xdr:sp macro="" textlink="">
      <xdr:nvSpPr>
        <xdr:cNvPr id="2" name="Right Brace 1"/>
        <xdr:cNvSpPr/>
      </xdr:nvSpPr>
      <xdr:spPr>
        <a:xfrm>
          <a:off x="6626087" y="8953500"/>
          <a:ext cx="596348" cy="119269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4</xdr:col>
      <xdr:colOff>91109</xdr:colOff>
      <xdr:row>69</xdr:row>
      <xdr:rowOff>8282</xdr:rowOff>
    </xdr:from>
    <xdr:to>
      <xdr:col>4</xdr:col>
      <xdr:colOff>662609</xdr:colOff>
      <xdr:row>80</xdr:row>
      <xdr:rowOff>173934</xdr:rowOff>
    </xdr:to>
    <xdr:sp macro="" textlink="">
      <xdr:nvSpPr>
        <xdr:cNvPr id="3" name="Right Brace 2"/>
        <xdr:cNvSpPr/>
      </xdr:nvSpPr>
      <xdr:spPr>
        <a:xfrm>
          <a:off x="6634370" y="10154478"/>
          <a:ext cx="571500" cy="2178326"/>
        </a:xfrm>
        <a:prstGeom prst="rightBrace">
          <a:avLst>
            <a:gd name="adj1" fmla="val 8333"/>
            <a:gd name="adj2" fmla="val 4699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4</xdr:col>
      <xdr:colOff>91109</xdr:colOff>
      <xdr:row>80</xdr:row>
      <xdr:rowOff>173934</xdr:rowOff>
    </xdr:from>
    <xdr:to>
      <xdr:col>4</xdr:col>
      <xdr:colOff>670891</xdr:colOff>
      <xdr:row>85</xdr:row>
      <xdr:rowOff>8282</xdr:rowOff>
    </xdr:to>
    <xdr:sp macro="" textlink="">
      <xdr:nvSpPr>
        <xdr:cNvPr id="4" name="Right Brace 3"/>
        <xdr:cNvSpPr/>
      </xdr:nvSpPr>
      <xdr:spPr>
        <a:xfrm>
          <a:off x="6634370" y="12332804"/>
          <a:ext cx="579782" cy="745435"/>
        </a:xfrm>
        <a:prstGeom prst="rightBrace">
          <a:avLst>
            <a:gd name="adj1" fmla="val 8333"/>
            <a:gd name="adj2" fmla="val 44048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4</xdr:col>
      <xdr:colOff>8282</xdr:colOff>
      <xdr:row>88</xdr:row>
      <xdr:rowOff>1</xdr:rowOff>
    </xdr:from>
    <xdr:to>
      <xdr:col>5</xdr:col>
      <xdr:colOff>0</xdr:colOff>
      <xdr:row>93</xdr:row>
      <xdr:rowOff>8284</xdr:rowOff>
    </xdr:to>
    <xdr:sp macro="" textlink="">
      <xdr:nvSpPr>
        <xdr:cNvPr id="6" name="Right Brace 5"/>
        <xdr:cNvSpPr/>
      </xdr:nvSpPr>
      <xdr:spPr>
        <a:xfrm>
          <a:off x="6551543" y="13434392"/>
          <a:ext cx="679174" cy="1325218"/>
        </a:xfrm>
        <a:prstGeom prst="rightBrace">
          <a:avLst>
            <a:gd name="adj1" fmla="val 8333"/>
            <a:gd name="adj2" fmla="val 414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4</xdr:col>
      <xdr:colOff>8282</xdr:colOff>
      <xdr:row>93</xdr:row>
      <xdr:rowOff>24848</xdr:rowOff>
    </xdr:from>
    <xdr:to>
      <xdr:col>5</xdr:col>
      <xdr:colOff>0</xdr:colOff>
      <xdr:row>98</xdr:row>
      <xdr:rowOff>0</xdr:rowOff>
    </xdr:to>
    <xdr:sp macro="" textlink="">
      <xdr:nvSpPr>
        <xdr:cNvPr id="7" name="Right Brace 6"/>
        <xdr:cNvSpPr/>
      </xdr:nvSpPr>
      <xdr:spPr>
        <a:xfrm>
          <a:off x="6551543" y="14784457"/>
          <a:ext cx="679174" cy="131693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3</xdr:col>
      <xdr:colOff>1118152</xdr:colOff>
      <xdr:row>98</xdr:row>
      <xdr:rowOff>8283</xdr:rowOff>
    </xdr:from>
    <xdr:to>
      <xdr:col>5</xdr:col>
      <xdr:colOff>0</xdr:colOff>
      <xdr:row>104</xdr:row>
      <xdr:rowOff>8284</xdr:rowOff>
    </xdr:to>
    <xdr:sp macro="" textlink="">
      <xdr:nvSpPr>
        <xdr:cNvPr id="8" name="Right Brace 7"/>
        <xdr:cNvSpPr/>
      </xdr:nvSpPr>
      <xdr:spPr>
        <a:xfrm>
          <a:off x="6534978" y="16101392"/>
          <a:ext cx="695739" cy="1275522"/>
        </a:xfrm>
        <a:prstGeom prst="rightBrace">
          <a:avLst>
            <a:gd name="adj1" fmla="val 8333"/>
            <a:gd name="adj2" fmla="val 414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4</xdr:col>
      <xdr:colOff>41413</xdr:colOff>
      <xdr:row>28</xdr:row>
      <xdr:rowOff>173935</xdr:rowOff>
    </xdr:from>
    <xdr:to>
      <xdr:col>5</xdr:col>
      <xdr:colOff>0</xdr:colOff>
      <xdr:row>29</xdr:row>
      <xdr:rowOff>314740</xdr:rowOff>
    </xdr:to>
    <xdr:sp macro="" textlink="">
      <xdr:nvSpPr>
        <xdr:cNvPr id="9" name="Right Brace 8"/>
        <xdr:cNvSpPr/>
      </xdr:nvSpPr>
      <xdr:spPr>
        <a:xfrm>
          <a:off x="6584674" y="7603435"/>
          <a:ext cx="662609" cy="32302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4</xdr:col>
      <xdr:colOff>16565</xdr:colOff>
      <xdr:row>30</xdr:row>
      <xdr:rowOff>24848</xdr:rowOff>
    </xdr:from>
    <xdr:to>
      <xdr:col>5</xdr:col>
      <xdr:colOff>16565</xdr:colOff>
      <xdr:row>35</xdr:row>
      <xdr:rowOff>0</xdr:rowOff>
    </xdr:to>
    <xdr:sp macro="" textlink="">
      <xdr:nvSpPr>
        <xdr:cNvPr id="10" name="Right Brace 9"/>
        <xdr:cNvSpPr/>
      </xdr:nvSpPr>
      <xdr:spPr>
        <a:xfrm>
          <a:off x="6559826" y="7959587"/>
          <a:ext cx="704022" cy="1027043"/>
        </a:xfrm>
        <a:prstGeom prst="rightBrace">
          <a:avLst>
            <a:gd name="adj1" fmla="val 8333"/>
            <a:gd name="adj2" fmla="val 43548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4</xdr:col>
      <xdr:colOff>24848</xdr:colOff>
      <xdr:row>35</xdr:row>
      <xdr:rowOff>0</xdr:rowOff>
    </xdr:from>
    <xdr:to>
      <xdr:col>4</xdr:col>
      <xdr:colOff>679174</xdr:colOff>
      <xdr:row>37</xdr:row>
      <xdr:rowOff>8282</xdr:rowOff>
    </xdr:to>
    <xdr:sp macro="" textlink="">
      <xdr:nvSpPr>
        <xdr:cNvPr id="11" name="Right Brace 10"/>
        <xdr:cNvSpPr/>
      </xdr:nvSpPr>
      <xdr:spPr>
        <a:xfrm>
          <a:off x="6568109" y="8986630"/>
          <a:ext cx="654326" cy="679174"/>
        </a:xfrm>
        <a:prstGeom prst="rightBrace">
          <a:avLst>
            <a:gd name="adj1" fmla="val 8333"/>
            <a:gd name="adj2" fmla="val 5975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4</xdr:col>
      <xdr:colOff>41413</xdr:colOff>
      <xdr:row>39</xdr:row>
      <xdr:rowOff>173935</xdr:rowOff>
    </xdr:from>
    <xdr:to>
      <xdr:col>5</xdr:col>
      <xdr:colOff>0</xdr:colOff>
      <xdr:row>40</xdr:row>
      <xdr:rowOff>314740</xdr:rowOff>
    </xdr:to>
    <xdr:sp macro="" textlink="">
      <xdr:nvSpPr>
        <xdr:cNvPr id="12" name="Right Brace 11"/>
        <xdr:cNvSpPr/>
      </xdr:nvSpPr>
      <xdr:spPr>
        <a:xfrm>
          <a:off x="6584674" y="7603435"/>
          <a:ext cx="662609" cy="32302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4</xdr:col>
      <xdr:colOff>16565</xdr:colOff>
      <xdr:row>41</xdr:row>
      <xdr:rowOff>16565</xdr:rowOff>
    </xdr:from>
    <xdr:to>
      <xdr:col>5</xdr:col>
      <xdr:colOff>0</xdr:colOff>
      <xdr:row>43</xdr:row>
      <xdr:rowOff>173935</xdr:rowOff>
    </xdr:to>
    <xdr:sp macro="" textlink="">
      <xdr:nvSpPr>
        <xdr:cNvPr id="13" name="Right Brace 12"/>
        <xdr:cNvSpPr/>
      </xdr:nvSpPr>
      <xdr:spPr>
        <a:xfrm>
          <a:off x="6559826" y="10552043"/>
          <a:ext cx="687457" cy="52180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4</xdr:col>
      <xdr:colOff>33130</xdr:colOff>
      <xdr:row>44</xdr:row>
      <xdr:rowOff>24848</xdr:rowOff>
    </xdr:from>
    <xdr:to>
      <xdr:col>5</xdr:col>
      <xdr:colOff>8282</xdr:colOff>
      <xdr:row>44</xdr:row>
      <xdr:rowOff>314740</xdr:rowOff>
    </xdr:to>
    <xdr:sp macro="" textlink="">
      <xdr:nvSpPr>
        <xdr:cNvPr id="14" name="Right Brace 13"/>
        <xdr:cNvSpPr/>
      </xdr:nvSpPr>
      <xdr:spPr>
        <a:xfrm>
          <a:off x="6576391" y="11106978"/>
          <a:ext cx="679174" cy="28989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4</xdr:col>
      <xdr:colOff>0</xdr:colOff>
      <xdr:row>47</xdr:row>
      <xdr:rowOff>173935</xdr:rowOff>
    </xdr:from>
    <xdr:to>
      <xdr:col>5</xdr:col>
      <xdr:colOff>8282</xdr:colOff>
      <xdr:row>49</xdr:row>
      <xdr:rowOff>0</xdr:rowOff>
    </xdr:to>
    <xdr:sp macro="" textlink="">
      <xdr:nvSpPr>
        <xdr:cNvPr id="15" name="Right Brace 14"/>
        <xdr:cNvSpPr/>
      </xdr:nvSpPr>
      <xdr:spPr>
        <a:xfrm>
          <a:off x="6642652" y="11943522"/>
          <a:ext cx="712304" cy="190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3</xdr:col>
      <xdr:colOff>1209261</xdr:colOff>
      <xdr:row>49</xdr:row>
      <xdr:rowOff>8282</xdr:rowOff>
    </xdr:from>
    <xdr:to>
      <xdr:col>4</xdr:col>
      <xdr:colOff>695739</xdr:colOff>
      <xdr:row>57</xdr:row>
      <xdr:rowOff>165652</xdr:rowOff>
    </xdr:to>
    <xdr:sp macro="" textlink="">
      <xdr:nvSpPr>
        <xdr:cNvPr id="16" name="Right Brace 15"/>
        <xdr:cNvSpPr/>
      </xdr:nvSpPr>
      <xdr:spPr>
        <a:xfrm>
          <a:off x="6626087" y="12142304"/>
          <a:ext cx="712304" cy="161510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4</xdr:col>
      <xdr:colOff>8283</xdr:colOff>
      <xdr:row>57</xdr:row>
      <xdr:rowOff>165652</xdr:rowOff>
    </xdr:from>
    <xdr:to>
      <xdr:col>4</xdr:col>
      <xdr:colOff>687457</xdr:colOff>
      <xdr:row>60</xdr:row>
      <xdr:rowOff>165652</xdr:rowOff>
    </xdr:to>
    <xdr:sp macro="" textlink="">
      <xdr:nvSpPr>
        <xdr:cNvPr id="17" name="Right Brace 16"/>
        <xdr:cNvSpPr/>
      </xdr:nvSpPr>
      <xdr:spPr>
        <a:xfrm>
          <a:off x="6650935" y="13757413"/>
          <a:ext cx="679174" cy="54665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4</xdr:col>
      <xdr:colOff>33130</xdr:colOff>
      <xdr:row>44</xdr:row>
      <xdr:rowOff>24848</xdr:rowOff>
    </xdr:from>
    <xdr:to>
      <xdr:col>5</xdr:col>
      <xdr:colOff>8282</xdr:colOff>
      <xdr:row>44</xdr:row>
      <xdr:rowOff>314740</xdr:rowOff>
    </xdr:to>
    <xdr:sp macro="" textlink="">
      <xdr:nvSpPr>
        <xdr:cNvPr id="19" name="Right Brace 18"/>
        <xdr:cNvSpPr/>
      </xdr:nvSpPr>
      <xdr:spPr>
        <a:xfrm>
          <a:off x="6675782" y="11106978"/>
          <a:ext cx="679174" cy="28989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8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mailto:jl@busselskabet.dk" TargetMode="External"/><Relationship Id="rId13" Type="http://schemas.openxmlformats.org/officeDocument/2006/relationships/vmlDrawing" Target="../drawings/vmlDrawing19.vml"/><Relationship Id="rId3" Type="http://schemas.openxmlformats.org/officeDocument/2006/relationships/hyperlink" Target="mailto:ed@aarhus.dk" TargetMode="External"/><Relationship Id="rId7" Type="http://schemas.openxmlformats.org/officeDocument/2006/relationships/hyperlink" Target="mailto:lp@busselskabet.dk" TargetMode="External"/><Relationship Id="rId12" Type="http://schemas.openxmlformats.org/officeDocument/2006/relationships/hyperlink" Target="mailto:hlh@aarhus" TargetMode="External"/><Relationship Id="rId2" Type="http://schemas.openxmlformats.org/officeDocument/2006/relationships/hyperlink" Target="mailto:jora@aarhus.dk" TargetMode="External"/><Relationship Id="rId1" Type="http://schemas.openxmlformats.org/officeDocument/2006/relationships/hyperlink" Target="mailto:pepa@aarhus.dk" TargetMode="External"/><Relationship Id="rId6" Type="http://schemas.openxmlformats.org/officeDocument/2006/relationships/hyperlink" Target="mailto:pop@aarhusvand.dk" TargetMode="External"/><Relationship Id="rId11" Type="http://schemas.openxmlformats.org/officeDocument/2006/relationships/hyperlink" Target="mailto:hakr@aarhus.dk" TargetMode="External"/><Relationship Id="rId5" Type="http://schemas.openxmlformats.org/officeDocument/2006/relationships/hyperlink" Target="mailto:ansor@aarhus.dk" TargetMode="External"/><Relationship Id="rId10" Type="http://schemas.openxmlformats.org/officeDocument/2006/relationships/hyperlink" Target="mailto:pja@aarhusvand.dk" TargetMode="External"/><Relationship Id="rId4" Type="http://schemas.openxmlformats.org/officeDocument/2006/relationships/hyperlink" Target="mailto:fvp@aarhus.dk" TargetMode="External"/><Relationship Id="rId9" Type="http://schemas.openxmlformats.org/officeDocument/2006/relationships/hyperlink" Target="mailto:pkr@port.aarhus.dk" TargetMode="External"/><Relationship Id="rId14" Type="http://schemas.openxmlformats.org/officeDocument/2006/relationships/comments" Target="../comments1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J26"/>
  <sheetViews>
    <sheetView showGridLines="0" workbookViewId="0">
      <selection activeCell="G29" sqref="G29"/>
    </sheetView>
  </sheetViews>
  <sheetFormatPr defaultRowHeight="14.25"/>
  <sheetData>
    <row r="8" spans="3:10" ht="45">
      <c r="C8" s="90" t="s">
        <v>336</v>
      </c>
      <c r="D8" s="91"/>
      <c r="E8" s="91"/>
      <c r="F8" s="91"/>
      <c r="G8" s="91"/>
      <c r="H8" s="91"/>
      <c r="I8" s="91"/>
      <c r="J8" s="92"/>
    </row>
    <row r="9" spans="3:10">
      <c r="C9" s="93"/>
      <c r="D9" s="94"/>
      <c r="E9" s="94"/>
      <c r="F9" s="94"/>
      <c r="G9" s="94"/>
      <c r="H9" s="94"/>
      <c r="I9" s="94"/>
      <c r="J9" s="95"/>
    </row>
    <row r="10" spans="3:10">
      <c r="C10" s="93" t="s">
        <v>346</v>
      </c>
      <c r="D10" s="94"/>
      <c r="E10" s="94"/>
      <c r="F10" s="94"/>
      <c r="G10" s="94"/>
      <c r="H10" s="94"/>
      <c r="I10" s="94"/>
      <c r="J10" s="95"/>
    </row>
    <row r="11" spans="3:10">
      <c r="C11" s="93"/>
      <c r="D11" s="94"/>
      <c r="E11" s="94"/>
      <c r="F11" s="94"/>
      <c r="G11" s="94"/>
      <c r="H11" s="94"/>
      <c r="I11" s="94"/>
      <c r="J11" s="95"/>
    </row>
    <row r="12" spans="3:10">
      <c r="C12" s="93"/>
      <c r="D12" s="94"/>
      <c r="E12" s="94"/>
      <c r="F12" s="94"/>
      <c r="G12" s="94"/>
      <c r="H12" s="94"/>
      <c r="I12" s="94"/>
      <c r="J12" s="95"/>
    </row>
    <row r="13" spans="3:10" ht="30">
      <c r="C13" s="96" t="s">
        <v>337</v>
      </c>
      <c r="D13" s="94"/>
      <c r="E13" s="94"/>
      <c r="F13" s="94"/>
      <c r="G13" s="94"/>
      <c r="H13" s="94"/>
      <c r="I13" s="94"/>
      <c r="J13" s="95"/>
    </row>
    <row r="14" spans="3:10">
      <c r="C14" s="93"/>
      <c r="D14" s="94"/>
      <c r="E14" s="94"/>
      <c r="F14" s="94"/>
      <c r="G14" s="94"/>
      <c r="H14" s="94"/>
      <c r="I14" s="94"/>
      <c r="J14" s="95"/>
    </row>
    <row r="15" spans="3:10">
      <c r="C15" s="93"/>
      <c r="D15" s="94"/>
      <c r="E15" s="94"/>
      <c r="F15" s="94"/>
      <c r="G15" s="94"/>
      <c r="H15" s="94"/>
      <c r="I15" s="94"/>
      <c r="J15" s="95"/>
    </row>
    <row r="16" spans="3:10">
      <c r="C16" s="93"/>
      <c r="D16" s="94"/>
      <c r="E16" s="94"/>
      <c r="F16" s="94"/>
      <c r="G16" s="94"/>
      <c r="H16" s="94"/>
      <c r="I16" s="94"/>
      <c r="J16" s="95"/>
    </row>
    <row r="17" spans="3:10">
      <c r="C17" s="93"/>
      <c r="D17" s="94"/>
      <c r="E17" s="94"/>
      <c r="F17" s="94"/>
      <c r="G17" s="94"/>
      <c r="H17" s="94"/>
      <c r="I17" s="94"/>
      <c r="J17" s="95"/>
    </row>
    <row r="18" spans="3:10">
      <c r="C18" s="93"/>
      <c r="D18" s="94"/>
      <c r="E18" s="94"/>
      <c r="F18" s="94"/>
      <c r="G18" s="94"/>
      <c r="H18" s="94"/>
      <c r="I18" s="94"/>
      <c r="J18" s="95"/>
    </row>
    <row r="19" spans="3:10">
      <c r="C19" s="93"/>
      <c r="D19" s="94"/>
      <c r="E19" s="94"/>
      <c r="F19" s="94"/>
      <c r="G19" s="94"/>
      <c r="H19" s="94"/>
      <c r="I19" s="94"/>
      <c r="J19" s="95"/>
    </row>
    <row r="20" spans="3:10">
      <c r="C20" s="93" t="s">
        <v>338</v>
      </c>
      <c r="D20" s="94"/>
      <c r="E20" s="94"/>
      <c r="F20" s="94"/>
      <c r="G20" s="94"/>
      <c r="H20" s="94"/>
      <c r="I20" s="94"/>
      <c r="J20" s="95"/>
    </row>
    <row r="21" spans="3:10">
      <c r="C21" s="93" t="s">
        <v>339</v>
      </c>
      <c r="D21" s="94"/>
      <c r="E21" s="94"/>
      <c r="F21" s="94"/>
      <c r="G21" s="94"/>
      <c r="H21" s="94"/>
      <c r="I21" s="94"/>
      <c r="J21" s="95"/>
    </row>
    <row r="22" spans="3:10">
      <c r="C22" s="93"/>
      <c r="D22" s="94"/>
      <c r="E22" s="94"/>
      <c r="F22" s="94"/>
      <c r="G22" s="94"/>
      <c r="H22" s="94"/>
      <c r="I22" s="94"/>
      <c r="J22" s="95"/>
    </row>
    <row r="23" spans="3:10">
      <c r="C23" s="93" t="s">
        <v>340</v>
      </c>
      <c r="D23" s="94"/>
      <c r="E23" s="94"/>
      <c r="F23" s="94"/>
      <c r="G23" s="94"/>
      <c r="H23" s="94"/>
      <c r="I23" s="94"/>
      <c r="J23" s="95"/>
    </row>
    <row r="24" spans="3:10">
      <c r="C24" s="93" t="s">
        <v>341</v>
      </c>
      <c r="D24" s="94"/>
      <c r="E24" s="94"/>
      <c r="F24" s="94"/>
      <c r="G24" s="94"/>
      <c r="H24" s="94"/>
      <c r="I24" s="94"/>
      <c r="J24" s="95"/>
    </row>
    <row r="25" spans="3:10">
      <c r="C25" s="93" t="s">
        <v>342</v>
      </c>
      <c r="D25" s="94"/>
      <c r="E25" s="94"/>
      <c r="F25" s="94"/>
      <c r="G25" s="94"/>
      <c r="H25" s="94"/>
      <c r="I25" s="94"/>
      <c r="J25" s="95"/>
    </row>
    <row r="26" spans="3:10">
      <c r="C26" s="97" t="s">
        <v>343</v>
      </c>
      <c r="D26" s="98"/>
      <c r="E26" s="98"/>
      <c r="F26" s="98"/>
      <c r="G26" s="98"/>
      <c r="H26" s="98"/>
      <c r="I26" s="98"/>
      <c r="J26" s="99"/>
    </row>
  </sheetData>
  <sheetProtection password="DA0D" sheet="1" objects="1" scenarios="1"/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showGridLines="0" workbookViewId="0">
      <selection activeCell="E30" sqref="E30"/>
    </sheetView>
  </sheetViews>
  <sheetFormatPr defaultRowHeight="14.25"/>
  <cols>
    <col min="1" max="1" width="30.75" bestFit="1" customWidth="1"/>
    <col min="2" max="2" width="26.25" customWidth="1"/>
    <col min="3" max="3" width="13.375" customWidth="1"/>
    <col min="4" max="4" width="12.375" hidden="1" customWidth="1"/>
    <col min="5" max="5" width="11.875" customWidth="1"/>
    <col min="6" max="7" width="11.75" customWidth="1"/>
  </cols>
  <sheetData>
    <row r="1" spans="1:15" ht="57">
      <c r="A1" s="143" t="s">
        <v>125</v>
      </c>
      <c r="B1" s="144"/>
      <c r="C1" s="11" t="s">
        <v>76</v>
      </c>
      <c r="D1" s="6"/>
      <c r="E1" s="12" t="s">
        <v>77</v>
      </c>
      <c r="F1" s="7" t="s">
        <v>36</v>
      </c>
    </row>
    <row r="2" spans="1:15" ht="15">
      <c r="A2" s="14" t="s">
        <v>78</v>
      </c>
      <c r="B2" s="145" t="s">
        <v>24</v>
      </c>
      <c r="C2" s="146"/>
      <c r="D2" s="147"/>
      <c r="E2" s="4">
        <f>Konversionsfaktorer!C2</f>
        <v>2011</v>
      </c>
      <c r="F2" s="4"/>
    </row>
    <row r="3" spans="1:15">
      <c r="A3" s="9"/>
      <c r="B3" s="145" t="s">
        <v>79</v>
      </c>
      <c r="C3" s="146"/>
      <c r="D3" s="147"/>
      <c r="E3" s="4" t="str">
        <f ca="1">MID(CELL("filename",E3),FIND("]",CELL("filename",E3))+1,99)</f>
        <v>AffaldVarme Århus</v>
      </c>
      <c r="F3" s="4"/>
    </row>
    <row r="4" spans="1:15">
      <c r="A4" s="6"/>
      <c r="B4" s="6"/>
      <c r="C4" s="6"/>
      <c r="D4" s="6"/>
      <c r="E4" s="6"/>
      <c r="F4" s="24"/>
    </row>
    <row r="5" spans="1:15" ht="15">
      <c r="A5" s="14" t="s">
        <v>25</v>
      </c>
      <c r="B5" s="4" t="s">
        <v>26</v>
      </c>
      <c r="C5" s="4" t="s">
        <v>48</v>
      </c>
      <c r="D5" s="4" t="str">
        <f>C5</f>
        <v>kWh (el)</v>
      </c>
      <c r="E5" s="101"/>
      <c r="F5" s="61">
        <f>E5*INDEX(Konversionsfaktorer!C$5:C$21,MATCH(D5,Konversionsfaktorer!A$5:A$21,0))</f>
        <v>0</v>
      </c>
      <c r="H5" s="70" t="s">
        <v>315</v>
      </c>
      <c r="I5" s="71"/>
      <c r="J5" s="71"/>
      <c r="K5" s="71"/>
      <c r="L5" s="71"/>
      <c r="M5" s="71"/>
      <c r="N5" s="71"/>
      <c r="O5" s="72"/>
    </row>
    <row r="6" spans="1:15" ht="15">
      <c r="A6" s="9"/>
      <c r="B6" s="4" t="s">
        <v>28</v>
      </c>
      <c r="C6" s="4" t="s">
        <v>48</v>
      </c>
      <c r="D6" s="4" t="str">
        <f>C6</f>
        <v>kWh (el)</v>
      </c>
      <c r="E6" s="101">
        <f>70000+2000+145000+18725000+5854020+11863000+7086000</f>
        <v>43745020</v>
      </c>
      <c r="F6" s="61">
        <f>E6*INDEX(Konversionsfaktorer!C$5:C$21,MATCH(D6,Konversionsfaktorer!A$5:A$21,0))</f>
        <v>19466.533899999999</v>
      </c>
      <c r="H6" s="73"/>
      <c r="I6" s="74"/>
      <c r="J6" s="74"/>
      <c r="K6" s="74"/>
      <c r="L6" s="74"/>
      <c r="M6" s="74"/>
      <c r="N6" s="74"/>
      <c r="O6" s="24"/>
    </row>
    <row r="7" spans="1:15" ht="15">
      <c r="A7" s="9"/>
      <c r="B7" s="4" t="s">
        <v>98</v>
      </c>
      <c r="C7" s="4" t="s">
        <v>48</v>
      </c>
      <c r="D7" s="4" t="str">
        <f>C7</f>
        <v>kWh (el)</v>
      </c>
      <c r="E7" s="102"/>
      <c r="F7" s="61">
        <f>E7*INDEX(Konversionsfaktorer!C$5:C$21,MATCH(D7,Konversionsfaktorer!A$5:A$21,0))</f>
        <v>0</v>
      </c>
      <c r="H7" s="73" t="s">
        <v>316</v>
      </c>
      <c r="I7" s="74"/>
      <c r="J7" s="74"/>
      <c r="K7" s="74"/>
      <c r="L7" s="74"/>
      <c r="M7" s="74"/>
      <c r="N7" s="74"/>
      <c r="O7" s="24"/>
    </row>
    <row r="8" spans="1:15" ht="15" customHeight="1">
      <c r="A8" s="10"/>
      <c r="B8" s="4" t="s">
        <v>34</v>
      </c>
      <c r="C8" s="4" t="s">
        <v>48</v>
      </c>
      <c r="D8" s="4" t="str">
        <f>C8</f>
        <v>kWh (el)</v>
      </c>
      <c r="E8" s="101">
        <f>665492+60000+181876</f>
        <v>907368</v>
      </c>
      <c r="F8" s="61">
        <f>E8*INDEX(Konversionsfaktorer!C$5:C$21,MATCH(D8,Konversionsfaktorer!A$5:A$21,0))</f>
        <v>403.77875999999998</v>
      </c>
      <c r="H8" s="73"/>
      <c r="I8" s="74"/>
      <c r="J8" s="74"/>
      <c r="K8" s="74"/>
      <c r="L8" s="74"/>
      <c r="M8" s="74"/>
      <c r="N8" s="74"/>
      <c r="O8" s="24"/>
    </row>
    <row r="9" spans="1:15" ht="15">
      <c r="A9" s="8"/>
      <c r="B9" s="8"/>
      <c r="C9" s="6"/>
      <c r="D9" s="6"/>
      <c r="E9" s="103"/>
      <c r="F9" s="62"/>
      <c r="H9" s="149" t="s">
        <v>322</v>
      </c>
      <c r="I9" s="150"/>
      <c r="J9" s="150"/>
      <c r="K9" s="150"/>
      <c r="L9" s="150"/>
      <c r="M9" s="150"/>
      <c r="N9" s="150"/>
      <c r="O9" s="151"/>
    </row>
    <row r="10" spans="1:15" ht="15">
      <c r="A10" s="14" t="s">
        <v>33</v>
      </c>
      <c r="B10" s="4" t="s">
        <v>29</v>
      </c>
      <c r="C10" s="4" t="s">
        <v>49</v>
      </c>
      <c r="D10" s="4" t="str">
        <f>C10</f>
        <v>kWh (fv)</v>
      </c>
      <c r="E10" s="101">
        <f>351083+82000+13408+1789000</f>
        <v>2235491</v>
      </c>
      <c r="F10" s="61">
        <f>E10*INDEX(Konversionsfaktorer!C$5:C$21,MATCH(D10,Konversionsfaktorer!A$5:A$21,0))</f>
        <v>344.26561400000003</v>
      </c>
      <c r="H10" s="149"/>
      <c r="I10" s="150"/>
      <c r="J10" s="150"/>
      <c r="K10" s="150"/>
      <c r="L10" s="150"/>
      <c r="M10" s="150"/>
      <c r="N10" s="150"/>
      <c r="O10" s="151"/>
    </row>
    <row r="11" spans="1:15" ht="15">
      <c r="A11" s="9"/>
      <c r="B11" s="4" t="s">
        <v>35</v>
      </c>
      <c r="C11" s="4" t="s">
        <v>37</v>
      </c>
      <c r="D11" s="4" t="str">
        <f>B11&amp;" - "&amp;C11</f>
        <v>Fyringsolie - liter</v>
      </c>
      <c r="E11" s="101">
        <f>1606+104658</f>
        <v>106264</v>
      </c>
      <c r="F11" s="61">
        <f>E11*INDEX(Konversionsfaktorer!C$5:C$21,MATCH(D11,Konversionsfaktorer!A$5:A$21,0))</f>
        <v>282.66224</v>
      </c>
      <c r="H11" s="149"/>
      <c r="I11" s="150"/>
      <c r="J11" s="150"/>
      <c r="K11" s="150"/>
      <c r="L11" s="150"/>
      <c r="M11" s="150"/>
      <c r="N11" s="150"/>
      <c r="O11" s="151"/>
    </row>
    <row r="12" spans="1:15" ht="15">
      <c r="A12" s="9"/>
      <c r="B12" s="4" t="s">
        <v>54</v>
      </c>
      <c r="C12" s="4" t="s">
        <v>55</v>
      </c>
      <c r="D12" s="4" t="str">
        <f>B12&amp;" - "&amp;C12</f>
        <v>Naturgas - m3</v>
      </c>
      <c r="E12" s="101"/>
      <c r="F12" s="61">
        <f>E12*INDEX(Konversionsfaktorer!C$5:C$21,MATCH(D12,Konversionsfaktorer!A$5:A$21,0))</f>
        <v>0</v>
      </c>
      <c r="H12" s="149"/>
      <c r="I12" s="150"/>
      <c r="J12" s="150"/>
      <c r="K12" s="150"/>
      <c r="L12" s="150"/>
      <c r="M12" s="150"/>
      <c r="N12" s="150"/>
      <c r="O12" s="151"/>
    </row>
    <row r="13" spans="1:15" ht="15">
      <c r="A13" s="10"/>
      <c r="B13" s="4" t="s">
        <v>25</v>
      </c>
      <c r="C13" s="4" t="s">
        <v>48</v>
      </c>
      <c r="D13" s="4" t="str">
        <f>C13</f>
        <v>kWh (el)</v>
      </c>
      <c r="E13" s="101"/>
      <c r="F13" s="61">
        <f>E13*INDEX(Konversionsfaktorer!C$5:C$21,MATCH(D13,Konversionsfaktorer!A$5:A$21,0))</f>
        <v>0</v>
      </c>
      <c r="H13" s="170" t="s">
        <v>319</v>
      </c>
      <c r="I13" s="171"/>
      <c r="J13" s="171"/>
      <c r="K13" s="171"/>
      <c r="L13" s="171"/>
      <c r="M13" s="171"/>
      <c r="N13" s="171"/>
      <c r="O13" s="151"/>
    </row>
    <row r="14" spans="1:15" ht="15">
      <c r="A14" s="8"/>
      <c r="B14" s="8"/>
      <c r="C14" s="6"/>
      <c r="D14" s="6"/>
      <c r="E14" s="103"/>
      <c r="F14" s="62"/>
      <c r="H14" s="158"/>
      <c r="I14" s="172"/>
      <c r="J14" s="172"/>
      <c r="K14" s="172"/>
      <c r="L14" s="172"/>
      <c r="M14" s="172"/>
      <c r="N14" s="172"/>
      <c r="O14" s="151"/>
    </row>
    <row r="15" spans="1:15" ht="15">
      <c r="A15" s="15" t="s">
        <v>31</v>
      </c>
      <c r="B15" s="4" t="s">
        <v>27</v>
      </c>
      <c r="C15" s="83" t="s">
        <v>47</v>
      </c>
      <c r="D15" s="4" t="str">
        <f t="shared" ref="D15:D23" si="0">B15&amp;" - "&amp;C15</f>
        <v>Elbiler - km</v>
      </c>
      <c r="E15" s="101"/>
      <c r="F15" s="61">
        <f>E15*INDEX(Konversionsfaktorer!C$5:C$21,MATCH(D15,Konversionsfaktorer!A$5:A$21,0))</f>
        <v>0</v>
      </c>
      <c r="H15" s="158"/>
      <c r="I15" s="172"/>
      <c r="J15" s="172"/>
      <c r="K15" s="172"/>
      <c r="L15" s="172"/>
      <c r="M15" s="172"/>
      <c r="N15" s="172"/>
      <c r="O15" s="151"/>
    </row>
    <row r="16" spans="1:15" ht="15">
      <c r="A16" s="9"/>
      <c r="B16" s="4" t="s">
        <v>38</v>
      </c>
      <c r="C16" s="4" t="s">
        <v>47</v>
      </c>
      <c r="D16" s="4" t="str">
        <f t="shared" si="0"/>
        <v>Medarbejderkørsel - km</v>
      </c>
      <c r="E16" s="101"/>
      <c r="F16" s="61">
        <f>E16*INDEX(Konversionsfaktorer!C$5:C$21,MATCH(D16,Konversionsfaktorer!A$5:A$21,0))</f>
        <v>0</v>
      </c>
      <c r="H16" s="158"/>
      <c r="I16" s="172"/>
      <c r="J16" s="172"/>
      <c r="K16" s="172"/>
      <c r="L16" s="172"/>
      <c r="M16" s="172"/>
      <c r="N16" s="172"/>
      <c r="O16" s="151"/>
    </row>
    <row r="17" spans="1:15" ht="15">
      <c r="A17" s="9"/>
      <c r="B17" s="4" t="s">
        <v>57</v>
      </c>
      <c r="C17" s="4" t="s">
        <v>47</v>
      </c>
      <c r="D17" s="4" t="str">
        <f t="shared" si="0"/>
        <v>Anden kørsel - km</v>
      </c>
      <c r="E17" s="101"/>
      <c r="F17" s="61">
        <f>E17*INDEX(Konversionsfaktorer!C$5:C$21,MATCH(D17,Konversionsfaktorer!A$5:A$21,0))</f>
        <v>0</v>
      </c>
      <c r="H17" s="158"/>
      <c r="I17" s="172"/>
      <c r="J17" s="172"/>
      <c r="K17" s="172"/>
      <c r="L17" s="172"/>
      <c r="M17" s="172"/>
      <c r="N17" s="172"/>
      <c r="O17" s="151"/>
    </row>
    <row r="18" spans="1:15" ht="15">
      <c r="A18" s="9"/>
      <c r="B18" s="4" t="s">
        <v>57</v>
      </c>
      <c r="C18" s="4" t="s">
        <v>56</v>
      </c>
      <c r="D18" s="4" t="str">
        <f t="shared" si="0"/>
        <v>Anden kørsel - kr</v>
      </c>
      <c r="E18" s="101"/>
      <c r="F18" s="61">
        <f>E18*INDEX(Konversionsfaktorer!C$5:C$21,MATCH(D18,Konversionsfaktorer!A$5:A$21,0))</f>
        <v>0</v>
      </c>
      <c r="H18" s="158"/>
      <c r="I18" s="172"/>
      <c r="J18" s="172"/>
      <c r="K18" s="172"/>
      <c r="L18" s="172"/>
      <c r="M18" s="172"/>
      <c r="N18" s="172"/>
      <c r="O18" s="151"/>
    </row>
    <row r="19" spans="1:15" ht="15">
      <c r="A19" s="9"/>
      <c r="B19" s="4" t="s">
        <v>46</v>
      </c>
      <c r="C19" s="4" t="s">
        <v>47</v>
      </c>
      <c r="D19" s="4" t="str">
        <f t="shared" si="0"/>
        <v>Hjemmehjælpen - km</v>
      </c>
      <c r="E19" s="102"/>
      <c r="F19" s="61">
        <f>E19*INDEX(Konversionsfaktorer!C$5:C$21,MATCH(D19,Konversionsfaktorer!A$5:A$21,0))</f>
        <v>0</v>
      </c>
      <c r="H19" s="158"/>
      <c r="I19" s="172"/>
      <c r="J19" s="172"/>
      <c r="K19" s="172"/>
      <c r="L19" s="172"/>
      <c r="M19" s="172"/>
      <c r="N19" s="172"/>
      <c r="O19" s="151"/>
    </row>
    <row r="20" spans="1:15" ht="15">
      <c r="A20" s="9"/>
      <c r="B20" s="4" t="s">
        <v>30</v>
      </c>
      <c r="C20" s="4" t="s">
        <v>37</v>
      </c>
      <c r="D20" s="4" t="str">
        <f t="shared" si="0"/>
        <v>Diesel - liter</v>
      </c>
      <c r="E20" s="101">
        <v>261550</v>
      </c>
      <c r="F20" s="61">
        <f>E20*INDEX(Konversionsfaktorer!C$5:C$21,MATCH(D20,Konversionsfaktorer!A$5:A$21,0))</f>
        <v>693.10749999999996</v>
      </c>
      <c r="H20" s="73"/>
      <c r="I20" s="74"/>
      <c r="J20" s="74"/>
      <c r="K20" s="74"/>
      <c r="L20" s="74"/>
      <c r="M20" s="74"/>
      <c r="N20" s="74"/>
      <c r="O20" s="24"/>
    </row>
    <row r="21" spans="1:15" ht="15">
      <c r="A21" s="9"/>
      <c r="B21" s="4" t="s">
        <v>32</v>
      </c>
      <c r="C21" s="4" t="s">
        <v>37</v>
      </c>
      <c r="D21" s="4" t="str">
        <f t="shared" si="0"/>
        <v>Benzin - liter</v>
      </c>
      <c r="E21" s="101">
        <v>2695</v>
      </c>
      <c r="F21" s="61">
        <f>E21*INDEX(Konversionsfaktorer!C$5:C$21,MATCH(D21,Konversionsfaktorer!A$5:A$21,0))</f>
        <v>6.1985000000000001</v>
      </c>
      <c r="H21" s="75" t="s">
        <v>326</v>
      </c>
      <c r="I21" s="76"/>
      <c r="J21" s="76"/>
      <c r="K21" s="76"/>
      <c r="L21" s="76"/>
      <c r="M21" s="76"/>
      <c r="N21" s="76"/>
      <c r="O21" s="25"/>
    </row>
    <row r="22" spans="1:15" ht="15">
      <c r="A22" s="9"/>
      <c r="B22" s="4" t="s">
        <v>39</v>
      </c>
      <c r="C22" s="83" t="s">
        <v>56</v>
      </c>
      <c r="D22" s="4" t="str">
        <f t="shared" si="0"/>
        <v>Taxa - kr</v>
      </c>
      <c r="E22" s="101"/>
      <c r="F22" s="61">
        <f>E22*INDEX(Konversionsfaktorer!C$5:C$21,MATCH(D22,Konversionsfaktorer!A$5:A$21,0))</f>
        <v>0</v>
      </c>
    </row>
    <row r="23" spans="1:15" ht="15">
      <c r="A23" s="9"/>
      <c r="B23" s="4" t="s">
        <v>40</v>
      </c>
      <c r="C23" s="4" t="s">
        <v>314</v>
      </c>
      <c r="D23" s="4" t="str">
        <f t="shared" si="0"/>
        <v>Fly - (rejsebureauet)</v>
      </c>
      <c r="E23" s="101"/>
      <c r="F23" s="83"/>
    </row>
    <row r="24" spans="1:15" ht="15">
      <c r="A24" s="9"/>
      <c r="B24" s="4" t="s">
        <v>41</v>
      </c>
      <c r="C24" s="4" t="s">
        <v>314</v>
      </c>
      <c r="D24" s="4"/>
      <c r="E24" s="101"/>
      <c r="F24" s="83"/>
    </row>
    <row r="25" spans="1:15" s="2" customFormat="1" ht="15">
      <c r="A25" s="10"/>
      <c r="B25" s="4" t="s">
        <v>42</v>
      </c>
      <c r="C25" s="4" t="s">
        <v>314</v>
      </c>
      <c r="D25" s="4"/>
      <c r="E25" s="101"/>
      <c r="F25" s="83"/>
      <c r="G25"/>
    </row>
    <row r="26" spans="1:15" ht="15">
      <c r="A26" s="8"/>
      <c r="B26" s="8"/>
      <c r="C26" s="6"/>
      <c r="D26" s="6"/>
      <c r="E26" s="85"/>
      <c r="F26" s="24"/>
    </row>
    <row r="27" spans="1:15" ht="15">
      <c r="A27" s="79" t="s">
        <v>329</v>
      </c>
      <c r="B27" s="80" t="s">
        <v>330</v>
      </c>
      <c r="C27" s="49" t="s">
        <v>331</v>
      </c>
      <c r="D27" s="49"/>
      <c r="E27" s="83">
        <v>1884</v>
      </c>
      <c r="F27" s="49">
        <f>E27*Konversionsfaktorer!C25</f>
        <v>828.96</v>
      </c>
    </row>
    <row r="28" spans="1:15" ht="15">
      <c r="A28" s="21"/>
      <c r="B28" s="22"/>
      <c r="C28" s="19"/>
      <c r="D28" s="19"/>
      <c r="E28" s="19"/>
      <c r="F28" s="20"/>
    </row>
    <row r="29" spans="1:15" ht="57">
      <c r="A29" s="2"/>
      <c r="B29" s="2"/>
      <c r="C29" s="3" t="s">
        <v>411</v>
      </c>
      <c r="D29" s="23"/>
      <c r="E29" s="3" t="s">
        <v>410</v>
      </c>
      <c r="F29" s="23" t="s">
        <v>50</v>
      </c>
      <c r="G29" s="3" t="s">
        <v>51</v>
      </c>
    </row>
    <row r="30" spans="1:15">
      <c r="C30" s="140">
        <v>27858</v>
      </c>
      <c r="D30" s="114"/>
      <c r="E30" s="114">
        <f>C30*0.94</f>
        <v>26186.519999999997</v>
      </c>
      <c r="F30" s="114">
        <f>SUM(F5:F28)</f>
        <v>22025.506513999997</v>
      </c>
      <c r="G30" s="114">
        <f>(E30-F30)/E30*100+100</f>
        <v>115.88990628002499</v>
      </c>
    </row>
    <row r="31" spans="1:15" ht="18.75">
      <c r="C31" s="148" t="s">
        <v>53</v>
      </c>
      <c r="D31" s="148"/>
      <c r="E31" s="148"/>
      <c r="F31" s="148"/>
      <c r="G31" s="4" t="s">
        <v>52</v>
      </c>
    </row>
  </sheetData>
  <mergeCells count="6">
    <mergeCell ref="C31:F31"/>
    <mergeCell ref="H9:O12"/>
    <mergeCell ref="H13:O19"/>
    <mergeCell ref="A1:B1"/>
    <mergeCell ref="B2:D2"/>
    <mergeCell ref="B3:D3"/>
  </mergeCells>
  <phoneticPr fontId="4" type="noConversion"/>
  <dataValidations count="2">
    <dataValidation type="list" allowBlank="1" showInputMessage="1" showErrorMessage="1" sqref="C15">
      <formula1>"kWh (el),km"</formula1>
    </dataValidation>
    <dataValidation type="list" allowBlank="1" showInputMessage="1" showErrorMessage="1" sqref="C22">
      <formula1>"kr,km"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showGridLines="0" topLeftCell="B1" workbookViewId="0">
      <selection activeCell="F11" sqref="F11"/>
    </sheetView>
  </sheetViews>
  <sheetFormatPr defaultRowHeight="14.25"/>
  <cols>
    <col min="1" max="1" width="30.75" bestFit="1" customWidth="1"/>
    <col min="2" max="2" width="26.25" customWidth="1"/>
    <col min="3" max="3" width="13.5" customWidth="1"/>
    <col min="4" max="4" width="12.375" hidden="1" customWidth="1"/>
    <col min="5" max="5" width="11.875" customWidth="1"/>
    <col min="6" max="7" width="11.75" customWidth="1"/>
  </cols>
  <sheetData>
    <row r="1" spans="1:15" ht="57">
      <c r="A1" s="143" t="s">
        <v>126</v>
      </c>
      <c r="B1" s="144"/>
      <c r="C1" s="11" t="s">
        <v>76</v>
      </c>
      <c r="D1" s="6"/>
      <c r="E1" s="12" t="s">
        <v>77</v>
      </c>
      <c r="F1" s="7" t="s">
        <v>36</v>
      </c>
    </row>
    <row r="2" spans="1:15" ht="15">
      <c r="A2" s="14" t="s">
        <v>78</v>
      </c>
      <c r="B2" s="145" t="s">
        <v>24</v>
      </c>
      <c r="C2" s="146"/>
      <c r="D2" s="147"/>
      <c r="E2" s="4">
        <f>Konversionsfaktorer!C2</f>
        <v>2011</v>
      </c>
      <c r="F2" s="4"/>
    </row>
    <row r="3" spans="1:15">
      <c r="A3" s="9"/>
      <c r="B3" s="145" t="s">
        <v>79</v>
      </c>
      <c r="C3" s="146"/>
      <c r="D3" s="147"/>
      <c r="E3" s="4" t="str">
        <f ca="1">MID(CELL("filename",E3),FIND("]",CELL("filename",E3))+1,99)</f>
        <v>Ejendomsforvaltningen</v>
      </c>
      <c r="F3" s="4"/>
    </row>
    <row r="4" spans="1:15">
      <c r="A4" s="6"/>
      <c r="B4" s="6"/>
      <c r="C4" s="6"/>
      <c r="D4" s="6"/>
      <c r="E4" s="6"/>
      <c r="F4" s="24"/>
    </row>
    <row r="5" spans="1:15" ht="15">
      <c r="A5" s="14" t="s">
        <v>25</v>
      </c>
      <c r="B5" s="4" t="s">
        <v>26</v>
      </c>
      <c r="C5" s="4" t="s">
        <v>48</v>
      </c>
      <c r="D5" s="4" t="str">
        <f>C5</f>
        <v>kWh (el)</v>
      </c>
      <c r="E5" s="101"/>
      <c r="F5" s="61">
        <f>E5*INDEX(Konversionsfaktorer!C$5:C$21,MATCH(D5,Konversionsfaktorer!A$5:A$21,0))</f>
        <v>0</v>
      </c>
      <c r="H5" s="70" t="s">
        <v>315</v>
      </c>
      <c r="I5" s="71"/>
      <c r="J5" s="71"/>
      <c r="K5" s="71"/>
      <c r="L5" s="71"/>
      <c r="M5" s="71"/>
      <c r="N5" s="71"/>
      <c r="O5" s="72"/>
    </row>
    <row r="6" spans="1:15" ht="15">
      <c r="A6" s="9"/>
      <c r="B6" s="4" t="s">
        <v>28</v>
      </c>
      <c r="C6" s="4" t="s">
        <v>48</v>
      </c>
      <c r="D6" s="4" t="str">
        <f>C6</f>
        <v>kWh (el)</v>
      </c>
      <c r="E6" s="101"/>
      <c r="F6" s="61">
        <f>E6*INDEX(Konversionsfaktorer!C$5:C$21,MATCH(D6,Konversionsfaktorer!A$5:A$21,0))</f>
        <v>0</v>
      </c>
      <c r="H6" s="73"/>
      <c r="I6" s="74"/>
      <c r="J6" s="74"/>
      <c r="K6" s="74"/>
      <c r="L6" s="74"/>
      <c r="M6" s="74"/>
      <c r="N6" s="74"/>
      <c r="O6" s="24"/>
    </row>
    <row r="7" spans="1:15" ht="15">
      <c r="A7" s="9"/>
      <c r="B7" s="4" t="s">
        <v>98</v>
      </c>
      <c r="C7" s="4" t="s">
        <v>48</v>
      </c>
      <c r="D7" s="4" t="str">
        <f>C7</f>
        <v>kWh (el)</v>
      </c>
      <c r="E7" s="102"/>
      <c r="F7" s="61">
        <f>E7*INDEX(Konversionsfaktorer!C$5:C$21,MATCH(D7,Konversionsfaktorer!A$5:A$21,0))</f>
        <v>0</v>
      </c>
      <c r="H7" s="73" t="s">
        <v>316</v>
      </c>
      <c r="I7" s="74"/>
      <c r="J7" s="74"/>
      <c r="K7" s="74"/>
      <c r="L7" s="74"/>
      <c r="M7" s="74"/>
      <c r="N7" s="74"/>
      <c r="O7" s="24"/>
    </row>
    <row r="8" spans="1:15" ht="15">
      <c r="A8" s="10"/>
      <c r="B8" s="4" t="s">
        <v>34</v>
      </c>
      <c r="C8" s="4" t="s">
        <v>48</v>
      </c>
      <c r="D8" s="4" t="str">
        <f>C8</f>
        <v>kWh (el)</v>
      </c>
      <c r="E8" s="101">
        <f>4644351+266406+37255</f>
        <v>4948012</v>
      </c>
      <c r="F8" s="61">
        <f>E8*INDEX(Konversionsfaktorer!C$5:C$21,MATCH(D8,Konversionsfaktorer!A$5:A$21,0))</f>
        <v>2201.8653399999998</v>
      </c>
      <c r="H8" s="73"/>
      <c r="I8" s="74"/>
      <c r="J8" s="74"/>
      <c r="K8" s="74"/>
      <c r="L8" s="74"/>
      <c r="M8" s="74"/>
      <c r="N8" s="74"/>
      <c r="O8" s="24"/>
    </row>
    <row r="9" spans="1:15" ht="15">
      <c r="A9" s="8"/>
      <c r="B9" s="8"/>
      <c r="C9" s="6"/>
      <c r="D9" s="6"/>
      <c r="E9" s="103"/>
      <c r="F9" s="62"/>
      <c r="H9" s="149" t="s">
        <v>318</v>
      </c>
      <c r="I9" s="150"/>
      <c r="J9" s="150"/>
      <c r="K9" s="150"/>
      <c r="L9" s="150"/>
      <c r="M9" s="150"/>
      <c r="N9" s="150"/>
      <c r="O9" s="151"/>
    </row>
    <row r="10" spans="1:15" ht="15">
      <c r="A10" s="14" t="s">
        <v>33</v>
      </c>
      <c r="B10" s="4" t="s">
        <v>29</v>
      </c>
      <c r="C10" s="4" t="s">
        <v>49</v>
      </c>
      <c r="D10" s="4" t="str">
        <f>C10</f>
        <v>kWh (fv)</v>
      </c>
      <c r="E10" s="101"/>
      <c r="F10" s="61">
        <f>1555.105+16.402</f>
        <v>1571.5070000000001</v>
      </c>
      <c r="H10" s="149"/>
      <c r="I10" s="150"/>
      <c r="J10" s="150"/>
      <c r="K10" s="150"/>
      <c r="L10" s="150"/>
      <c r="M10" s="150"/>
      <c r="N10" s="150"/>
      <c r="O10" s="151"/>
    </row>
    <row r="11" spans="1:15" ht="15">
      <c r="A11" s="9"/>
      <c r="B11" s="4" t="s">
        <v>35</v>
      </c>
      <c r="C11" s="4" t="s">
        <v>37</v>
      </c>
      <c r="D11" s="4" t="str">
        <f>B11&amp;" - "&amp;C11</f>
        <v>Fyringsolie - liter</v>
      </c>
      <c r="E11" s="101"/>
      <c r="F11" s="61">
        <f>E11*INDEX(Konversionsfaktorer!C$5:C$21,MATCH(D11,Konversionsfaktorer!A$5:A$21,0))</f>
        <v>0</v>
      </c>
      <c r="H11" s="149"/>
      <c r="I11" s="150"/>
      <c r="J11" s="150"/>
      <c r="K11" s="150"/>
      <c r="L11" s="150"/>
      <c r="M11" s="150"/>
      <c r="N11" s="150"/>
      <c r="O11" s="151"/>
    </row>
    <row r="12" spans="1:15" ht="15">
      <c r="A12" s="9"/>
      <c r="B12" s="4" t="s">
        <v>54</v>
      </c>
      <c r="C12" s="4" t="s">
        <v>55</v>
      </c>
      <c r="D12" s="4" t="str">
        <f>B12&amp;" - "&amp;C12</f>
        <v>Naturgas - m3</v>
      </c>
      <c r="E12" s="101"/>
      <c r="F12" s="61">
        <f>E12*INDEX(Konversionsfaktorer!C$5:C$21,MATCH(D12,Konversionsfaktorer!A$5:A$21,0))</f>
        <v>0</v>
      </c>
      <c r="H12" s="149"/>
      <c r="I12" s="150"/>
      <c r="J12" s="150"/>
      <c r="K12" s="150"/>
      <c r="L12" s="150"/>
      <c r="M12" s="150"/>
      <c r="N12" s="150"/>
      <c r="O12" s="151"/>
    </row>
    <row r="13" spans="1:15" ht="15">
      <c r="A13" s="10"/>
      <c r="B13" s="4" t="s">
        <v>25</v>
      </c>
      <c r="C13" s="4" t="s">
        <v>48</v>
      </c>
      <c r="D13" s="4" t="str">
        <f>C13</f>
        <v>kWh (el)</v>
      </c>
      <c r="E13" s="101"/>
      <c r="F13" s="61">
        <f>E13*INDEX(Konversionsfaktorer!C$5:C$21,MATCH(D13,Konversionsfaktorer!A$5:A$21,0))</f>
        <v>0</v>
      </c>
      <c r="H13" s="152" t="s">
        <v>319</v>
      </c>
      <c r="I13" s="153"/>
      <c r="J13" s="153"/>
      <c r="K13" s="153"/>
      <c r="L13" s="153"/>
      <c r="M13" s="153"/>
      <c r="N13" s="153"/>
      <c r="O13" s="154"/>
    </row>
    <row r="14" spans="1:15" ht="15">
      <c r="A14" s="8"/>
      <c r="B14" s="8"/>
      <c r="C14" s="6"/>
      <c r="D14" s="6"/>
      <c r="E14" s="103"/>
      <c r="F14" s="62"/>
      <c r="H14" s="149"/>
      <c r="I14" s="150"/>
      <c r="J14" s="150"/>
      <c r="K14" s="150"/>
      <c r="L14" s="150"/>
      <c r="M14" s="150"/>
      <c r="N14" s="150"/>
      <c r="O14" s="154"/>
    </row>
    <row r="15" spans="1:15" ht="15">
      <c r="A15" s="15" t="s">
        <v>31</v>
      </c>
      <c r="B15" s="4" t="s">
        <v>27</v>
      </c>
      <c r="C15" s="83" t="s">
        <v>47</v>
      </c>
      <c r="D15" s="4" t="str">
        <f t="shared" ref="D15:D22" si="0">B15&amp;" - "&amp;C15</f>
        <v>Elbiler - km</v>
      </c>
      <c r="E15" s="101"/>
      <c r="F15" s="61">
        <f>E15*INDEX(Konversionsfaktorer!C$5:C$21,MATCH(D15,Konversionsfaktorer!A$5:A$21,0))</f>
        <v>0</v>
      </c>
      <c r="H15" s="149"/>
      <c r="I15" s="150"/>
      <c r="J15" s="150"/>
      <c r="K15" s="150"/>
      <c r="L15" s="150"/>
      <c r="M15" s="150"/>
      <c r="N15" s="150"/>
      <c r="O15" s="154"/>
    </row>
    <row r="16" spans="1:15" ht="15">
      <c r="A16" s="9"/>
      <c r="B16" s="4" t="s">
        <v>38</v>
      </c>
      <c r="C16" s="4" t="s">
        <v>47</v>
      </c>
      <c r="D16" s="4" t="str">
        <f t="shared" si="0"/>
        <v>Medarbejderkørsel - km</v>
      </c>
      <c r="E16" s="101"/>
      <c r="F16" s="61">
        <f>E16*INDEX(Konversionsfaktorer!C$5:C$21,MATCH(D16,Konversionsfaktorer!A$5:A$21,0))</f>
        <v>0</v>
      </c>
      <c r="H16" s="149"/>
      <c r="I16" s="150"/>
      <c r="J16" s="150"/>
      <c r="K16" s="150"/>
      <c r="L16" s="150"/>
      <c r="M16" s="150"/>
      <c r="N16" s="150"/>
      <c r="O16" s="154"/>
    </row>
    <row r="17" spans="1:15" ht="15">
      <c r="A17" s="9"/>
      <c r="B17" s="4" t="s">
        <v>57</v>
      </c>
      <c r="C17" s="4" t="s">
        <v>47</v>
      </c>
      <c r="D17" s="4" t="str">
        <f t="shared" si="0"/>
        <v>Anden kørsel - km</v>
      </c>
      <c r="E17" s="101"/>
      <c r="F17" s="61">
        <f>E17*INDEX(Konversionsfaktorer!C$5:C$21,MATCH(D17,Konversionsfaktorer!A$5:A$21,0))</f>
        <v>0</v>
      </c>
      <c r="H17" s="149"/>
      <c r="I17" s="150"/>
      <c r="J17" s="150"/>
      <c r="K17" s="150"/>
      <c r="L17" s="150"/>
      <c r="M17" s="150"/>
      <c r="N17" s="150"/>
      <c r="O17" s="154"/>
    </row>
    <row r="18" spans="1:15" ht="15">
      <c r="A18" s="9"/>
      <c r="B18" s="4" t="s">
        <v>57</v>
      </c>
      <c r="C18" s="4" t="s">
        <v>56</v>
      </c>
      <c r="D18" s="4" t="str">
        <f t="shared" si="0"/>
        <v>Anden kørsel - kr</v>
      </c>
      <c r="E18" s="101"/>
      <c r="F18" s="61">
        <f>E18*INDEX(Konversionsfaktorer!C$5:C$21,MATCH(D18,Konversionsfaktorer!A$5:A$21,0))</f>
        <v>0</v>
      </c>
      <c r="H18" s="149"/>
      <c r="I18" s="150"/>
      <c r="J18" s="150"/>
      <c r="K18" s="150"/>
      <c r="L18" s="150"/>
      <c r="M18" s="150"/>
      <c r="N18" s="150"/>
      <c r="O18" s="154"/>
    </row>
    <row r="19" spans="1:15" ht="15">
      <c r="A19" s="9"/>
      <c r="B19" s="4" t="s">
        <v>46</v>
      </c>
      <c r="C19" s="4" t="s">
        <v>47</v>
      </c>
      <c r="D19" s="4" t="str">
        <f t="shared" si="0"/>
        <v>Hjemmehjælpen - km</v>
      </c>
      <c r="E19" s="102"/>
      <c r="F19" s="61">
        <f>E19*INDEX(Konversionsfaktorer!C$5:C$21,MATCH(D19,Konversionsfaktorer!A$5:A$21,0))</f>
        <v>0</v>
      </c>
      <c r="H19" s="149"/>
      <c r="I19" s="150"/>
      <c r="J19" s="150"/>
      <c r="K19" s="150"/>
      <c r="L19" s="150"/>
      <c r="M19" s="150"/>
      <c r="N19" s="150"/>
      <c r="O19" s="154"/>
    </row>
    <row r="20" spans="1:15" ht="15">
      <c r="A20" s="9"/>
      <c r="B20" s="4" t="s">
        <v>30</v>
      </c>
      <c r="C20" s="4" t="s">
        <v>37</v>
      </c>
      <c r="D20" s="4" t="str">
        <f t="shared" si="0"/>
        <v>Diesel - liter</v>
      </c>
      <c r="E20" s="101">
        <v>93500</v>
      </c>
      <c r="F20" s="61">
        <f>E20*INDEX(Konversionsfaktorer!C$5:C$21,MATCH(D20,Konversionsfaktorer!A$5:A$21,0))</f>
        <v>247.77500000000001</v>
      </c>
      <c r="H20" s="149" t="s">
        <v>317</v>
      </c>
      <c r="I20" s="150"/>
      <c r="J20" s="150"/>
      <c r="K20" s="150"/>
      <c r="L20" s="150"/>
      <c r="M20" s="150"/>
      <c r="N20" s="150"/>
      <c r="O20" s="151"/>
    </row>
    <row r="21" spans="1:15" ht="15">
      <c r="A21" s="9"/>
      <c r="B21" s="4" t="s">
        <v>32</v>
      </c>
      <c r="C21" s="4" t="s">
        <v>37</v>
      </c>
      <c r="D21" s="4" t="str">
        <f t="shared" si="0"/>
        <v>Benzin - liter</v>
      </c>
      <c r="E21" s="101">
        <v>1202</v>
      </c>
      <c r="F21" s="61">
        <f>E21*INDEX(Konversionsfaktorer!C$5:C$21,MATCH(D21,Konversionsfaktorer!A$5:A$21,0))</f>
        <v>2.7646000000000002</v>
      </c>
      <c r="H21" s="149"/>
      <c r="I21" s="150"/>
      <c r="J21" s="150"/>
      <c r="K21" s="150"/>
      <c r="L21" s="150"/>
      <c r="M21" s="150"/>
      <c r="N21" s="150"/>
      <c r="O21" s="151"/>
    </row>
    <row r="22" spans="1:15" ht="15">
      <c r="A22" s="9"/>
      <c r="B22" s="4" t="s">
        <v>39</v>
      </c>
      <c r="C22" s="83" t="s">
        <v>56</v>
      </c>
      <c r="D22" s="4" t="str">
        <f t="shared" si="0"/>
        <v>Taxa - kr</v>
      </c>
      <c r="E22" s="101"/>
      <c r="F22" s="61">
        <f>E22*INDEX(Konversionsfaktorer!C$5:C$21,MATCH(D22,Konversionsfaktorer!A$5:A$21,0))</f>
        <v>0</v>
      </c>
      <c r="H22" s="155"/>
      <c r="I22" s="156"/>
      <c r="J22" s="156"/>
      <c r="K22" s="156"/>
      <c r="L22" s="156"/>
      <c r="M22" s="156"/>
      <c r="N22" s="156"/>
      <c r="O22" s="157"/>
    </row>
    <row r="23" spans="1:15" ht="15">
      <c r="A23" s="9"/>
      <c r="B23" s="4" t="s">
        <v>40</v>
      </c>
      <c r="C23" s="4" t="s">
        <v>314</v>
      </c>
      <c r="D23" s="4"/>
      <c r="E23" s="101"/>
      <c r="F23" s="13"/>
    </row>
    <row r="24" spans="1:15" ht="15">
      <c r="A24" s="9"/>
      <c r="B24" s="4" t="s">
        <v>41</v>
      </c>
      <c r="C24" s="4" t="s">
        <v>314</v>
      </c>
      <c r="D24" s="4"/>
      <c r="E24" s="101"/>
      <c r="F24" s="13"/>
    </row>
    <row r="25" spans="1:15" s="2" customFormat="1" ht="15">
      <c r="A25" s="10"/>
      <c r="B25" s="4" t="s">
        <v>42</v>
      </c>
      <c r="C25" s="4" t="s">
        <v>314</v>
      </c>
      <c r="D25" s="4"/>
      <c r="E25" s="101"/>
      <c r="F25" s="13"/>
      <c r="G25"/>
    </row>
    <row r="26" spans="1:15" ht="15">
      <c r="A26" s="8"/>
      <c r="B26" s="8"/>
      <c r="C26" s="6"/>
      <c r="D26" s="6"/>
      <c r="E26" s="6"/>
      <c r="F26" s="25"/>
    </row>
    <row r="27" spans="1:15" ht="57">
      <c r="A27" s="2"/>
      <c r="B27" s="2"/>
      <c r="C27" s="3" t="s">
        <v>411</v>
      </c>
      <c r="D27" s="3"/>
      <c r="E27" s="3" t="s">
        <v>410</v>
      </c>
      <c r="F27" s="3" t="s">
        <v>50</v>
      </c>
      <c r="G27" s="3" t="s">
        <v>51</v>
      </c>
    </row>
    <row r="28" spans="1:15">
      <c r="C28" s="140">
        <v>5552</v>
      </c>
      <c r="D28" s="114"/>
      <c r="E28" s="114">
        <f>C28*0.94</f>
        <v>5218.88</v>
      </c>
      <c r="F28" s="114">
        <f>SUM(F5:F26)</f>
        <v>4023.91194</v>
      </c>
      <c r="G28" s="114">
        <f>(E28-F28)/E28*100+100</f>
        <v>122.89702119995096</v>
      </c>
    </row>
    <row r="29" spans="1:15" ht="18.75">
      <c r="C29" s="148" t="s">
        <v>53</v>
      </c>
      <c r="D29" s="148"/>
      <c r="E29" s="148"/>
      <c r="F29" s="148"/>
      <c r="G29" s="4" t="s">
        <v>52</v>
      </c>
    </row>
  </sheetData>
  <mergeCells count="7">
    <mergeCell ref="A1:B1"/>
    <mergeCell ref="B2:D2"/>
    <mergeCell ref="B3:D3"/>
    <mergeCell ref="C29:F29"/>
    <mergeCell ref="H9:O12"/>
    <mergeCell ref="H13:O19"/>
    <mergeCell ref="H20:O22"/>
  </mergeCells>
  <phoneticPr fontId="4" type="noConversion"/>
  <dataValidations count="2">
    <dataValidation type="list" allowBlank="1" showInputMessage="1" showErrorMessage="1" sqref="C15">
      <formula1>"kWh (el),km"</formula1>
    </dataValidation>
    <dataValidation type="list" allowBlank="1" showInputMessage="1" showErrorMessage="1" sqref="C22">
      <formula1>"kr,km"</formula1>
    </dataValidation>
  </dataValidation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showGridLines="0" workbookViewId="0">
      <selection activeCell="A34" sqref="A34"/>
    </sheetView>
  </sheetViews>
  <sheetFormatPr defaultRowHeight="14.25"/>
  <cols>
    <col min="1" max="1" width="30.75" bestFit="1" customWidth="1"/>
    <col min="2" max="2" width="26.25" customWidth="1"/>
    <col min="3" max="3" width="13.125" customWidth="1"/>
    <col min="4" max="4" width="12.375" hidden="1" customWidth="1"/>
    <col min="5" max="5" width="11.875" customWidth="1"/>
    <col min="6" max="7" width="11.75" customWidth="1"/>
  </cols>
  <sheetData>
    <row r="1" spans="1:15" ht="57">
      <c r="A1" s="143" t="s">
        <v>127</v>
      </c>
      <c r="B1" s="144"/>
      <c r="C1" s="11" t="s">
        <v>76</v>
      </c>
      <c r="D1" s="6"/>
      <c r="E1" s="12" t="s">
        <v>77</v>
      </c>
      <c r="F1" s="7" t="s">
        <v>36</v>
      </c>
    </row>
    <row r="2" spans="1:15" ht="15">
      <c r="A2" s="14" t="s">
        <v>78</v>
      </c>
      <c r="B2" s="145" t="s">
        <v>24</v>
      </c>
      <c r="C2" s="146"/>
      <c r="D2" s="147"/>
      <c r="E2" s="4">
        <f>Konversionsfaktorer!C2</f>
        <v>2011</v>
      </c>
      <c r="F2" s="4"/>
    </row>
    <row r="3" spans="1:15">
      <c r="A3" s="9"/>
      <c r="B3" s="145" t="s">
        <v>79</v>
      </c>
      <c r="C3" s="146"/>
      <c r="D3" s="147"/>
      <c r="E3" s="4" t="str">
        <f ca="1">MID(CELL("filename",E3),FIND("]",CELL("filename",E3))+1,99)</f>
        <v>Fællesadministrationen</v>
      </c>
      <c r="F3" s="4"/>
    </row>
    <row r="4" spans="1:15">
      <c r="A4" s="6"/>
      <c r="B4" s="6"/>
      <c r="C4" s="6"/>
      <c r="D4" s="6"/>
      <c r="E4" s="6"/>
      <c r="F4" s="24"/>
    </row>
    <row r="5" spans="1:15" ht="15">
      <c r="A5" s="14" t="s">
        <v>25</v>
      </c>
      <c r="B5" s="4" t="s">
        <v>26</v>
      </c>
      <c r="C5" s="4" t="s">
        <v>48</v>
      </c>
      <c r="D5" s="4" t="str">
        <f>C5</f>
        <v>kWh (el)</v>
      </c>
      <c r="E5" s="101"/>
      <c r="F5" s="61">
        <f>E5*INDEX(Konversionsfaktorer!C$5:C$21,MATCH(D5,Konversionsfaktorer!A$5:A$21,0))</f>
        <v>0</v>
      </c>
      <c r="H5" s="70" t="s">
        <v>315</v>
      </c>
      <c r="I5" s="71"/>
      <c r="J5" s="71"/>
      <c r="K5" s="71"/>
      <c r="L5" s="71"/>
      <c r="M5" s="71"/>
      <c r="N5" s="71"/>
      <c r="O5" s="72"/>
    </row>
    <row r="6" spans="1:15" ht="15">
      <c r="A6" s="9"/>
      <c r="B6" s="4" t="s">
        <v>28</v>
      </c>
      <c r="C6" s="4" t="s">
        <v>48</v>
      </c>
      <c r="D6" s="4" t="str">
        <f>C6</f>
        <v>kWh (el)</v>
      </c>
      <c r="E6" s="101"/>
      <c r="F6" s="61">
        <f>E6*INDEX(Konversionsfaktorer!C$5:C$21,MATCH(D6,Konversionsfaktorer!A$5:A$21,0))</f>
        <v>0</v>
      </c>
      <c r="H6" s="73"/>
      <c r="I6" s="74"/>
      <c r="J6" s="74"/>
      <c r="K6" s="74"/>
      <c r="L6" s="74"/>
      <c r="M6" s="74"/>
      <c r="N6" s="74"/>
      <c r="O6" s="24"/>
    </row>
    <row r="7" spans="1:15" ht="15">
      <c r="A7" s="9"/>
      <c r="B7" s="4" t="s">
        <v>98</v>
      </c>
      <c r="C7" s="4" t="s">
        <v>48</v>
      </c>
      <c r="D7" s="4" t="str">
        <f>C7</f>
        <v>kWh (el)</v>
      </c>
      <c r="E7" s="102"/>
      <c r="F7" s="61">
        <f>E7*INDEX(Konversionsfaktorer!C$5:C$21,MATCH(D7,Konversionsfaktorer!A$5:A$21,0))</f>
        <v>0</v>
      </c>
      <c r="H7" s="73" t="s">
        <v>316</v>
      </c>
      <c r="I7" s="74"/>
      <c r="J7" s="74"/>
      <c r="K7" s="74"/>
      <c r="L7" s="74"/>
      <c r="M7" s="74"/>
      <c r="N7" s="74"/>
      <c r="O7" s="24"/>
    </row>
    <row r="8" spans="1:15" ht="15" customHeight="1">
      <c r="A8" s="10"/>
      <c r="B8" s="4" t="s">
        <v>34</v>
      </c>
      <c r="C8" s="4" t="s">
        <v>48</v>
      </c>
      <c r="D8" s="4" t="str">
        <f>C8</f>
        <v>kWh (el)</v>
      </c>
      <c r="E8" s="101"/>
      <c r="F8" s="61">
        <f>E8*INDEX(Konversionsfaktorer!C$5:C$21,MATCH(D8,Konversionsfaktorer!A$5:A$21,0))</f>
        <v>0</v>
      </c>
      <c r="H8" s="73"/>
      <c r="I8" s="74"/>
      <c r="J8" s="74"/>
      <c r="K8" s="74"/>
      <c r="L8" s="74"/>
      <c r="M8" s="74"/>
      <c r="N8" s="74"/>
      <c r="O8" s="24"/>
    </row>
    <row r="9" spans="1:15" ht="15">
      <c r="A9" s="8"/>
      <c r="B9" s="8"/>
      <c r="C9" s="6"/>
      <c r="D9" s="6"/>
      <c r="E9" s="103"/>
      <c r="F9" s="62"/>
      <c r="H9" s="149" t="s">
        <v>318</v>
      </c>
      <c r="I9" s="150"/>
      <c r="J9" s="150"/>
      <c r="K9" s="150"/>
      <c r="L9" s="150"/>
      <c r="M9" s="150"/>
      <c r="N9" s="150"/>
      <c r="O9" s="151"/>
    </row>
    <row r="10" spans="1:15" ht="15">
      <c r="A10" s="14" t="s">
        <v>33</v>
      </c>
      <c r="B10" s="4" t="s">
        <v>29</v>
      </c>
      <c r="C10" s="4" t="s">
        <v>49</v>
      </c>
      <c r="D10" s="4" t="str">
        <f>C10</f>
        <v>kWh (fv)</v>
      </c>
      <c r="E10" s="101"/>
      <c r="F10" s="61">
        <f>E10*INDEX(Konversionsfaktorer!C$5:C$21,MATCH(D10,Konversionsfaktorer!A$5:A$21,0))</f>
        <v>0</v>
      </c>
      <c r="H10" s="149"/>
      <c r="I10" s="150"/>
      <c r="J10" s="150"/>
      <c r="K10" s="150"/>
      <c r="L10" s="150"/>
      <c r="M10" s="150"/>
      <c r="N10" s="150"/>
      <c r="O10" s="151"/>
    </row>
    <row r="11" spans="1:15" ht="15">
      <c r="A11" s="9"/>
      <c r="B11" s="4" t="s">
        <v>35</v>
      </c>
      <c r="C11" s="4" t="s">
        <v>37</v>
      </c>
      <c r="D11" s="4" t="str">
        <f>B11&amp;" - "&amp;C11</f>
        <v>Fyringsolie - liter</v>
      </c>
      <c r="E11" s="101"/>
      <c r="F11" s="61">
        <f>E11*INDEX(Konversionsfaktorer!C$5:C$21,MATCH(D11,Konversionsfaktorer!A$5:A$21,0))</f>
        <v>0</v>
      </c>
      <c r="H11" s="149"/>
      <c r="I11" s="150"/>
      <c r="J11" s="150"/>
      <c r="K11" s="150"/>
      <c r="L11" s="150"/>
      <c r="M11" s="150"/>
      <c r="N11" s="150"/>
      <c r="O11" s="151"/>
    </row>
    <row r="12" spans="1:15" ht="15">
      <c r="A12" s="9"/>
      <c r="B12" s="4" t="s">
        <v>54</v>
      </c>
      <c r="C12" s="4" t="s">
        <v>55</v>
      </c>
      <c r="D12" s="4" t="str">
        <f>B12&amp;" - "&amp;C12</f>
        <v>Naturgas - m3</v>
      </c>
      <c r="E12" s="101"/>
      <c r="F12" s="61">
        <f>E12*INDEX(Konversionsfaktorer!C$5:C$21,MATCH(D12,Konversionsfaktorer!A$5:A$21,0))</f>
        <v>0</v>
      </c>
      <c r="H12" s="149"/>
      <c r="I12" s="150"/>
      <c r="J12" s="150"/>
      <c r="K12" s="150"/>
      <c r="L12" s="150"/>
      <c r="M12" s="150"/>
      <c r="N12" s="150"/>
      <c r="O12" s="151"/>
    </row>
    <row r="13" spans="1:15" ht="15">
      <c r="A13" s="10"/>
      <c r="B13" s="4" t="s">
        <v>25</v>
      </c>
      <c r="C13" s="4" t="s">
        <v>48</v>
      </c>
      <c r="D13" s="4" t="str">
        <f>C13</f>
        <v>kWh (el)</v>
      </c>
      <c r="E13" s="101"/>
      <c r="F13" s="61">
        <f>E13*INDEX(Konversionsfaktorer!C$5:C$21,MATCH(D13,Konversionsfaktorer!A$5:A$21,0))</f>
        <v>0</v>
      </c>
      <c r="H13" s="152" t="s">
        <v>319</v>
      </c>
      <c r="I13" s="153"/>
      <c r="J13" s="153"/>
      <c r="K13" s="153"/>
      <c r="L13" s="153"/>
      <c r="M13" s="153"/>
      <c r="N13" s="153"/>
      <c r="O13" s="154"/>
    </row>
    <row r="14" spans="1:15" ht="15">
      <c r="A14" s="8"/>
      <c r="B14" s="8"/>
      <c r="C14" s="6"/>
      <c r="D14" s="6"/>
      <c r="E14" s="103"/>
      <c r="F14" s="62"/>
      <c r="H14" s="149"/>
      <c r="I14" s="150"/>
      <c r="J14" s="150"/>
      <c r="K14" s="150"/>
      <c r="L14" s="150"/>
      <c r="M14" s="150"/>
      <c r="N14" s="150"/>
      <c r="O14" s="154"/>
    </row>
    <row r="15" spans="1:15" ht="15">
      <c r="A15" s="15" t="s">
        <v>31</v>
      </c>
      <c r="B15" s="4" t="s">
        <v>27</v>
      </c>
      <c r="C15" s="83" t="s">
        <v>47</v>
      </c>
      <c r="D15" s="4" t="str">
        <f t="shared" ref="D15:D22" si="0">B15&amp;" - "&amp;C15</f>
        <v>Elbiler - km</v>
      </c>
      <c r="E15" s="101"/>
      <c r="F15" s="61">
        <f>E15*INDEX(Konversionsfaktorer!C$5:C$21,MATCH(D15,Konversionsfaktorer!A$5:A$21,0))</f>
        <v>0</v>
      </c>
      <c r="H15" s="149"/>
      <c r="I15" s="150"/>
      <c r="J15" s="150"/>
      <c r="K15" s="150"/>
      <c r="L15" s="150"/>
      <c r="M15" s="150"/>
      <c r="N15" s="150"/>
      <c r="O15" s="154"/>
    </row>
    <row r="16" spans="1:15" ht="15">
      <c r="A16" s="9"/>
      <c r="B16" s="4" t="s">
        <v>38</v>
      </c>
      <c r="C16" s="4" t="s">
        <v>47</v>
      </c>
      <c r="D16" s="4" t="str">
        <f t="shared" si="0"/>
        <v>Medarbejderkørsel - km</v>
      </c>
      <c r="E16" s="101"/>
      <c r="F16" s="61">
        <f>E16*INDEX(Konversionsfaktorer!C$5:C$21,MATCH(D16,Konversionsfaktorer!A$5:A$21,0))</f>
        <v>0</v>
      </c>
      <c r="H16" s="149"/>
      <c r="I16" s="150"/>
      <c r="J16" s="150"/>
      <c r="K16" s="150"/>
      <c r="L16" s="150"/>
      <c r="M16" s="150"/>
      <c r="N16" s="150"/>
      <c r="O16" s="154"/>
    </row>
    <row r="17" spans="1:15" ht="15">
      <c r="A17" s="9"/>
      <c r="B17" s="4" t="s">
        <v>57</v>
      </c>
      <c r="C17" s="4" t="s">
        <v>47</v>
      </c>
      <c r="D17" s="4" t="str">
        <f t="shared" si="0"/>
        <v>Anden kørsel - km</v>
      </c>
      <c r="E17" s="101"/>
      <c r="F17" s="61">
        <f>E17*INDEX(Konversionsfaktorer!C$5:C$21,MATCH(D17,Konversionsfaktorer!A$5:A$21,0))</f>
        <v>0</v>
      </c>
      <c r="H17" s="149"/>
      <c r="I17" s="150"/>
      <c r="J17" s="150"/>
      <c r="K17" s="150"/>
      <c r="L17" s="150"/>
      <c r="M17" s="150"/>
      <c r="N17" s="150"/>
      <c r="O17" s="154"/>
    </row>
    <row r="18" spans="1:15" ht="15">
      <c r="A18" s="9"/>
      <c r="B18" s="4" t="s">
        <v>57</v>
      </c>
      <c r="C18" s="4" t="s">
        <v>56</v>
      </c>
      <c r="D18" s="4" t="str">
        <f t="shared" si="0"/>
        <v>Anden kørsel - kr</v>
      </c>
      <c r="E18" s="101"/>
      <c r="F18" s="61">
        <f>E18*INDEX(Konversionsfaktorer!C$5:C$21,MATCH(D18,Konversionsfaktorer!A$5:A$21,0))</f>
        <v>0</v>
      </c>
      <c r="H18" s="149"/>
      <c r="I18" s="150"/>
      <c r="J18" s="150"/>
      <c r="K18" s="150"/>
      <c r="L18" s="150"/>
      <c r="M18" s="150"/>
      <c r="N18" s="150"/>
      <c r="O18" s="154"/>
    </row>
    <row r="19" spans="1:15" ht="15">
      <c r="A19" s="9"/>
      <c r="B19" s="4" t="s">
        <v>46</v>
      </c>
      <c r="C19" s="4" t="s">
        <v>47</v>
      </c>
      <c r="D19" s="4" t="str">
        <f t="shared" si="0"/>
        <v>Hjemmehjælpen - km</v>
      </c>
      <c r="E19" s="102"/>
      <c r="F19" s="61">
        <f>E19*INDEX(Konversionsfaktorer!C$5:C$21,MATCH(D19,Konversionsfaktorer!A$5:A$21,0))</f>
        <v>0</v>
      </c>
      <c r="H19" s="149"/>
      <c r="I19" s="150"/>
      <c r="J19" s="150"/>
      <c r="K19" s="150"/>
      <c r="L19" s="150"/>
      <c r="M19" s="150"/>
      <c r="N19" s="150"/>
      <c r="O19" s="154"/>
    </row>
    <row r="20" spans="1:15" ht="15">
      <c r="A20" s="9"/>
      <c r="B20" s="4" t="s">
        <v>30</v>
      </c>
      <c r="C20" s="4" t="s">
        <v>37</v>
      </c>
      <c r="D20" s="4" t="str">
        <f t="shared" si="0"/>
        <v>Diesel - liter</v>
      </c>
      <c r="E20" s="101"/>
      <c r="F20" s="61">
        <f>E20*INDEX(Konversionsfaktorer!C$5:C$21,MATCH(D20,Konversionsfaktorer!A$5:A$21,0))</f>
        <v>0</v>
      </c>
      <c r="H20" s="149" t="s">
        <v>317</v>
      </c>
      <c r="I20" s="150"/>
      <c r="J20" s="150"/>
      <c r="K20" s="150"/>
      <c r="L20" s="150"/>
      <c r="M20" s="150"/>
      <c r="N20" s="150"/>
      <c r="O20" s="151"/>
    </row>
    <row r="21" spans="1:15" ht="15">
      <c r="A21" s="9"/>
      <c r="B21" s="4" t="s">
        <v>32</v>
      </c>
      <c r="C21" s="4" t="s">
        <v>37</v>
      </c>
      <c r="D21" s="4" t="str">
        <f t="shared" si="0"/>
        <v>Benzin - liter</v>
      </c>
      <c r="E21" s="101"/>
      <c r="F21" s="61">
        <f>E21*INDEX(Konversionsfaktorer!C$5:C$21,MATCH(D21,Konversionsfaktorer!A$5:A$21,0))</f>
        <v>0</v>
      </c>
      <c r="H21" s="149"/>
      <c r="I21" s="150"/>
      <c r="J21" s="150"/>
      <c r="K21" s="150"/>
      <c r="L21" s="150"/>
      <c r="M21" s="150"/>
      <c r="N21" s="150"/>
      <c r="O21" s="151"/>
    </row>
    <row r="22" spans="1:15" ht="15">
      <c r="A22" s="9"/>
      <c r="B22" s="4" t="s">
        <v>39</v>
      </c>
      <c r="C22" s="83" t="s">
        <v>56</v>
      </c>
      <c r="D22" s="4" t="str">
        <f t="shared" si="0"/>
        <v>Taxa - kr</v>
      </c>
      <c r="E22" s="101"/>
      <c r="F22" s="61">
        <f>E22*INDEX(Konversionsfaktorer!C$5:C$21,MATCH(D22,Konversionsfaktorer!A$5:A$21,0))</f>
        <v>0</v>
      </c>
      <c r="H22" s="155"/>
      <c r="I22" s="156"/>
      <c r="J22" s="156"/>
      <c r="K22" s="156"/>
      <c r="L22" s="156"/>
      <c r="M22" s="156"/>
      <c r="N22" s="156"/>
      <c r="O22" s="157"/>
    </row>
    <row r="23" spans="1:15" ht="15">
      <c r="A23" s="9"/>
      <c r="B23" s="4" t="s">
        <v>40</v>
      </c>
      <c r="C23" s="4" t="s">
        <v>314</v>
      </c>
      <c r="D23" s="4"/>
      <c r="E23" s="101"/>
      <c r="F23" s="101">
        <f>E23</f>
        <v>0</v>
      </c>
    </row>
    <row r="24" spans="1:15" ht="15">
      <c r="A24" s="9"/>
      <c r="B24" s="4" t="s">
        <v>41</v>
      </c>
      <c r="C24" s="4" t="s">
        <v>314</v>
      </c>
      <c r="D24" s="4"/>
      <c r="E24" s="101"/>
      <c r="F24" s="101">
        <f>E24</f>
        <v>0</v>
      </c>
    </row>
    <row r="25" spans="1:15" s="2" customFormat="1" ht="15">
      <c r="A25" s="10"/>
      <c r="B25" s="4" t="s">
        <v>42</v>
      </c>
      <c r="C25" s="4" t="s">
        <v>314</v>
      </c>
      <c r="D25" s="4"/>
      <c r="E25" s="101"/>
      <c r="F25" s="83"/>
      <c r="G25"/>
    </row>
    <row r="26" spans="1:15" ht="15">
      <c r="A26" s="8"/>
      <c r="B26" s="8"/>
      <c r="C26" s="6"/>
      <c r="D26" s="6"/>
      <c r="E26" s="6"/>
      <c r="F26" s="25"/>
    </row>
    <row r="27" spans="1:15" ht="57">
      <c r="A27" s="2"/>
      <c r="B27" s="2"/>
      <c r="C27" s="3" t="s">
        <v>411</v>
      </c>
      <c r="D27" s="3"/>
      <c r="E27" s="3" t="s">
        <v>410</v>
      </c>
      <c r="F27" s="3" t="s">
        <v>50</v>
      </c>
      <c r="G27" s="3" t="s">
        <v>51</v>
      </c>
    </row>
    <row r="28" spans="1:15">
      <c r="C28" s="140">
        <v>8.1</v>
      </c>
      <c r="D28" s="114"/>
      <c r="E28" s="114">
        <f>C28*0.94</f>
        <v>7.613999999999999</v>
      </c>
      <c r="F28" s="114">
        <f>SUM(F5:F26)</f>
        <v>0</v>
      </c>
      <c r="G28" s="114">
        <f>(E28-F28)/E28*100+100</f>
        <v>200</v>
      </c>
    </row>
    <row r="29" spans="1:15" ht="18.75">
      <c r="C29" s="148" t="s">
        <v>53</v>
      </c>
      <c r="D29" s="148"/>
      <c r="E29" s="148"/>
      <c r="F29" s="148"/>
      <c r="G29" s="4" t="s">
        <v>52</v>
      </c>
    </row>
  </sheetData>
  <mergeCells count="7">
    <mergeCell ref="A1:B1"/>
    <mergeCell ref="B2:D2"/>
    <mergeCell ref="B3:D3"/>
    <mergeCell ref="C29:F29"/>
    <mergeCell ref="H9:O12"/>
    <mergeCell ref="H13:O19"/>
    <mergeCell ref="H20:O22"/>
  </mergeCells>
  <phoneticPr fontId="4" type="noConversion"/>
  <dataValidations count="2">
    <dataValidation type="list" allowBlank="1" showInputMessage="1" showErrorMessage="1" sqref="C15">
      <formula1>"kWh (el),km"</formula1>
    </dataValidation>
    <dataValidation type="list" allowBlank="1" showInputMessage="1" showErrorMessage="1" sqref="C22">
      <formula1>"kr,km"</formula1>
    </dataValidation>
  </dataValidation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4"/>
  <sheetViews>
    <sheetView showGridLines="0" workbookViewId="0">
      <selection activeCell="F11" sqref="F11"/>
    </sheetView>
  </sheetViews>
  <sheetFormatPr defaultRowHeight="14.25"/>
  <cols>
    <col min="1" max="1" width="30.75" bestFit="1" customWidth="1"/>
    <col min="2" max="2" width="44.875" customWidth="1"/>
    <col min="3" max="3" width="14" customWidth="1"/>
    <col min="4" max="4" width="12.375" hidden="1" customWidth="1"/>
    <col min="5" max="5" width="11.875" customWidth="1"/>
    <col min="6" max="7" width="11.75" customWidth="1"/>
  </cols>
  <sheetData>
    <row r="1" spans="1:15" ht="57">
      <c r="A1" s="143" t="s">
        <v>128</v>
      </c>
      <c r="B1" s="144"/>
      <c r="C1" s="11" t="s">
        <v>76</v>
      </c>
      <c r="D1" s="6"/>
      <c r="E1" s="12" t="s">
        <v>77</v>
      </c>
      <c r="F1" s="7" t="s">
        <v>36</v>
      </c>
    </row>
    <row r="2" spans="1:15" ht="15">
      <c r="A2" s="14" t="s">
        <v>78</v>
      </c>
      <c r="B2" s="145" t="s">
        <v>24</v>
      </c>
      <c r="C2" s="146"/>
      <c r="D2" s="147"/>
      <c r="E2" s="4">
        <f>Konversionsfaktorer!C2</f>
        <v>2011</v>
      </c>
      <c r="F2" s="4"/>
    </row>
    <row r="3" spans="1:15">
      <c r="A3" s="9"/>
      <c r="B3" s="145" t="s">
        <v>79</v>
      </c>
      <c r="C3" s="146"/>
      <c r="D3" s="147"/>
      <c r="E3" s="4" t="str">
        <f ca="1">MID(CELL("filename",E3),FIND("]",CELL("filename",E3))+1,99)</f>
        <v>Natur og Miljø</v>
      </c>
      <c r="F3" s="4"/>
    </row>
    <row r="4" spans="1:15">
      <c r="A4" s="6"/>
      <c r="B4" s="6"/>
      <c r="C4" s="6"/>
      <c r="D4" s="6"/>
      <c r="E4" s="6"/>
      <c r="F4" s="6"/>
    </row>
    <row r="5" spans="1:15" ht="15">
      <c r="A5" s="14" t="s">
        <v>25</v>
      </c>
      <c r="B5" s="4" t="s">
        <v>26</v>
      </c>
      <c r="C5" s="4" t="s">
        <v>48</v>
      </c>
      <c r="D5" s="4" t="str">
        <f>C5</f>
        <v>kWh (el)</v>
      </c>
      <c r="E5" s="101"/>
      <c r="F5" s="61">
        <f>E5*INDEX(Konversionsfaktorer!C$5:C$21,MATCH(D5,Konversionsfaktorer!A$5:A$21,0))</f>
        <v>0</v>
      </c>
      <c r="H5" s="70" t="s">
        <v>315</v>
      </c>
      <c r="I5" s="71"/>
      <c r="J5" s="71"/>
      <c r="K5" s="71"/>
      <c r="L5" s="71"/>
      <c r="M5" s="71"/>
      <c r="N5" s="71"/>
      <c r="O5" s="72"/>
    </row>
    <row r="6" spans="1:15" ht="15">
      <c r="A6" s="9"/>
      <c r="B6" s="4" t="s">
        <v>28</v>
      </c>
      <c r="C6" s="4" t="s">
        <v>48</v>
      </c>
      <c r="D6" s="4" t="str">
        <f>C6</f>
        <v>kWh (el)</v>
      </c>
      <c r="E6" s="101"/>
      <c r="F6" s="61">
        <f>E6*INDEX(Konversionsfaktorer!C$5:C$21,MATCH(D6,Konversionsfaktorer!A$5:A$21,0))</f>
        <v>0</v>
      </c>
      <c r="H6" s="73"/>
      <c r="I6" s="74"/>
      <c r="J6" s="74"/>
      <c r="K6" s="74"/>
      <c r="L6" s="74"/>
      <c r="M6" s="74"/>
      <c r="N6" s="74"/>
      <c r="O6" s="24"/>
    </row>
    <row r="7" spans="1:15" ht="15">
      <c r="A7" s="9"/>
      <c r="B7" s="4" t="s">
        <v>98</v>
      </c>
      <c r="C7" s="4" t="s">
        <v>48</v>
      </c>
      <c r="D7" s="4" t="str">
        <f>C7</f>
        <v>kWh (el)</v>
      </c>
      <c r="E7" s="102"/>
      <c r="F7" s="61">
        <f>E7*INDEX(Konversionsfaktorer!C$5:C$21,MATCH(D7,Konversionsfaktorer!A$5:A$21,0))</f>
        <v>0</v>
      </c>
      <c r="H7" s="73" t="s">
        <v>316</v>
      </c>
      <c r="I7" s="74"/>
      <c r="J7" s="74"/>
      <c r="K7" s="74"/>
      <c r="L7" s="74"/>
      <c r="M7" s="74"/>
      <c r="N7" s="74"/>
      <c r="O7" s="24"/>
    </row>
    <row r="8" spans="1:15" ht="15" customHeight="1">
      <c r="A8" s="10"/>
      <c r="B8" s="4" t="s">
        <v>34</v>
      </c>
      <c r="C8" s="4" t="s">
        <v>48</v>
      </c>
      <c r="D8" s="4" t="str">
        <f>C8</f>
        <v>kWh (el)</v>
      </c>
      <c r="E8" s="101">
        <f>296602+28251</f>
        <v>324853</v>
      </c>
      <c r="F8" s="61">
        <f>E8*INDEX(Konversionsfaktorer!C$5:C$21,MATCH(D8,Konversionsfaktorer!A$5:A$21,0))</f>
        <v>144.559585</v>
      </c>
      <c r="H8" s="73"/>
      <c r="I8" s="74"/>
      <c r="J8" s="74"/>
      <c r="K8" s="74"/>
      <c r="L8" s="74"/>
      <c r="M8" s="74"/>
      <c r="N8" s="74"/>
      <c r="O8" s="24"/>
    </row>
    <row r="9" spans="1:15" ht="15">
      <c r="A9" s="8"/>
      <c r="B9" s="8"/>
      <c r="C9" s="6"/>
      <c r="D9" s="6"/>
      <c r="E9" s="103"/>
      <c r="F9" s="24"/>
      <c r="H9" s="149" t="s">
        <v>318</v>
      </c>
      <c r="I9" s="150"/>
      <c r="J9" s="150"/>
      <c r="K9" s="150"/>
      <c r="L9" s="150"/>
      <c r="M9" s="150"/>
      <c r="N9" s="150"/>
      <c r="O9" s="151"/>
    </row>
    <row r="10" spans="1:15" ht="15">
      <c r="A10" s="14" t="s">
        <v>33</v>
      </c>
      <c r="B10" s="4" t="s">
        <v>29</v>
      </c>
      <c r="C10" s="4" t="s">
        <v>49</v>
      </c>
      <c r="D10" s="4" t="str">
        <f>C10</f>
        <v>kWh (fv)</v>
      </c>
      <c r="E10" s="101"/>
      <c r="F10" s="61">
        <f>33.732+242.619</f>
        <v>276.351</v>
      </c>
      <c r="H10" s="149"/>
      <c r="I10" s="150"/>
      <c r="J10" s="150"/>
      <c r="K10" s="150"/>
      <c r="L10" s="150"/>
      <c r="M10" s="150"/>
      <c r="N10" s="150"/>
      <c r="O10" s="151"/>
    </row>
    <row r="11" spans="1:15" ht="15">
      <c r="A11" s="9"/>
      <c r="B11" s="4" t="s">
        <v>35</v>
      </c>
      <c r="C11" s="4" t="s">
        <v>37</v>
      </c>
      <c r="D11" s="4" t="str">
        <f>B11&amp;" - "&amp;C11</f>
        <v>Fyringsolie - liter</v>
      </c>
      <c r="E11" s="101"/>
      <c r="F11" s="61">
        <f>E11*INDEX(Konversionsfaktorer!C$5:C$21,MATCH(D11,Konversionsfaktorer!A$5:A$21,0))</f>
        <v>0</v>
      </c>
      <c r="H11" s="149"/>
      <c r="I11" s="150"/>
      <c r="J11" s="150"/>
      <c r="K11" s="150"/>
      <c r="L11" s="150"/>
      <c r="M11" s="150"/>
      <c r="N11" s="150"/>
      <c r="O11" s="151"/>
    </row>
    <row r="12" spans="1:15" ht="15">
      <c r="A12" s="9"/>
      <c r="B12" s="4" t="s">
        <v>54</v>
      </c>
      <c r="C12" s="4" t="s">
        <v>55</v>
      </c>
      <c r="D12" s="4" t="str">
        <f>B12&amp;" - "&amp;C12</f>
        <v>Naturgas - m3</v>
      </c>
      <c r="E12" s="101"/>
      <c r="F12" s="61">
        <f>E12*INDEX(Konversionsfaktorer!C$5:C$21,MATCH(D12,Konversionsfaktorer!A$5:A$21,0))</f>
        <v>0</v>
      </c>
      <c r="H12" s="149"/>
      <c r="I12" s="150"/>
      <c r="J12" s="150"/>
      <c r="K12" s="150"/>
      <c r="L12" s="150"/>
      <c r="M12" s="150"/>
      <c r="N12" s="150"/>
      <c r="O12" s="151"/>
    </row>
    <row r="13" spans="1:15" ht="15">
      <c r="A13" s="10"/>
      <c r="B13" s="4" t="s">
        <v>25</v>
      </c>
      <c r="C13" s="4" t="s">
        <v>48</v>
      </c>
      <c r="D13" s="4" t="str">
        <f>C13</f>
        <v>kWh (el)</v>
      </c>
      <c r="E13" s="101"/>
      <c r="F13" s="61">
        <f>E13*INDEX(Konversionsfaktorer!C$5:C$21,MATCH(D13,Konversionsfaktorer!A$5:A$21,0))</f>
        <v>0</v>
      </c>
      <c r="H13" s="152" t="s">
        <v>319</v>
      </c>
      <c r="I13" s="153"/>
      <c r="J13" s="153"/>
      <c r="K13" s="153"/>
      <c r="L13" s="153"/>
      <c r="M13" s="153"/>
      <c r="N13" s="153"/>
      <c r="O13" s="154"/>
    </row>
    <row r="14" spans="1:15" ht="15">
      <c r="A14" s="8"/>
      <c r="B14" s="8"/>
      <c r="C14" s="6"/>
      <c r="D14" s="6"/>
      <c r="E14" s="103"/>
      <c r="F14" s="24"/>
      <c r="H14" s="149"/>
      <c r="I14" s="150"/>
      <c r="J14" s="150"/>
      <c r="K14" s="150"/>
      <c r="L14" s="150"/>
      <c r="M14" s="150"/>
      <c r="N14" s="150"/>
      <c r="O14" s="154"/>
    </row>
    <row r="15" spans="1:15" ht="15">
      <c r="A15" s="15" t="s">
        <v>31</v>
      </c>
      <c r="B15" s="4" t="s">
        <v>27</v>
      </c>
      <c r="C15" s="83" t="s">
        <v>47</v>
      </c>
      <c r="D15" s="4" t="str">
        <f t="shared" ref="D15:D22" si="0">B15&amp;" - "&amp;C15</f>
        <v>Elbiler - km</v>
      </c>
      <c r="E15" s="101"/>
      <c r="F15" s="61">
        <f>E15*INDEX(Konversionsfaktorer!C$5:C$21,MATCH(D15,Konversionsfaktorer!A$5:A$21,0))</f>
        <v>0</v>
      </c>
      <c r="H15" s="149"/>
      <c r="I15" s="150"/>
      <c r="J15" s="150"/>
      <c r="K15" s="150"/>
      <c r="L15" s="150"/>
      <c r="M15" s="150"/>
      <c r="N15" s="150"/>
      <c r="O15" s="154"/>
    </row>
    <row r="16" spans="1:15" ht="15">
      <c r="A16" s="9"/>
      <c r="B16" s="4" t="s">
        <v>38</v>
      </c>
      <c r="C16" s="4" t="s">
        <v>47</v>
      </c>
      <c r="D16" s="4" t="str">
        <f t="shared" si="0"/>
        <v>Medarbejderkørsel - km</v>
      </c>
      <c r="E16" s="101"/>
      <c r="F16" s="61">
        <f>E16*INDEX(Konversionsfaktorer!C$5:C$21,MATCH(D16,Konversionsfaktorer!A$5:A$21,0))</f>
        <v>0</v>
      </c>
      <c r="H16" s="149"/>
      <c r="I16" s="150"/>
      <c r="J16" s="150"/>
      <c r="K16" s="150"/>
      <c r="L16" s="150"/>
      <c r="M16" s="150"/>
      <c r="N16" s="150"/>
      <c r="O16" s="154"/>
    </row>
    <row r="17" spans="1:15" ht="15">
      <c r="A17" s="9"/>
      <c r="B17" s="4" t="s">
        <v>57</v>
      </c>
      <c r="C17" s="4" t="s">
        <v>47</v>
      </c>
      <c r="D17" s="4" t="str">
        <f t="shared" si="0"/>
        <v>Anden kørsel - km</v>
      </c>
      <c r="E17" s="101"/>
      <c r="F17" s="61">
        <f>E17*INDEX(Konversionsfaktorer!C$5:C$21,MATCH(D17,Konversionsfaktorer!A$5:A$21,0))</f>
        <v>0</v>
      </c>
      <c r="H17" s="149"/>
      <c r="I17" s="150"/>
      <c r="J17" s="150"/>
      <c r="K17" s="150"/>
      <c r="L17" s="150"/>
      <c r="M17" s="150"/>
      <c r="N17" s="150"/>
      <c r="O17" s="154"/>
    </row>
    <row r="18" spans="1:15" ht="15">
      <c r="A18" s="9"/>
      <c r="B18" s="4" t="s">
        <v>57</v>
      </c>
      <c r="C18" s="4" t="s">
        <v>56</v>
      </c>
      <c r="D18" s="4" t="str">
        <f t="shared" si="0"/>
        <v>Anden kørsel - kr</v>
      </c>
      <c r="E18" s="101"/>
      <c r="F18" s="61">
        <f>E18*INDEX(Konversionsfaktorer!C$5:C$21,MATCH(D18,Konversionsfaktorer!A$5:A$21,0))</f>
        <v>0</v>
      </c>
      <c r="H18" s="149"/>
      <c r="I18" s="150"/>
      <c r="J18" s="150"/>
      <c r="K18" s="150"/>
      <c r="L18" s="150"/>
      <c r="M18" s="150"/>
      <c r="N18" s="150"/>
      <c r="O18" s="154"/>
    </row>
    <row r="19" spans="1:15" ht="15">
      <c r="A19" s="9"/>
      <c r="B19" s="4" t="s">
        <v>46</v>
      </c>
      <c r="C19" s="4" t="s">
        <v>47</v>
      </c>
      <c r="D19" s="4" t="str">
        <f t="shared" si="0"/>
        <v>Hjemmehjælpen - km</v>
      </c>
      <c r="E19" s="102"/>
      <c r="F19" s="61">
        <f>E19*INDEX(Konversionsfaktorer!C$5:C$21,MATCH(D19,Konversionsfaktorer!A$5:A$21,0))</f>
        <v>0</v>
      </c>
      <c r="H19" s="149"/>
      <c r="I19" s="150"/>
      <c r="J19" s="150"/>
      <c r="K19" s="150"/>
      <c r="L19" s="150"/>
      <c r="M19" s="150"/>
      <c r="N19" s="150"/>
      <c r="O19" s="154"/>
    </row>
    <row r="20" spans="1:15" ht="15">
      <c r="A20" s="9"/>
      <c r="B20" s="4" t="s">
        <v>30</v>
      </c>
      <c r="C20" s="4" t="s">
        <v>37</v>
      </c>
      <c r="D20" s="4" t="str">
        <f t="shared" si="0"/>
        <v>Diesel - liter</v>
      </c>
      <c r="E20" s="101">
        <f>50244+8923</f>
        <v>59167</v>
      </c>
      <c r="F20" s="61">
        <f>E20*INDEX(Konversionsfaktorer!C$5:C$21,MATCH(D20,Konversionsfaktorer!A$5:A$21,0))</f>
        <v>156.79255000000001</v>
      </c>
      <c r="H20" s="149" t="s">
        <v>317</v>
      </c>
      <c r="I20" s="150"/>
      <c r="J20" s="150"/>
      <c r="K20" s="150"/>
      <c r="L20" s="150"/>
      <c r="M20" s="150"/>
      <c r="N20" s="150"/>
      <c r="O20" s="151"/>
    </row>
    <row r="21" spans="1:15" ht="15">
      <c r="A21" s="9"/>
      <c r="B21" s="4" t="s">
        <v>32</v>
      </c>
      <c r="C21" s="4" t="s">
        <v>37</v>
      </c>
      <c r="D21" s="4" t="str">
        <f t="shared" si="0"/>
        <v>Benzin - liter</v>
      </c>
      <c r="E21" s="101">
        <f>2072+1350+2400</f>
        <v>5822</v>
      </c>
      <c r="F21" s="61">
        <f>E21*INDEX(Konversionsfaktorer!C$5:C$21,MATCH(D21,Konversionsfaktorer!A$5:A$21,0))</f>
        <v>13.390599999999999</v>
      </c>
      <c r="H21" s="149"/>
      <c r="I21" s="150"/>
      <c r="J21" s="150"/>
      <c r="K21" s="150"/>
      <c r="L21" s="150"/>
      <c r="M21" s="150"/>
      <c r="N21" s="150"/>
      <c r="O21" s="151"/>
    </row>
    <row r="22" spans="1:15" ht="15">
      <c r="A22" s="9"/>
      <c r="B22" s="4" t="s">
        <v>39</v>
      </c>
      <c r="C22" s="83" t="s">
        <v>56</v>
      </c>
      <c r="D22" s="4" t="str">
        <f t="shared" si="0"/>
        <v>Taxa - kr</v>
      </c>
      <c r="E22" s="101"/>
      <c r="F22" s="61">
        <f>E22*INDEX(Konversionsfaktorer!C$5:C$21,MATCH(D22,Konversionsfaktorer!A$5:A$21,0))</f>
        <v>0</v>
      </c>
      <c r="H22" s="149"/>
      <c r="I22" s="150"/>
      <c r="J22" s="150"/>
      <c r="K22" s="150"/>
      <c r="L22" s="150"/>
      <c r="M22" s="150"/>
      <c r="N22" s="150"/>
      <c r="O22" s="151"/>
    </row>
    <row r="23" spans="1:15" ht="15">
      <c r="A23" s="9"/>
      <c r="B23" s="4" t="s">
        <v>40</v>
      </c>
      <c r="C23" s="4" t="s">
        <v>314</v>
      </c>
      <c r="D23" s="4"/>
      <c r="E23" s="101"/>
      <c r="F23" s="83"/>
      <c r="H23" s="158" t="s">
        <v>323</v>
      </c>
      <c r="I23" s="172"/>
      <c r="J23" s="172"/>
      <c r="K23" s="172"/>
      <c r="L23" s="172"/>
      <c r="M23" s="172"/>
      <c r="N23" s="172"/>
      <c r="O23" s="151"/>
    </row>
    <row r="24" spans="1:15" ht="15">
      <c r="A24" s="9"/>
      <c r="B24" s="4" t="s">
        <v>41</v>
      </c>
      <c r="C24" s="4" t="s">
        <v>314</v>
      </c>
      <c r="D24" s="4"/>
      <c r="E24" s="101"/>
      <c r="F24" s="83"/>
      <c r="H24" s="173"/>
      <c r="I24" s="174"/>
      <c r="J24" s="174"/>
      <c r="K24" s="174"/>
      <c r="L24" s="174"/>
      <c r="M24" s="174"/>
      <c r="N24" s="174"/>
      <c r="O24" s="157"/>
    </row>
    <row r="25" spans="1:15" ht="15">
      <c r="A25" s="10"/>
      <c r="B25" s="4" t="s">
        <v>42</v>
      </c>
      <c r="C25" s="4" t="s">
        <v>314</v>
      </c>
      <c r="D25" s="4"/>
      <c r="E25" s="101"/>
      <c r="F25" s="83"/>
    </row>
    <row r="26" spans="1:15" ht="15">
      <c r="A26" s="21"/>
      <c r="B26" s="22"/>
      <c r="C26" s="19"/>
      <c r="D26" s="19"/>
      <c r="E26" s="106"/>
      <c r="F26" s="20"/>
    </row>
    <row r="27" spans="1:15" ht="15">
      <c r="A27" s="16" t="s">
        <v>43</v>
      </c>
      <c r="B27" s="4" t="s">
        <v>84</v>
      </c>
      <c r="C27" s="4" t="s">
        <v>44</v>
      </c>
      <c r="D27" s="4" t="str">
        <f>B27&amp;" - "&amp;C27</f>
        <v>Forbrug af kunstgødning - Ton</v>
      </c>
      <c r="E27" s="101">
        <v>40</v>
      </c>
      <c r="F27" s="61">
        <f>CO2_sett_min_fer/1000</f>
        <v>227.91585599999996</v>
      </c>
    </row>
    <row r="28" spans="1:15" ht="15">
      <c r="A28" s="26"/>
      <c r="B28" s="4" t="s">
        <v>96</v>
      </c>
      <c r="C28" s="4" t="s">
        <v>44</v>
      </c>
      <c r="D28" s="4"/>
      <c r="E28" s="101"/>
      <c r="F28" s="61">
        <f>CO2_eq_SP/1000</f>
        <v>0</v>
      </c>
    </row>
    <row r="29" spans="1:15" ht="15">
      <c r="A29" s="17"/>
      <c r="B29" s="4" t="s">
        <v>97</v>
      </c>
      <c r="C29" s="4" t="s">
        <v>44</v>
      </c>
      <c r="D29" s="4" t="str">
        <f>B29&amp;" - "&amp;C29</f>
        <v>Forbrug af kalk - Ton</v>
      </c>
      <c r="E29" s="101"/>
      <c r="F29" s="61">
        <f>CO2_lime_sett</f>
        <v>0</v>
      </c>
    </row>
    <row r="30" spans="1:15">
      <c r="A30" s="18"/>
      <c r="B30" s="19"/>
      <c r="C30" s="19"/>
      <c r="D30" s="19"/>
      <c r="E30" s="106"/>
      <c r="F30" s="20"/>
    </row>
    <row r="31" spans="1:15" ht="15">
      <c r="A31" s="15" t="s">
        <v>85</v>
      </c>
      <c r="B31" s="4" t="s">
        <v>86</v>
      </c>
      <c r="C31" s="4" t="s">
        <v>45</v>
      </c>
      <c r="D31" s="4" t="str">
        <f>B31&amp;" - "&amp;C31</f>
        <v>Søareal før etablering af vådomr. - ha</v>
      </c>
      <c r="E31" s="101"/>
      <c r="F31" s="164">
        <f>Konversionsfaktorer!C85/1000</f>
        <v>-2551.7904949246813</v>
      </c>
    </row>
    <row r="32" spans="1:15" ht="15">
      <c r="A32" s="27"/>
      <c r="B32" s="4" t="s">
        <v>87</v>
      </c>
      <c r="C32" s="4" t="s">
        <v>45</v>
      </c>
      <c r="D32" s="4"/>
      <c r="E32" s="101">
        <v>220</v>
      </c>
      <c r="F32" s="165"/>
    </row>
    <row r="33" spans="1:7" ht="15">
      <c r="A33" s="27"/>
      <c r="B33" s="4" t="s">
        <v>88</v>
      </c>
      <c r="C33" s="4" t="s">
        <v>45</v>
      </c>
      <c r="D33" s="4"/>
      <c r="E33" s="101">
        <v>253</v>
      </c>
      <c r="F33" s="165"/>
    </row>
    <row r="34" spans="1:7" ht="15">
      <c r="A34" s="27"/>
      <c r="B34" s="4" t="s">
        <v>89</v>
      </c>
      <c r="C34" s="4" t="s">
        <v>45</v>
      </c>
      <c r="D34" s="4"/>
      <c r="E34" s="101">
        <v>146</v>
      </c>
      <c r="F34" s="165"/>
    </row>
    <row r="35" spans="1:7" ht="15">
      <c r="A35" s="28"/>
      <c r="B35" s="4" t="s">
        <v>90</v>
      </c>
      <c r="C35" s="4" t="s">
        <v>45</v>
      </c>
      <c r="D35" s="4" t="str">
        <f>B35&amp;" - "&amp;C35</f>
        <v>Landbrugsareal på humusjord, JB 11 - ha</v>
      </c>
      <c r="E35" s="101">
        <v>204</v>
      </c>
      <c r="F35" s="166"/>
    </row>
    <row r="36" spans="1:7">
      <c r="A36" s="18"/>
      <c r="B36" s="19"/>
      <c r="C36" s="19"/>
      <c r="D36" s="19"/>
      <c r="E36" s="106"/>
      <c r="F36" s="20"/>
    </row>
    <row r="37" spans="1:7" ht="15">
      <c r="A37" s="15" t="s">
        <v>91</v>
      </c>
      <c r="B37" s="4" t="s">
        <v>95</v>
      </c>
      <c r="C37" s="4" t="s">
        <v>45</v>
      </c>
      <c r="D37" s="4"/>
      <c r="E37" s="101"/>
      <c r="F37" s="167">
        <f>Konversionsfaktorer!C104</f>
        <v>-12670</v>
      </c>
    </row>
    <row r="38" spans="1:7" ht="15">
      <c r="A38" s="28"/>
      <c r="B38" s="4" t="s">
        <v>92</v>
      </c>
      <c r="C38" s="4" t="s">
        <v>45</v>
      </c>
      <c r="D38" s="4"/>
      <c r="E38" s="101">
        <v>724</v>
      </c>
      <c r="F38" s="168"/>
    </row>
    <row r="39" spans="1:7" ht="15">
      <c r="A39" s="28"/>
      <c r="B39" s="4" t="s">
        <v>94</v>
      </c>
      <c r="C39" s="4" t="s">
        <v>45</v>
      </c>
      <c r="D39" s="4"/>
      <c r="E39" s="101"/>
      <c r="F39" s="168"/>
    </row>
    <row r="40" spans="1:7" s="2" customFormat="1" ht="15">
      <c r="A40" s="29"/>
      <c r="B40" s="4" t="s">
        <v>93</v>
      </c>
      <c r="C40" s="4" t="s">
        <v>45</v>
      </c>
      <c r="D40" s="4"/>
      <c r="E40" s="101"/>
      <c r="F40" s="169"/>
      <c r="G40"/>
    </row>
    <row r="41" spans="1:7">
      <c r="A41" s="30"/>
      <c r="B41" s="77"/>
      <c r="C41" s="77"/>
      <c r="D41" s="77"/>
      <c r="E41" s="77"/>
      <c r="F41" s="78"/>
    </row>
    <row r="42" spans="1:7" ht="57">
      <c r="A42" s="2"/>
      <c r="B42" s="2"/>
      <c r="C42" s="3" t="s">
        <v>411</v>
      </c>
      <c r="D42" s="23"/>
      <c r="E42" s="3" t="s">
        <v>410</v>
      </c>
      <c r="F42" s="23" t="s">
        <v>50</v>
      </c>
      <c r="G42" s="3" t="s">
        <v>51</v>
      </c>
    </row>
    <row r="43" spans="1:7">
      <c r="C43" s="140">
        <v>-13953</v>
      </c>
      <c r="D43" s="114"/>
      <c r="E43" s="114">
        <f>C43*0.94</f>
        <v>-13115.82</v>
      </c>
      <c r="F43" s="114">
        <f>SUM(F5:F37)</f>
        <v>-14402.780903924682</v>
      </c>
      <c r="G43" s="114">
        <f>(E43-F43)/E43*100+100</f>
        <v>90.18772060058248</v>
      </c>
    </row>
    <row r="44" spans="1:7" ht="18.75">
      <c r="C44" s="148" t="s">
        <v>53</v>
      </c>
      <c r="D44" s="148"/>
      <c r="E44" s="148"/>
      <c r="F44" s="148"/>
      <c r="G44" s="4" t="s">
        <v>52</v>
      </c>
    </row>
  </sheetData>
  <mergeCells count="10">
    <mergeCell ref="A1:B1"/>
    <mergeCell ref="B2:D2"/>
    <mergeCell ref="B3:D3"/>
    <mergeCell ref="C44:F44"/>
    <mergeCell ref="F31:F35"/>
    <mergeCell ref="F37:F40"/>
    <mergeCell ref="H9:O12"/>
    <mergeCell ref="H13:O19"/>
    <mergeCell ref="H20:O22"/>
    <mergeCell ref="H23:O24"/>
  </mergeCells>
  <phoneticPr fontId="4" type="noConversion"/>
  <dataValidations count="2">
    <dataValidation type="list" allowBlank="1" showInputMessage="1" showErrorMessage="1" sqref="C15">
      <formula1>"kWh (el),km"</formula1>
    </dataValidation>
    <dataValidation type="list" allowBlank="1" showInputMessage="1" showErrorMessage="1" sqref="C22">
      <formula1>"kr,km"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9"/>
  <sheetViews>
    <sheetView showGridLines="0" workbookViewId="0">
      <selection activeCell="C28" sqref="C28:G28"/>
    </sheetView>
  </sheetViews>
  <sheetFormatPr defaultRowHeight="14.25"/>
  <cols>
    <col min="1" max="1" width="30.75" bestFit="1" customWidth="1"/>
    <col min="2" max="2" width="26.25" customWidth="1"/>
    <col min="3" max="3" width="13.125" customWidth="1"/>
    <col min="4" max="4" width="12.375" hidden="1" customWidth="1"/>
    <col min="5" max="5" width="11.875" customWidth="1"/>
    <col min="6" max="7" width="11.75" customWidth="1"/>
  </cols>
  <sheetData>
    <row r="1" spans="1:15" ht="57">
      <c r="A1" s="143" t="s">
        <v>129</v>
      </c>
      <c r="B1" s="144"/>
      <c r="C1" s="11" t="s">
        <v>76</v>
      </c>
      <c r="D1" s="6"/>
      <c r="E1" s="12" t="s">
        <v>77</v>
      </c>
      <c r="F1" s="7" t="s">
        <v>36</v>
      </c>
    </row>
    <row r="2" spans="1:15" ht="15">
      <c r="A2" s="14" t="s">
        <v>78</v>
      </c>
      <c r="B2" s="145" t="s">
        <v>24</v>
      </c>
      <c r="C2" s="146"/>
      <c r="D2" s="147"/>
      <c r="E2" s="4">
        <f>Konversionsfaktorer!C2</f>
        <v>2011</v>
      </c>
      <c r="F2" s="4"/>
    </row>
    <row r="3" spans="1:15">
      <c r="A3" s="9"/>
      <c r="B3" s="145" t="s">
        <v>79</v>
      </c>
      <c r="C3" s="146"/>
      <c r="D3" s="147"/>
      <c r="E3" s="4" t="str">
        <f ca="1">MID(CELL("filename",E3),FIND("]",CELL("filename",E3))+1,99)</f>
        <v>Planlægning og Byggeri</v>
      </c>
      <c r="F3" s="4"/>
    </row>
    <row r="4" spans="1:15">
      <c r="A4" s="6"/>
      <c r="B4" s="6"/>
      <c r="C4" s="6"/>
      <c r="D4" s="6"/>
      <c r="E4" s="6"/>
      <c r="F4" s="24"/>
    </row>
    <row r="5" spans="1:15" ht="15">
      <c r="A5" s="14" t="s">
        <v>25</v>
      </c>
      <c r="B5" s="4" t="s">
        <v>26</v>
      </c>
      <c r="C5" s="4" t="s">
        <v>48</v>
      </c>
      <c r="D5" s="4" t="str">
        <f>C5</f>
        <v>kWh (el)</v>
      </c>
      <c r="E5" s="101"/>
      <c r="F5" s="61">
        <f>E5*INDEX(Konversionsfaktorer!C$5:C$21,MATCH(D5,Konversionsfaktorer!A$5:A$21,0))</f>
        <v>0</v>
      </c>
      <c r="H5" s="70" t="s">
        <v>315</v>
      </c>
      <c r="I5" s="71"/>
      <c r="J5" s="71"/>
      <c r="K5" s="71"/>
      <c r="L5" s="71"/>
      <c r="M5" s="71"/>
      <c r="N5" s="71"/>
      <c r="O5" s="72"/>
    </row>
    <row r="6" spans="1:15" ht="15">
      <c r="A6" s="9"/>
      <c r="B6" s="4" t="s">
        <v>28</v>
      </c>
      <c r="C6" s="4" t="s">
        <v>48</v>
      </c>
      <c r="D6" s="4" t="str">
        <f>C6</f>
        <v>kWh (el)</v>
      </c>
      <c r="E6" s="101"/>
      <c r="F6" s="61">
        <f>E6*INDEX(Konversionsfaktorer!C$5:C$21,MATCH(D6,Konversionsfaktorer!A$5:A$21,0))</f>
        <v>0</v>
      </c>
      <c r="H6" s="73"/>
      <c r="I6" s="74"/>
      <c r="J6" s="74"/>
      <c r="K6" s="74"/>
      <c r="L6" s="74"/>
      <c r="M6" s="74"/>
      <c r="N6" s="74"/>
      <c r="O6" s="24"/>
    </row>
    <row r="7" spans="1:15" ht="15">
      <c r="A7" s="9"/>
      <c r="B7" s="4" t="s">
        <v>98</v>
      </c>
      <c r="C7" s="4" t="s">
        <v>48</v>
      </c>
      <c r="D7" s="4" t="str">
        <f>C7</f>
        <v>kWh (el)</v>
      </c>
      <c r="E7" s="102"/>
      <c r="F7" s="61">
        <f>E7*INDEX(Konversionsfaktorer!C$5:C$21,MATCH(D7,Konversionsfaktorer!A$5:A$21,0))</f>
        <v>0</v>
      </c>
      <c r="H7" s="73" t="s">
        <v>316</v>
      </c>
      <c r="I7" s="74"/>
      <c r="J7" s="74"/>
      <c r="K7" s="74"/>
      <c r="L7" s="74"/>
      <c r="M7" s="74"/>
      <c r="N7" s="74"/>
      <c r="O7" s="24"/>
    </row>
    <row r="8" spans="1:15" ht="15" customHeight="1">
      <c r="A8" s="10"/>
      <c r="B8" s="4" t="s">
        <v>34</v>
      </c>
      <c r="C8" s="4" t="s">
        <v>48</v>
      </c>
      <c r="D8" s="4" t="str">
        <f>C8</f>
        <v>kWh (el)</v>
      </c>
      <c r="E8" s="101"/>
      <c r="F8" s="61">
        <f>E8*INDEX(Konversionsfaktorer!C$5:C$21,MATCH(D8,Konversionsfaktorer!A$5:A$21,0))</f>
        <v>0</v>
      </c>
      <c r="H8" s="73"/>
      <c r="I8" s="74"/>
      <c r="J8" s="74"/>
      <c r="K8" s="74"/>
      <c r="L8" s="74"/>
      <c r="M8" s="74"/>
      <c r="N8" s="74"/>
      <c r="O8" s="24"/>
    </row>
    <row r="9" spans="1:15" ht="15">
      <c r="A9" s="8"/>
      <c r="B9" s="8"/>
      <c r="C9" s="6"/>
      <c r="D9" s="6"/>
      <c r="E9" s="103"/>
      <c r="F9" s="62"/>
      <c r="H9" s="149" t="s">
        <v>318</v>
      </c>
      <c r="I9" s="150"/>
      <c r="J9" s="150"/>
      <c r="K9" s="150"/>
      <c r="L9" s="150"/>
      <c r="M9" s="150"/>
      <c r="N9" s="150"/>
      <c r="O9" s="151"/>
    </row>
    <row r="10" spans="1:15" ht="15">
      <c r="A10" s="14" t="s">
        <v>33</v>
      </c>
      <c r="B10" s="4" t="s">
        <v>29</v>
      </c>
      <c r="C10" s="4" t="s">
        <v>49</v>
      </c>
      <c r="D10" s="4" t="str">
        <f>C10</f>
        <v>kWh (fv)</v>
      </c>
      <c r="E10" s="101"/>
      <c r="F10" s="61">
        <f>E10*INDEX(Konversionsfaktorer!C$5:C$21,MATCH(D10,Konversionsfaktorer!A$5:A$21,0))</f>
        <v>0</v>
      </c>
      <c r="H10" s="149"/>
      <c r="I10" s="150"/>
      <c r="J10" s="150"/>
      <c r="K10" s="150"/>
      <c r="L10" s="150"/>
      <c r="M10" s="150"/>
      <c r="N10" s="150"/>
      <c r="O10" s="151"/>
    </row>
    <row r="11" spans="1:15" ht="15">
      <c r="A11" s="9"/>
      <c r="B11" s="4" t="s">
        <v>35</v>
      </c>
      <c r="C11" s="4" t="s">
        <v>37</v>
      </c>
      <c r="D11" s="4" t="str">
        <f>B11&amp;" - "&amp;C11</f>
        <v>Fyringsolie - liter</v>
      </c>
      <c r="E11" s="101"/>
      <c r="F11" s="61">
        <f>E11*INDEX(Konversionsfaktorer!C$5:C$21,MATCH(D11,Konversionsfaktorer!A$5:A$21,0))</f>
        <v>0</v>
      </c>
      <c r="H11" s="149"/>
      <c r="I11" s="150"/>
      <c r="J11" s="150"/>
      <c r="K11" s="150"/>
      <c r="L11" s="150"/>
      <c r="M11" s="150"/>
      <c r="N11" s="150"/>
      <c r="O11" s="151"/>
    </row>
    <row r="12" spans="1:15" ht="15">
      <c r="A12" s="9"/>
      <c r="B12" s="4" t="s">
        <v>54</v>
      </c>
      <c r="C12" s="4" t="s">
        <v>55</v>
      </c>
      <c r="D12" s="4" t="str">
        <f>B12&amp;" - "&amp;C12</f>
        <v>Naturgas - m3</v>
      </c>
      <c r="E12" s="101"/>
      <c r="F12" s="61">
        <f>E12*INDEX(Konversionsfaktorer!C$5:C$21,MATCH(D12,Konversionsfaktorer!A$5:A$21,0))</f>
        <v>0</v>
      </c>
      <c r="H12" s="149"/>
      <c r="I12" s="150"/>
      <c r="J12" s="150"/>
      <c r="K12" s="150"/>
      <c r="L12" s="150"/>
      <c r="M12" s="150"/>
      <c r="N12" s="150"/>
      <c r="O12" s="151"/>
    </row>
    <row r="13" spans="1:15" ht="15">
      <c r="A13" s="10"/>
      <c r="B13" s="4" t="s">
        <v>25</v>
      </c>
      <c r="C13" s="4" t="s">
        <v>48</v>
      </c>
      <c r="D13" s="4" t="str">
        <f>C13</f>
        <v>kWh (el)</v>
      </c>
      <c r="E13" s="101"/>
      <c r="F13" s="61">
        <f>E13*INDEX(Konversionsfaktorer!C$5:C$21,MATCH(D13,Konversionsfaktorer!A$5:A$21,0))</f>
        <v>0</v>
      </c>
      <c r="H13" s="152" t="s">
        <v>319</v>
      </c>
      <c r="I13" s="153"/>
      <c r="J13" s="153"/>
      <c r="K13" s="153"/>
      <c r="L13" s="153"/>
      <c r="M13" s="153"/>
      <c r="N13" s="153"/>
      <c r="O13" s="154"/>
    </row>
    <row r="14" spans="1:15" ht="15">
      <c r="A14" s="8"/>
      <c r="B14" s="8"/>
      <c r="C14" s="6"/>
      <c r="D14" s="6"/>
      <c r="E14" s="103"/>
      <c r="F14" s="62"/>
      <c r="H14" s="149"/>
      <c r="I14" s="150"/>
      <c r="J14" s="150"/>
      <c r="K14" s="150"/>
      <c r="L14" s="150"/>
      <c r="M14" s="150"/>
      <c r="N14" s="150"/>
      <c r="O14" s="154"/>
    </row>
    <row r="15" spans="1:15" ht="15">
      <c r="A15" s="15" t="s">
        <v>31</v>
      </c>
      <c r="B15" s="4" t="s">
        <v>27</v>
      </c>
      <c r="C15" s="83" t="s">
        <v>47</v>
      </c>
      <c r="D15" s="4" t="str">
        <f t="shared" ref="D15:D22" si="0">B15&amp;" - "&amp;C15</f>
        <v>Elbiler - km</v>
      </c>
      <c r="E15" s="101"/>
      <c r="F15" s="61">
        <f>E15*INDEX(Konversionsfaktorer!C$5:C$21,MATCH(D15,Konversionsfaktorer!A$5:A$21,0))</f>
        <v>0</v>
      </c>
      <c r="H15" s="149"/>
      <c r="I15" s="150"/>
      <c r="J15" s="150"/>
      <c r="K15" s="150"/>
      <c r="L15" s="150"/>
      <c r="M15" s="150"/>
      <c r="N15" s="150"/>
      <c r="O15" s="154"/>
    </row>
    <row r="16" spans="1:15" ht="15">
      <c r="A16" s="9"/>
      <c r="B16" s="4" t="s">
        <v>38</v>
      </c>
      <c r="C16" s="4" t="s">
        <v>47</v>
      </c>
      <c r="D16" s="4" t="str">
        <f t="shared" si="0"/>
        <v>Medarbejderkørsel - km</v>
      </c>
      <c r="E16" s="101"/>
      <c r="F16" s="61">
        <f>E16*INDEX(Konversionsfaktorer!C$5:C$21,MATCH(D16,Konversionsfaktorer!A$5:A$21,0))</f>
        <v>0</v>
      </c>
      <c r="H16" s="149"/>
      <c r="I16" s="150"/>
      <c r="J16" s="150"/>
      <c r="K16" s="150"/>
      <c r="L16" s="150"/>
      <c r="M16" s="150"/>
      <c r="N16" s="150"/>
      <c r="O16" s="154"/>
    </row>
    <row r="17" spans="1:15" ht="15">
      <c r="A17" s="9"/>
      <c r="B17" s="4" t="s">
        <v>57</v>
      </c>
      <c r="C17" s="4" t="s">
        <v>47</v>
      </c>
      <c r="D17" s="4" t="str">
        <f t="shared" si="0"/>
        <v>Anden kørsel - km</v>
      </c>
      <c r="E17" s="101"/>
      <c r="F17" s="61">
        <f>E17*INDEX(Konversionsfaktorer!C$5:C$21,MATCH(D17,Konversionsfaktorer!A$5:A$21,0))</f>
        <v>0</v>
      </c>
      <c r="H17" s="149"/>
      <c r="I17" s="150"/>
      <c r="J17" s="150"/>
      <c r="K17" s="150"/>
      <c r="L17" s="150"/>
      <c r="M17" s="150"/>
      <c r="N17" s="150"/>
      <c r="O17" s="154"/>
    </row>
    <row r="18" spans="1:15" ht="15">
      <c r="A18" s="9"/>
      <c r="B18" s="4" t="s">
        <v>57</v>
      </c>
      <c r="C18" s="4" t="s">
        <v>56</v>
      </c>
      <c r="D18" s="4" t="str">
        <f t="shared" si="0"/>
        <v>Anden kørsel - kr</v>
      </c>
      <c r="E18" s="101"/>
      <c r="F18" s="61">
        <f>E18*INDEX(Konversionsfaktorer!C$5:C$21,MATCH(D18,Konversionsfaktorer!A$5:A$21,0))</f>
        <v>0</v>
      </c>
      <c r="H18" s="149"/>
      <c r="I18" s="150"/>
      <c r="J18" s="150"/>
      <c r="K18" s="150"/>
      <c r="L18" s="150"/>
      <c r="M18" s="150"/>
      <c r="N18" s="150"/>
      <c r="O18" s="154"/>
    </row>
    <row r="19" spans="1:15" ht="15">
      <c r="A19" s="9"/>
      <c r="B19" s="4" t="s">
        <v>46</v>
      </c>
      <c r="C19" s="4" t="s">
        <v>47</v>
      </c>
      <c r="D19" s="4" t="str">
        <f t="shared" si="0"/>
        <v>Hjemmehjælpen - km</v>
      </c>
      <c r="E19" s="102"/>
      <c r="F19" s="61">
        <f>E19*INDEX(Konversionsfaktorer!C$5:C$21,MATCH(D19,Konversionsfaktorer!A$5:A$21,0))</f>
        <v>0</v>
      </c>
      <c r="H19" s="149"/>
      <c r="I19" s="150"/>
      <c r="J19" s="150"/>
      <c r="K19" s="150"/>
      <c r="L19" s="150"/>
      <c r="M19" s="150"/>
      <c r="N19" s="150"/>
      <c r="O19" s="154"/>
    </row>
    <row r="20" spans="1:15" ht="15">
      <c r="A20" s="9"/>
      <c r="B20" s="4" t="s">
        <v>30</v>
      </c>
      <c r="C20" s="4" t="s">
        <v>37</v>
      </c>
      <c r="D20" s="4" t="str">
        <f t="shared" si="0"/>
        <v>Diesel - liter</v>
      </c>
      <c r="E20" s="101"/>
      <c r="F20" s="61">
        <f>E20*INDEX(Konversionsfaktorer!C$5:C$21,MATCH(D20,Konversionsfaktorer!A$5:A$21,0))</f>
        <v>0</v>
      </c>
      <c r="H20" s="149" t="s">
        <v>317</v>
      </c>
      <c r="I20" s="150"/>
      <c r="J20" s="150"/>
      <c r="K20" s="150"/>
      <c r="L20" s="150"/>
      <c r="M20" s="150"/>
      <c r="N20" s="150"/>
      <c r="O20" s="151"/>
    </row>
    <row r="21" spans="1:15" ht="15">
      <c r="A21" s="9"/>
      <c r="B21" s="4" t="s">
        <v>32</v>
      </c>
      <c r="C21" s="4" t="s">
        <v>37</v>
      </c>
      <c r="D21" s="4" t="str">
        <f t="shared" si="0"/>
        <v>Benzin - liter</v>
      </c>
      <c r="E21" s="101">
        <v>1270</v>
      </c>
      <c r="F21" s="61">
        <f>E21*INDEX(Konversionsfaktorer!C$5:C$21,MATCH(D21,Konversionsfaktorer!A$5:A$21,0))</f>
        <v>2.9209999999999998</v>
      </c>
      <c r="H21" s="149"/>
      <c r="I21" s="150"/>
      <c r="J21" s="150"/>
      <c r="K21" s="150"/>
      <c r="L21" s="150"/>
      <c r="M21" s="150"/>
      <c r="N21" s="150"/>
      <c r="O21" s="151"/>
    </row>
    <row r="22" spans="1:15" ht="15">
      <c r="A22" s="9"/>
      <c r="B22" s="4" t="s">
        <v>39</v>
      </c>
      <c r="C22" s="83" t="s">
        <v>56</v>
      </c>
      <c r="D22" s="4" t="str">
        <f t="shared" si="0"/>
        <v>Taxa - kr</v>
      </c>
      <c r="E22" s="101"/>
      <c r="F22" s="61">
        <f>E22*INDEX(Konversionsfaktorer!C$5:C$21,MATCH(D22,Konversionsfaktorer!A$5:A$21,0))</f>
        <v>0</v>
      </c>
      <c r="H22" s="155"/>
      <c r="I22" s="156"/>
      <c r="J22" s="156"/>
      <c r="K22" s="156"/>
      <c r="L22" s="156"/>
      <c r="M22" s="156"/>
      <c r="N22" s="156"/>
      <c r="O22" s="157"/>
    </row>
    <row r="23" spans="1:15" ht="15">
      <c r="A23" s="9"/>
      <c r="B23" s="4" t="s">
        <v>40</v>
      </c>
      <c r="C23" s="4" t="s">
        <v>314</v>
      </c>
      <c r="D23" s="4"/>
      <c r="E23" s="101"/>
      <c r="F23" s="83"/>
    </row>
    <row r="24" spans="1:15" ht="15">
      <c r="A24" s="9"/>
      <c r="B24" s="4" t="s">
        <v>41</v>
      </c>
      <c r="C24" s="4" t="s">
        <v>314</v>
      </c>
      <c r="D24" s="4"/>
      <c r="E24" s="101"/>
      <c r="F24" s="83"/>
    </row>
    <row r="25" spans="1:15" s="2" customFormat="1" ht="15">
      <c r="A25" s="10"/>
      <c r="B25" s="4" t="s">
        <v>42</v>
      </c>
      <c r="C25" s="4" t="s">
        <v>314</v>
      </c>
      <c r="D25" s="4"/>
      <c r="E25" s="101"/>
      <c r="F25" s="83"/>
      <c r="G25"/>
    </row>
    <row r="26" spans="1:15" ht="15">
      <c r="A26" s="8"/>
      <c r="B26" s="8"/>
      <c r="C26" s="6"/>
      <c r="D26" s="6"/>
      <c r="E26" s="6"/>
      <c r="F26" s="25"/>
    </row>
    <row r="27" spans="1:15" ht="57">
      <c r="A27" s="2"/>
      <c r="B27" s="2"/>
      <c r="C27" s="3" t="s">
        <v>411</v>
      </c>
      <c r="D27" s="3"/>
      <c r="E27" s="3" t="s">
        <v>410</v>
      </c>
      <c r="F27" s="3" t="s">
        <v>50</v>
      </c>
      <c r="G27" s="3" t="s">
        <v>51</v>
      </c>
    </row>
    <row r="28" spans="1:15">
      <c r="C28" s="140">
        <v>17</v>
      </c>
      <c r="D28" s="114"/>
      <c r="E28" s="114">
        <f>C28*0.94</f>
        <v>15.979999999999999</v>
      </c>
      <c r="F28" s="114">
        <f>SUM(F5:F26)</f>
        <v>2.9209999999999998</v>
      </c>
      <c r="G28" s="114">
        <f>(E28-F28)/E28*100+100</f>
        <v>181.72090112640802</v>
      </c>
    </row>
    <row r="29" spans="1:15" ht="18.75">
      <c r="C29" s="148" t="s">
        <v>53</v>
      </c>
      <c r="D29" s="148"/>
      <c r="E29" s="148"/>
      <c r="F29" s="148"/>
      <c r="G29" s="4" t="s">
        <v>52</v>
      </c>
    </row>
  </sheetData>
  <mergeCells count="7">
    <mergeCell ref="A1:B1"/>
    <mergeCell ref="B2:D2"/>
    <mergeCell ref="B3:D3"/>
    <mergeCell ref="C29:F29"/>
    <mergeCell ref="H9:O12"/>
    <mergeCell ref="H13:O19"/>
    <mergeCell ref="H20:O22"/>
  </mergeCells>
  <phoneticPr fontId="4" type="noConversion"/>
  <dataValidations count="2">
    <dataValidation type="list" allowBlank="1" showInputMessage="1" showErrorMessage="1" sqref="C15">
      <formula1>"kWh (el),km"</formula1>
    </dataValidation>
    <dataValidation type="list" allowBlank="1" showInputMessage="1" showErrorMessage="1" sqref="C22">
      <formula1>"kr,km"</formula1>
    </dataValidation>
  </dataValidation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9"/>
  <sheetViews>
    <sheetView showGridLines="0" workbookViewId="0">
      <selection activeCell="E20" sqref="E20"/>
    </sheetView>
  </sheetViews>
  <sheetFormatPr defaultRowHeight="14.25"/>
  <cols>
    <col min="1" max="1" width="30.75" bestFit="1" customWidth="1"/>
    <col min="2" max="2" width="26.25" customWidth="1"/>
    <col min="3" max="3" width="13.375" customWidth="1"/>
    <col min="4" max="4" width="12.375" hidden="1" customWidth="1"/>
    <col min="5" max="5" width="11.875" customWidth="1"/>
    <col min="6" max="7" width="11.75" customWidth="1"/>
  </cols>
  <sheetData>
    <row r="1" spans="1:15" ht="57">
      <c r="A1" s="143" t="s">
        <v>130</v>
      </c>
      <c r="B1" s="144"/>
      <c r="C1" s="11" t="s">
        <v>76</v>
      </c>
      <c r="D1" s="6"/>
      <c r="E1" s="12" t="s">
        <v>77</v>
      </c>
      <c r="F1" s="7" t="s">
        <v>36</v>
      </c>
    </row>
    <row r="2" spans="1:15" ht="15">
      <c r="A2" s="14" t="s">
        <v>78</v>
      </c>
      <c r="B2" s="145" t="s">
        <v>24</v>
      </c>
      <c r="C2" s="146"/>
      <c r="D2" s="147"/>
      <c r="E2" s="4">
        <f>Konversionsfaktorer!C2</f>
        <v>2011</v>
      </c>
      <c r="F2" s="4"/>
    </row>
    <row r="3" spans="1:15">
      <c r="A3" s="9"/>
      <c r="B3" s="145" t="s">
        <v>79</v>
      </c>
      <c r="C3" s="146"/>
      <c r="D3" s="147"/>
      <c r="E3" s="4" t="str">
        <f ca="1">MID(CELL("filename",E3),FIND("]",CELL("filename",E3))+1,99)</f>
        <v>Trafik og Veje</v>
      </c>
      <c r="F3" s="4"/>
    </row>
    <row r="4" spans="1:15">
      <c r="A4" s="6"/>
      <c r="B4" s="6"/>
      <c r="C4" s="6"/>
      <c r="D4" s="6"/>
      <c r="E4" s="6"/>
      <c r="F4" s="24"/>
    </row>
    <row r="5" spans="1:15" ht="15">
      <c r="A5" s="14" t="s">
        <v>25</v>
      </c>
      <c r="B5" s="4" t="s">
        <v>26</v>
      </c>
      <c r="C5" s="4" t="s">
        <v>48</v>
      </c>
      <c r="D5" s="4" t="str">
        <f>C5</f>
        <v>kWh (el)</v>
      </c>
      <c r="E5" s="101"/>
      <c r="F5" s="61">
        <f>E5*INDEX(Konversionsfaktorer!C$5:C$21,MATCH(D5,Konversionsfaktorer!A$5:A$21,0))</f>
        <v>0</v>
      </c>
      <c r="H5" s="70" t="s">
        <v>315</v>
      </c>
      <c r="I5" s="71"/>
      <c r="J5" s="71"/>
      <c r="K5" s="71"/>
      <c r="L5" s="71"/>
      <c r="M5" s="71"/>
      <c r="N5" s="71"/>
      <c r="O5" s="72"/>
    </row>
    <row r="6" spans="1:15" ht="15">
      <c r="A6" s="9"/>
      <c r="B6" s="4" t="s">
        <v>28</v>
      </c>
      <c r="C6" s="4" t="s">
        <v>48</v>
      </c>
      <c r="D6" s="4" t="str">
        <f>C6</f>
        <v>kWh (el)</v>
      </c>
      <c r="E6" s="101"/>
      <c r="F6" s="61">
        <f>E6*INDEX(Konversionsfaktorer!C$5:C$21,MATCH(D6,Konversionsfaktorer!A$5:A$21,0))</f>
        <v>0</v>
      </c>
      <c r="H6" s="73"/>
      <c r="I6" s="74"/>
      <c r="J6" s="74"/>
      <c r="K6" s="74"/>
      <c r="L6" s="74"/>
      <c r="M6" s="74"/>
      <c r="N6" s="74"/>
      <c r="O6" s="24"/>
    </row>
    <row r="7" spans="1:15" ht="15">
      <c r="A7" s="9"/>
      <c r="B7" s="4" t="s">
        <v>98</v>
      </c>
      <c r="C7" s="4" t="s">
        <v>48</v>
      </c>
      <c r="D7" s="4" t="str">
        <f>C7</f>
        <v>kWh (el)</v>
      </c>
      <c r="E7" s="101">
        <f>7455029+6014782+3911043</f>
        <v>17380854</v>
      </c>
      <c r="F7" s="61">
        <f>E7*INDEX(Konversionsfaktorer!C$5:C$21,MATCH(D7,Konversionsfaktorer!A$5:A$21,0))</f>
        <v>7734.4800299999997</v>
      </c>
      <c r="H7" s="73" t="s">
        <v>316</v>
      </c>
      <c r="I7" s="74"/>
      <c r="J7" s="74"/>
      <c r="K7" s="74"/>
      <c r="L7" s="74"/>
      <c r="M7" s="74"/>
      <c r="N7" s="74"/>
      <c r="O7" s="24"/>
    </row>
    <row r="8" spans="1:15" ht="15" customHeight="1">
      <c r="A8" s="10"/>
      <c r="B8" s="4" t="s">
        <v>34</v>
      </c>
      <c r="C8" s="4" t="s">
        <v>48</v>
      </c>
      <c r="D8" s="4" t="str">
        <f>C8</f>
        <v>kWh (el)</v>
      </c>
      <c r="E8" s="101"/>
      <c r="F8" s="61">
        <f>E8*INDEX(Konversionsfaktorer!C$5:C$21,MATCH(D8,Konversionsfaktorer!A$5:A$21,0))</f>
        <v>0</v>
      </c>
      <c r="H8" s="73"/>
      <c r="I8" s="74"/>
      <c r="J8" s="74"/>
      <c r="K8" s="74"/>
      <c r="L8" s="74"/>
      <c r="M8" s="74"/>
      <c r="N8" s="74"/>
      <c r="O8" s="24"/>
    </row>
    <row r="9" spans="1:15" ht="15">
      <c r="A9" s="8"/>
      <c r="B9" s="8"/>
      <c r="C9" s="6"/>
      <c r="D9" s="6"/>
      <c r="E9" s="103"/>
      <c r="F9" s="62"/>
      <c r="H9" s="149" t="s">
        <v>318</v>
      </c>
      <c r="I9" s="150"/>
      <c r="J9" s="150"/>
      <c r="K9" s="150"/>
      <c r="L9" s="150"/>
      <c r="M9" s="150"/>
      <c r="N9" s="150"/>
      <c r="O9" s="151"/>
    </row>
    <row r="10" spans="1:15" ht="15">
      <c r="A10" s="14" t="s">
        <v>33</v>
      </c>
      <c r="B10" s="4" t="s">
        <v>29</v>
      </c>
      <c r="C10" s="4" t="s">
        <v>49</v>
      </c>
      <c r="D10" s="4" t="str">
        <f>C10</f>
        <v>kWh (fv)</v>
      </c>
      <c r="E10" s="101"/>
      <c r="F10" s="61">
        <f>E10*INDEX(Konversionsfaktorer!C$5:C$21,MATCH(D10,Konversionsfaktorer!A$5:A$21,0))</f>
        <v>0</v>
      </c>
      <c r="H10" s="149"/>
      <c r="I10" s="150"/>
      <c r="J10" s="150"/>
      <c r="K10" s="150"/>
      <c r="L10" s="150"/>
      <c r="M10" s="150"/>
      <c r="N10" s="150"/>
      <c r="O10" s="151"/>
    </row>
    <row r="11" spans="1:15" ht="15">
      <c r="A11" s="9"/>
      <c r="B11" s="4" t="s">
        <v>35</v>
      </c>
      <c r="C11" s="4" t="s">
        <v>37</v>
      </c>
      <c r="D11" s="4" t="str">
        <f>B11&amp;" - "&amp;C11</f>
        <v>Fyringsolie - liter</v>
      </c>
      <c r="E11" s="101"/>
      <c r="F11" s="61">
        <f>E11*INDEX(Konversionsfaktorer!C$5:C$21,MATCH(D11,Konversionsfaktorer!A$5:A$21,0))</f>
        <v>0</v>
      </c>
      <c r="H11" s="149"/>
      <c r="I11" s="150"/>
      <c r="J11" s="150"/>
      <c r="K11" s="150"/>
      <c r="L11" s="150"/>
      <c r="M11" s="150"/>
      <c r="N11" s="150"/>
      <c r="O11" s="151"/>
    </row>
    <row r="12" spans="1:15" ht="15">
      <c r="A12" s="9"/>
      <c r="B12" s="4" t="s">
        <v>54</v>
      </c>
      <c r="C12" s="4" t="s">
        <v>55</v>
      </c>
      <c r="D12" s="4" t="str">
        <f>B12&amp;" - "&amp;C12</f>
        <v>Naturgas - m3</v>
      </c>
      <c r="E12" s="101"/>
      <c r="F12" s="61">
        <f>E12*INDEX(Konversionsfaktorer!C$5:C$21,MATCH(D12,Konversionsfaktorer!A$5:A$21,0))</f>
        <v>0</v>
      </c>
      <c r="H12" s="149"/>
      <c r="I12" s="150"/>
      <c r="J12" s="150"/>
      <c r="K12" s="150"/>
      <c r="L12" s="150"/>
      <c r="M12" s="150"/>
      <c r="N12" s="150"/>
      <c r="O12" s="151"/>
    </row>
    <row r="13" spans="1:15" ht="15">
      <c r="A13" s="10"/>
      <c r="B13" s="4" t="s">
        <v>25</v>
      </c>
      <c r="C13" s="4" t="s">
        <v>48</v>
      </c>
      <c r="D13" s="4" t="str">
        <f>C13</f>
        <v>kWh (el)</v>
      </c>
      <c r="E13" s="101"/>
      <c r="F13" s="61">
        <f>E13*INDEX(Konversionsfaktorer!C$5:C$21,MATCH(D13,Konversionsfaktorer!A$5:A$21,0))</f>
        <v>0</v>
      </c>
      <c r="H13" s="152" t="s">
        <v>319</v>
      </c>
      <c r="I13" s="153"/>
      <c r="J13" s="153"/>
      <c r="K13" s="153"/>
      <c r="L13" s="153"/>
      <c r="M13" s="153"/>
      <c r="N13" s="153"/>
      <c r="O13" s="154"/>
    </row>
    <row r="14" spans="1:15" ht="15">
      <c r="A14" s="8"/>
      <c r="B14" s="8"/>
      <c r="C14" s="6"/>
      <c r="D14" s="6"/>
      <c r="E14" s="103"/>
      <c r="F14" s="62"/>
      <c r="H14" s="149"/>
      <c r="I14" s="150"/>
      <c r="J14" s="150"/>
      <c r="K14" s="150"/>
      <c r="L14" s="150"/>
      <c r="M14" s="150"/>
      <c r="N14" s="150"/>
      <c r="O14" s="154"/>
    </row>
    <row r="15" spans="1:15" ht="15">
      <c r="A15" s="15" t="s">
        <v>31</v>
      </c>
      <c r="B15" s="4" t="s">
        <v>27</v>
      </c>
      <c r="C15" s="83" t="s">
        <v>47</v>
      </c>
      <c r="D15" s="4" t="str">
        <f t="shared" ref="D15:D22" si="0">B15&amp;" - "&amp;C15</f>
        <v>Elbiler - km</v>
      </c>
      <c r="E15" s="101"/>
      <c r="F15" s="61">
        <f>E15*INDEX(Konversionsfaktorer!C$5:C$21,MATCH(D15,Konversionsfaktorer!A$5:A$21,0))</f>
        <v>0</v>
      </c>
      <c r="H15" s="149"/>
      <c r="I15" s="150"/>
      <c r="J15" s="150"/>
      <c r="K15" s="150"/>
      <c r="L15" s="150"/>
      <c r="M15" s="150"/>
      <c r="N15" s="150"/>
      <c r="O15" s="154"/>
    </row>
    <row r="16" spans="1:15" ht="15">
      <c r="A16" s="9"/>
      <c r="B16" s="4" t="s">
        <v>38</v>
      </c>
      <c r="C16" s="4" t="s">
        <v>47</v>
      </c>
      <c r="D16" s="4" t="str">
        <f t="shared" si="0"/>
        <v>Medarbejderkørsel - km</v>
      </c>
      <c r="E16" s="101"/>
      <c r="F16" s="61">
        <f>E16*INDEX(Konversionsfaktorer!C$5:C$21,MATCH(D16,Konversionsfaktorer!A$5:A$21,0))</f>
        <v>0</v>
      </c>
      <c r="H16" s="149"/>
      <c r="I16" s="150"/>
      <c r="J16" s="150"/>
      <c r="K16" s="150"/>
      <c r="L16" s="150"/>
      <c r="M16" s="150"/>
      <c r="N16" s="150"/>
      <c r="O16" s="154"/>
    </row>
    <row r="17" spans="1:15" ht="15">
      <c r="A17" s="9"/>
      <c r="B17" s="4" t="s">
        <v>57</v>
      </c>
      <c r="C17" s="4" t="s">
        <v>47</v>
      </c>
      <c r="D17" s="4" t="str">
        <f t="shared" si="0"/>
        <v>Anden kørsel - km</v>
      </c>
      <c r="E17" s="101"/>
      <c r="F17" s="61">
        <f>E17*INDEX(Konversionsfaktorer!C$5:C$21,MATCH(D17,Konversionsfaktorer!A$5:A$21,0))</f>
        <v>0</v>
      </c>
      <c r="H17" s="149"/>
      <c r="I17" s="150"/>
      <c r="J17" s="150"/>
      <c r="K17" s="150"/>
      <c r="L17" s="150"/>
      <c r="M17" s="150"/>
      <c r="N17" s="150"/>
      <c r="O17" s="154"/>
    </row>
    <row r="18" spans="1:15" ht="15">
      <c r="A18" s="9"/>
      <c r="B18" s="4" t="s">
        <v>57</v>
      </c>
      <c r="C18" s="4" t="s">
        <v>56</v>
      </c>
      <c r="D18" s="4" t="str">
        <f t="shared" si="0"/>
        <v>Anden kørsel - kr</v>
      </c>
      <c r="E18" s="101"/>
      <c r="F18" s="61">
        <f>E18*INDEX(Konversionsfaktorer!C$5:C$21,MATCH(D18,Konversionsfaktorer!A$5:A$21,0))</f>
        <v>0</v>
      </c>
      <c r="H18" s="149"/>
      <c r="I18" s="150"/>
      <c r="J18" s="150"/>
      <c r="K18" s="150"/>
      <c r="L18" s="150"/>
      <c r="M18" s="150"/>
      <c r="N18" s="150"/>
      <c r="O18" s="154"/>
    </row>
    <row r="19" spans="1:15" ht="15">
      <c r="A19" s="9"/>
      <c r="B19" s="4" t="s">
        <v>46</v>
      </c>
      <c r="C19" s="4" t="s">
        <v>47</v>
      </c>
      <c r="D19" s="4" t="str">
        <f t="shared" si="0"/>
        <v>Hjemmehjælpen - km</v>
      </c>
      <c r="E19" s="102"/>
      <c r="F19" s="61">
        <f>E19*INDEX(Konversionsfaktorer!C$5:C$21,MATCH(D19,Konversionsfaktorer!A$5:A$21,0))</f>
        <v>0</v>
      </c>
      <c r="H19" s="149"/>
      <c r="I19" s="150"/>
      <c r="J19" s="150"/>
      <c r="K19" s="150"/>
      <c r="L19" s="150"/>
      <c r="M19" s="150"/>
      <c r="N19" s="150"/>
      <c r="O19" s="154"/>
    </row>
    <row r="20" spans="1:15" ht="15">
      <c r="A20" s="9"/>
      <c r="B20" s="4" t="s">
        <v>30</v>
      </c>
      <c r="C20" s="4" t="s">
        <v>37</v>
      </c>
      <c r="D20" s="4" t="str">
        <f t="shared" si="0"/>
        <v>Diesel - liter</v>
      </c>
      <c r="E20" s="101">
        <f>31700</f>
        <v>31700</v>
      </c>
      <c r="F20" s="61">
        <f>E20*INDEX(Konversionsfaktorer!C$5:C$21,MATCH(D20,Konversionsfaktorer!A$5:A$21,0))</f>
        <v>84.004999999999995</v>
      </c>
      <c r="H20" s="149" t="s">
        <v>317</v>
      </c>
      <c r="I20" s="150"/>
      <c r="J20" s="150"/>
      <c r="K20" s="150"/>
      <c r="L20" s="150"/>
      <c r="M20" s="150"/>
      <c r="N20" s="150"/>
      <c r="O20" s="151"/>
    </row>
    <row r="21" spans="1:15" ht="15">
      <c r="A21" s="9"/>
      <c r="B21" s="4" t="s">
        <v>32</v>
      </c>
      <c r="C21" s="4" t="s">
        <v>37</v>
      </c>
      <c r="D21" s="4" t="str">
        <f t="shared" si="0"/>
        <v>Benzin - liter</v>
      </c>
      <c r="E21" s="101">
        <f>9086</f>
        <v>9086</v>
      </c>
      <c r="F21" s="61">
        <f>E21*INDEX(Konversionsfaktorer!C$5:C$21,MATCH(D21,Konversionsfaktorer!A$5:A$21,0))</f>
        <v>20.8978</v>
      </c>
      <c r="H21" s="149"/>
      <c r="I21" s="150"/>
      <c r="J21" s="150"/>
      <c r="K21" s="150"/>
      <c r="L21" s="150"/>
      <c r="M21" s="150"/>
      <c r="N21" s="150"/>
      <c r="O21" s="151"/>
    </row>
    <row r="22" spans="1:15" ht="15">
      <c r="A22" s="9"/>
      <c r="B22" s="4" t="s">
        <v>39</v>
      </c>
      <c r="C22" s="83" t="s">
        <v>56</v>
      </c>
      <c r="D22" s="4" t="str">
        <f t="shared" si="0"/>
        <v>Taxa - kr</v>
      </c>
      <c r="E22" s="101"/>
      <c r="F22" s="61">
        <f>E22*INDEX(Konversionsfaktorer!C$5:C$21,MATCH(D22,Konversionsfaktorer!A$5:A$21,0))</f>
        <v>0</v>
      </c>
      <c r="H22" s="155"/>
      <c r="I22" s="156"/>
      <c r="J22" s="156"/>
      <c r="K22" s="156"/>
      <c r="L22" s="156"/>
      <c r="M22" s="156"/>
      <c r="N22" s="156"/>
      <c r="O22" s="157"/>
    </row>
    <row r="23" spans="1:15" ht="15">
      <c r="A23" s="9"/>
      <c r="B23" s="4" t="s">
        <v>40</v>
      </c>
      <c r="C23" s="4" t="s">
        <v>314</v>
      </c>
      <c r="D23" s="4"/>
      <c r="E23" s="101"/>
      <c r="F23" s="83"/>
    </row>
    <row r="24" spans="1:15" ht="15">
      <c r="A24" s="9"/>
      <c r="B24" s="4" t="s">
        <v>41</v>
      </c>
      <c r="C24" s="4" t="s">
        <v>314</v>
      </c>
      <c r="D24" s="4"/>
      <c r="E24" s="101"/>
      <c r="F24" s="83"/>
    </row>
    <row r="25" spans="1:15" ht="15">
      <c r="A25" s="10"/>
      <c r="B25" s="4" t="s">
        <v>42</v>
      </c>
      <c r="C25" s="4" t="s">
        <v>314</v>
      </c>
      <c r="D25" s="4"/>
      <c r="E25" s="101"/>
      <c r="F25" s="83"/>
    </row>
    <row r="26" spans="1:15" s="2" customFormat="1" ht="15">
      <c r="A26" s="8"/>
      <c r="B26" s="8"/>
      <c r="C26" s="6"/>
      <c r="D26" s="6"/>
      <c r="E26" s="6"/>
      <c r="F26" s="25"/>
      <c r="G26"/>
    </row>
    <row r="27" spans="1:15" ht="57">
      <c r="A27" s="2"/>
      <c r="B27" s="2"/>
      <c r="C27" s="3" t="s">
        <v>411</v>
      </c>
      <c r="D27" s="3"/>
      <c r="E27" s="3" t="s">
        <v>410</v>
      </c>
      <c r="F27" s="3" t="s">
        <v>50</v>
      </c>
      <c r="G27" s="3" t="s">
        <v>51</v>
      </c>
    </row>
    <row r="28" spans="1:15">
      <c r="C28" s="140">
        <v>9916</v>
      </c>
      <c r="D28" s="114"/>
      <c r="E28" s="114">
        <f>C28*0.94</f>
        <v>9321.0399999999991</v>
      </c>
      <c r="F28" s="114">
        <f>SUM(F5:F26)</f>
        <v>7839.3828299999996</v>
      </c>
      <c r="G28" s="114">
        <f>(E28-F28)/E28*100+100</f>
        <v>115.89583533597109</v>
      </c>
    </row>
    <row r="29" spans="1:15" ht="18.75">
      <c r="C29" s="148" t="s">
        <v>53</v>
      </c>
      <c r="D29" s="148"/>
      <c r="E29" s="148"/>
      <c r="F29" s="148"/>
      <c r="G29" s="4" t="s">
        <v>52</v>
      </c>
    </row>
  </sheetData>
  <mergeCells count="7">
    <mergeCell ref="A1:B1"/>
    <mergeCell ref="B2:D2"/>
    <mergeCell ref="B3:D3"/>
    <mergeCell ref="C29:F29"/>
    <mergeCell ref="H9:O12"/>
    <mergeCell ref="H13:O19"/>
    <mergeCell ref="H20:O22"/>
  </mergeCells>
  <phoneticPr fontId="4" type="noConversion"/>
  <dataValidations count="2">
    <dataValidation type="list" allowBlank="1" showInputMessage="1" showErrorMessage="1" sqref="C15">
      <formula1>"kWh (el),km"</formula1>
    </dataValidation>
    <dataValidation type="list" allowBlank="1" showInputMessage="1" showErrorMessage="1" sqref="C22">
      <formula1>"kr,km"</formula1>
    </dataValidation>
  </dataValidation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9"/>
  <sheetViews>
    <sheetView showGridLines="0" workbookViewId="0">
      <selection activeCell="F11" sqref="F11"/>
    </sheetView>
  </sheetViews>
  <sheetFormatPr defaultRowHeight="14.25"/>
  <cols>
    <col min="1" max="1" width="30.75" bestFit="1" customWidth="1"/>
    <col min="2" max="2" width="26.25" customWidth="1"/>
    <col min="3" max="3" width="13.75" customWidth="1"/>
    <col min="4" max="4" width="12.375" hidden="1" customWidth="1"/>
    <col min="5" max="5" width="11.875" customWidth="1"/>
    <col min="6" max="7" width="11.75" customWidth="1"/>
  </cols>
  <sheetData>
    <row r="1" spans="1:15" ht="57">
      <c r="A1" s="143" t="s">
        <v>131</v>
      </c>
      <c r="B1" s="144"/>
      <c r="C1" s="11" t="s">
        <v>76</v>
      </c>
      <c r="D1" s="6"/>
      <c r="E1" s="12" t="s">
        <v>77</v>
      </c>
      <c r="F1" s="7" t="s">
        <v>36</v>
      </c>
    </row>
    <row r="2" spans="1:15" ht="15">
      <c r="A2" s="14" t="s">
        <v>78</v>
      </c>
      <c r="B2" s="145" t="s">
        <v>24</v>
      </c>
      <c r="C2" s="146"/>
      <c r="D2" s="147"/>
      <c r="E2" s="4">
        <f>Konversionsfaktorer!C2</f>
        <v>2011</v>
      </c>
      <c r="F2" s="4"/>
    </row>
    <row r="3" spans="1:15">
      <c r="A3" s="9"/>
      <c r="B3" s="145" t="s">
        <v>79</v>
      </c>
      <c r="C3" s="146"/>
      <c r="D3" s="147"/>
      <c r="E3" s="4" t="str">
        <f ca="1">MID(CELL("filename",E3),FIND("]",CELL("filename",E3))+1,99)</f>
        <v>Natur og Vejservice</v>
      </c>
      <c r="F3" s="4"/>
    </row>
    <row r="4" spans="1:15">
      <c r="A4" s="6"/>
      <c r="B4" s="6"/>
      <c r="C4" s="6"/>
      <c r="D4" s="6"/>
      <c r="E4" s="6"/>
      <c r="F4" s="24"/>
    </row>
    <row r="5" spans="1:15" ht="15">
      <c r="A5" s="14" t="s">
        <v>25</v>
      </c>
      <c r="B5" s="4" t="s">
        <v>26</v>
      </c>
      <c r="C5" s="4" t="s">
        <v>48</v>
      </c>
      <c r="D5" s="4" t="str">
        <f>C5</f>
        <v>kWh (el)</v>
      </c>
      <c r="E5" s="101"/>
      <c r="F5" s="61">
        <f>E5*INDEX(Konversionsfaktorer!C$5:C$21,MATCH(D5,Konversionsfaktorer!A$5:A$21,0))</f>
        <v>0</v>
      </c>
      <c r="H5" s="70" t="s">
        <v>315</v>
      </c>
      <c r="I5" s="71"/>
      <c r="J5" s="71"/>
      <c r="K5" s="71"/>
      <c r="L5" s="71"/>
      <c r="M5" s="71"/>
      <c r="N5" s="71"/>
      <c r="O5" s="72"/>
    </row>
    <row r="6" spans="1:15" ht="15">
      <c r="A6" s="9"/>
      <c r="B6" s="4" t="s">
        <v>28</v>
      </c>
      <c r="C6" s="4" t="s">
        <v>48</v>
      </c>
      <c r="D6" s="4" t="str">
        <f>C6</f>
        <v>kWh (el)</v>
      </c>
      <c r="E6" s="101"/>
      <c r="F6" s="61">
        <f>E6*INDEX(Konversionsfaktorer!C$5:C$21,MATCH(D6,Konversionsfaktorer!A$5:A$21,0))</f>
        <v>0</v>
      </c>
      <c r="H6" s="73"/>
      <c r="I6" s="74"/>
      <c r="J6" s="74"/>
      <c r="K6" s="74"/>
      <c r="L6" s="74"/>
      <c r="M6" s="74"/>
      <c r="N6" s="74"/>
      <c r="O6" s="24"/>
    </row>
    <row r="7" spans="1:15" ht="15" customHeight="1">
      <c r="A7" s="9"/>
      <c r="B7" s="4" t="s">
        <v>98</v>
      </c>
      <c r="C7" s="4" t="s">
        <v>48</v>
      </c>
      <c r="D7" s="4" t="str">
        <f>C7</f>
        <v>kWh (el)</v>
      </c>
      <c r="E7" s="102"/>
      <c r="F7" s="61">
        <f>E7*INDEX(Konversionsfaktorer!C$5:C$21,MATCH(D7,Konversionsfaktorer!A$5:A$21,0))</f>
        <v>0</v>
      </c>
      <c r="H7" s="73" t="s">
        <v>316</v>
      </c>
      <c r="I7" s="74"/>
      <c r="J7" s="74"/>
      <c r="K7" s="74"/>
      <c r="L7" s="74"/>
      <c r="M7" s="74"/>
      <c r="N7" s="74"/>
      <c r="O7" s="24"/>
    </row>
    <row r="8" spans="1:15" ht="15">
      <c r="A8" s="10"/>
      <c r="B8" s="4" t="s">
        <v>34</v>
      </c>
      <c r="C8" s="4" t="s">
        <v>48</v>
      </c>
      <c r="D8" s="4" t="str">
        <f>C8</f>
        <v>kWh (el)</v>
      </c>
      <c r="E8" s="101">
        <f>521519+3159</f>
        <v>524678</v>
      </c>
      <c r="F8" s="61">
        <f>E8*INDEX(Konversionsfaktorer!C$5:C$21,MATCH(D8,Konversionsfaktorer!A$5:A$21,0))</f>
        <v>233.48170999999999</v>
      </c>
      <c r="H8" s="73"/>
      <c r="I8" s="74"/>
      <c r="J8" s="74"/>
      <c r="K8" s="74"/>
      <c r="L8" s="74"/>
      <c r="M8" s="74"/>
      <c r="N8" s="74"/>
      <c r="O8" s="24"/>
    </row>
    <row r="9" spans="1:15" ht="15" customHeight="1">
      <c r="A9" s="8"/>
      <c r="B9" s="8"/>
      <c r="C9" s="6"/>
      <c r="D9" s="6"/>
      <c r="E9" s="103"/>
      <c r="F9" s="62"/>
      <c r="H9" s="149" t="s">
        <v>324</v>
      </c>
      <c r="I9" s="150"/>
      <c r="J9" s="150"/>
      <c r="K9" s="150"/>
      <c r="L9" s="150"/>
      <c r="M9" s="150"/>
      <c r="N9" s="150"/>
      <c r="O9" s="151"/>
    </row>
    <row r="10" spans="1:15" ht="15">
      <c r="A10" s="14" t="s">
        <v>33</v>
      </c>
      <c r="B10" s="4" t="s">
        <v>29</v>
      </c>
      <c r="C10" s="4" t="s">
        <v>49</v>
      </c>
      <c r="D10" s="4" t="str">
        <f>C10</f>
        <v>kWh (fv)</v>
      </c>
      <c r="E10" s="101"/>
      <c r="F10" s="61">
        <v>209.84399999999999</v>
      </c>
      <c r="H10" s="149"/>
      <c r="I10" s="150"/>
      <c r="J10" s="150"/>
      <c r="K10" s="150"/>
      <c r="L10" s="150"/>
      <c r="M10" s="150"/>
      <c r="N10" s="150"/>
      <c r="O10" s="151"/>
    </row>
    <row r="11" spans="1:15" ht="15">
      <c r="A11" s="9"/>
      <c r="B11" s="4" t="s">
        <v>35</v>
      </c>
      <c r="C11" s="4" t="s">
        <v>37</v>
      </c>
      <c r="D11" s="4" t="str">
        <f>B11&amp;" - "&amp;C11</f>
        <v>Fyringsolie - liter</v>
      </c>
      <c r="E11" s="101"/>
      <c r="F11" s="61">
        <f>E11*INDEX(Konversionsfaktorer!C$5:C$21,MATCH(D11,Konversionsfaktorer!A$5:A$21,0))</f>
        <v>0</v>
      </c>
      <c r="H11" s="149"/>
      <c r="I11" s="150"/>
      <c r="J11" s="150"/>
      <c r="K11" s="150"/>
      <c r="L11" s="150"/>
      <c r="M11" s="150"/>
      <c r="N11" s="150"/>
      <c r="O11" s="151"/>
    </row>
    <row r="12" spans="1:15" ht="15">
      <c r="A12" s="9"/>
      <c r="B12" s="4" t="s">
        <v>54</v>
      </c>
      <c r="C12" s="4" t="s">
        <v>55</v>
      </c>
      <c r="D12" s="4" t="str">
        <f>B12&amp;" - "&amp;C12</f>
        <v>Naturgas - m3</v>
      </c>
      <c r="E12" s="101"/>
      <c r="F12" s="61">
        <f>E12*INDEX(Konversionsfaktorer!C$5:C$21,MATCH(D12,Konversionsfaktorer!A$5:A$21,0))</f>
        <v>0</v>
      </c>
      <c r="H12" s="149"/>
      <c r="I12" s="150"/>
      <c r="J12" s="150"/>
      <c r="K12" s="150"/>
      <c r="L12" s="150"/>
      <c r="M12" s="150"/>
      <c r="N12" s="150"/>
      <c r="O12" s="151"/>
    </row>
    <row r="13" spans="1:15" ht="15" customHeight="1">
      <c r="A13" s="10"/>
      <c r="B13" s="4" t="s">
        <v>25</v>
      </c>
      <c r="C13" s="4" t="s">
        <v>48</v>
      </c>
      <c r="D13" s="4" t="str">
        <f>C13</f>
        <v>kWh (el)</v>
      </c>
      <c r="E13" s="101"/>
      <c r="F13" s="61">
        <f>E13*INDEX(Konversionsfaktorer!C$5:C$21,MATCH(D13,Konversionsfaktorer!A$5:A$21,0))</f>
        <v>0</v>
      </c>
      <c r="H13" s="170" t="s">
        <v>319</v>
      </c>
      <c r="I13" s="171"/>
      <c r="J13" s="171"/>
      <c r="K13" s="171"/>
      <c r="L13" s="171"/>
      <c r="M13" s="171"/>
      <c r="N13" s="171"/>
      <c r="O13" s="151"/>
    </row>
    <row r="14" spans="1:15" ht="15">
      <c r="A14" s="8"/>
      <c r="B14" s="8"/>
      <c r="C14" s="6"/>
      <c r="D14" s="6"/>
      <c r="E14" s="103"/>
      <c r="F14" s="62"/>
      <c r="H14" s="158"/>
      <c r="I14" s="172"/>
      <c r="J14" s="172"/>
      <c r="K14" s="172"/>
      <c r="L14" s="172"/>
      <c r="M14" s="172"/>
      <c r="N14" s="172"/>
      <c r="O14" s="151"/>
    </row>
    <row r="15" spans="1:15" ht="15">
      <c r="A15" s="15" t="s">
        <v>31</v>
      </c>
      <c r="B15" s="4" t="s">
        <v>27</v>
      </c>
      <c r="C15" s="83" t="s">
        <v>47</v>
      </c>
      <c r="D15" s="4" t="str">
        <f t="shared" ref="D15:D23" si="0">B15&amp;" - "&amp;C15</f>
        <v>Elbiler - km</v>
      </c>
      <c r="E15" s="101"/>
      <c r="F15" s="61">
        <f>E15*INDEX(Konversionsfaktorer!C$5:C$21,MATCH(D15,Konversionsfaktorer!A$5:A$21,0))</f>
        <v>0</v>
      </c>
      <c r="H15" s="158"/>
      <c r="I15" s="172"/>
      <c r="J15" s="172"/>
      <c r="K15" s="172"/>
      <c r="L15" s="172"/>
      <c r="M15" s="172"/>
      <c r="N15" s="172"/>
      <c r="O15" s="151"/>
    </row>
    <row r="16" spans="1:15" ht="15">
      <c r="A16" s="9"/>
      <c r="B16" s="4" t="s">
        <v>38</v>
      </c>
      <c r="C16" s="4" t="s">
        <v>47</v>
      </c>
      <c r="D16" s="4" t="str">
        <f t="shared" si="0"/>
        <v>Medarbejderkørsel - km</v>
      </c>
      <c r="E16" s="101"/>
      <c r="F16" s="61">
        <f>E16*INDEX(Konversionsfaktorer!C$5:C$21,MATCH(D16,Konversionsfaktorer!A$5:A$21,0))</f>
        <v>0</v>
      </c>
      <c r="H16" s="158"/>
      <c r="I16" s="172"/>
      <c r="J16" s="172"/>
      <c r="K16" s="172"/>
      <c r="L16" s="172"/>
      <c r="M16" s="172"/>
      <c r="N16" s="172"/>
      <c r="O16" s="151"/>
    </row>
    <row r="17" spans="1:15" ht="15">
      <c r="A17" s="9"/>
      <c r="B17" s="4" t="s">
        <v>57</v>
      </c>
      <c r="C17" s="4" t="s">
        <v>47</v>
      </c>
      <c r="D17" s="4" t="str">
        <f t="shared" si="0"/>
        <v>Anden kørsel - km</v>
      </c>
      <c r="E17" s="101"/>
      <c r="F17" s="61">
        <f>E17*INDEX(Konversionsfaktorer!C$5:C$21,MATCH(D17,Konversionsfaktorer!A$5:A$21,0))</f>
        <v>0</v>
      </c>
      <c r="H17" s="158"/>
      <c r="I17" s="172"/>
      <c r="J17" s="172"/>
      <c r="K17" s="172"/>
      <c r="L17" s="172"/>
      <c r="M17" s="172"/>
      <c r="N17" s="172"/>
      <c r="O17" s="151"/>
    </row>
    <row r="18" spans="1:15" ht="15">
      <c r="A18" s="9"/>
      <c r="B18" s="4" t="s">
        <v>57</v>
      </c>
      <c r="C18" s="4" t="s">
        <v>56</v>
      </c>
      <c r="D18" s="4" t="str">
        <f t="shared" si="0"/>
        <v>Anden kørsel - kr</v>
      </c>
      <c r="E18" s="101"/>
      <c r="F18" s="61">
        <f>E18*INDEX(Konversionsfaktorer!C$5:C$21,MATCH(D18,Konversionsfaktorer!A$5:A$21,0))</f>
        <v>0</v>
      </c>
      <c r="H18" s="158"/>
      <c r="I18" s="172"/>
      <c r="J18" s="172"/>
      <c r="K18" s="172"/>
      <c r="L18" s="172"/>
      <c r="M18" s="172"/>
      <c r="N18" s="172"/>
      <c r="O18" s="151"/>
    </row>
    <row r="19" spans="1:15" ht="15">
      <c r="A19" s="9"/>
      <c r="B19" s="4" t="s">
        <v>46</v>
      </c>
      <c r="C19" s="4" t="s">
        <v>47</v>
      </c>
      <c r="D19" s="4" t="str">
        <f t="shared" si="0"/>
        <v>Hjemmehjælpen - km</v>
      </c>
      <c r="E19" s="102"/>
      <c r="F19" s="61">
        <f>E19*INDEX(Konversionsfaktorer!C$5:C$21,MATCH(D19,Konversionsfaktorer!A$5:A$21,0))</f>
        <v>0</v>
      </c>
      <c r="H19" s="158"/>
      <c r="I19" s="172"/>
      <c r="J19" s="172"/>
      <c r="K19" s="172"/>
      <c r="L19" s="172"/>
      <c r="M19" s="172"/>
      <c r="N19" s="172"/>
      <c r="O19" s="151"/>
    </row>
    <row r="20" spans="1:15" ht="15" customHeight="1">
      <c r="A20" s="9"/>
      <c r="B20" s="4" t="s">
        <v>30</v>
      </c>
      <c r="C20" s="4" t="s">
        <v>37</v>
      </c>
      <c r="D20" s="4" t="str">
        <f t="shared" si="0"/>
        <v>Diesel - liter</v>
      </c>
      <c r="E20" s="101">
        <f>640+36249+3706+2009+11298</f>
        <v>53902</v>
      </c>
      <c r="F20" s="61">
        <f>E20*INDEX(Konversionsfaktorer!C$5:C$21,MATCH(D20,Konversionsfaktorer!A$5:A$21,0))</f>
        <v>142.84030000000001</v>
      </c>
      <c r="H20" s="73"/>
      <c r="I20" s="74"/>
      <c r="J20" s="74"/>
      <c r="K20" s="74"/>
      <c r="L20" s="74"/>
      <c r="M20" s="74"/>
      <c r="N20" s="74"/>
      <c r="O20" s="24"/>
    </row>
    <row r="21" spans="1:15" ht="15">
      <c r="A21" s="9"/>
      <c r="B21" s="4" t="s">
        <v>32</v>
      </c>
      <c r="C21" s="4" t="s">
        <v>37</v>
      </c>
      <c r="D21" s="4" t="str">
        <f t="shared" si="0"/>
        <v>Benzin - liter</v>
      </c>
      <c r="E21" s="101">
        <f>640+894+400+40+1300+900</f>
        <v>4174</v>
      </c>
      <c r="F21" s="61">
        <f>E21*INDEX(Konversionsfaktorer!C$5:C$21,MATCH(D21,Konversionsfaktorer!A$5:A$21,0))</f>
        <v>9.6001999999999992</v>
      </c>
      <c r="H21" s="75" t="s">
        <v>326</v>
      </c>
      <c r="I21" s="76"/>
      <c r="J21" s="76"/>
      <c r="K21" s="76"/>
      <c r="L21" s="76"/>
      <c r="M21" s="76"/>
      <c r="N21" s="76"/>
      <c r="O21" s="25"/>
    </row>
    <row r="22" spans="1:15" ht="15">
      <c r="A22" s="9"/>
      <c r="B22" s="4" t="s">
        <v>39</v>
      </c>
      <c r="C22" s="83" t="s">
        <v>56</v>
      </c>
      <c r="D22" s="4" t="str">
        <f t="shared" si="0"/>
        <v>Taxa - kr</v>
      </c>
      <c r="E22" s="101"/>
      <c r="F22" s="61">
        <f>E22*INDEX(Konversionsfaktorer!C$5:C$21,MATCH(D22,Konversionsfaktorer!A$5:A$21,0))</f>
        <v>0</v>
      </c>
    </row>
    <row r="23" spans="1:15" ht="15">
      <c r="A23" s="9"/>
      <c r="B23" s="4" t="s">
        <v>40</v>
      </c>
      <c r="C23" s="4" t="s">
        <v>314</v>
      </c>
      <c r="D23" s="4" t="str">
        <f t="shared" si="0"/>
        <v>Fly - (rejsebureauet)</v>
      </c>
      <c r="E23" s="101"/>
      <c r="F23" s="83"/>
    </row>
    <row r="24" spans="1:15" ht="15">
      <c r="A24" s="9"/>
      <c r="B24" s="4" t="s">
        <v>41</v>
      </c>
      <c r="C24" s="4" t="s">
        <v>314</v>
      </c>
      <c r="D24" s="4"/>
      <c r="E24" s="101"/>
      <c r="F24" s="83"/>
    </row>
    <row r="25" spans="1:15" s="2" customFormat="1" ht="15">
      <c r="A25" s="10"/>
      <c r="B25" s="4" t="s">
        <v>42</v>
      </c>
      <c r="C25" s="4" t="s">
        <v>314</v>
      </c>
      <c r="D25" s="4"/>
      <c r="E25" s="101"/>
      <c r="F25" s="83"/>
      <c r="G25"/>
    </row>
    <row r="26" spans="1:15" ht="15">
      <c r="A26" s="8"/>
      <c r="B26" s="8"/>
      <c r="C26" s="6"/>
      <c r="D26" s="6"/>
      <c r="E26" s="6"/>
      <c r="F26" s="25"/>
    </row>
    <row r="27" spans="1:15" ht="57">
      <c r="A27" s="2"/>
      <c r="B27" s="2"/>
      <c r="C27" s="3" t="s">
        <v>411</v>
      </c>
      <c r="D27" s="3"/>
      <c r="E27" s="3" t="s">
        <v>410</v>
      </c>
      <c r="F27" s="3" t="s">
        <v>50</v>
      </c>
      <c r="G27" s="3" t="s">
        <v>51</v>
      </c>
    </row>
    <row r="28" spans="1:15">
      <c r="C28" s="140">
        <v>924</v>
      </c>
      <c r="D28" s="114"/>
      <c r="E28" s="114">
        <f>C28*0.94</f>
        <v>868.56</v>
      </c>
      <c r="F28" s="114">
        <f>SUM(F5:F26)</f>
        <v>595.76620999999989</v>
      </c>
      <c r="G28" s="114">
        <f>(E28-F28)/E28*100+100</f>
        <v>131.40759302753983</v>
      </c>
    </row>
    <row r="29" spans="1:15" ht="18.75">
      <c r="C29" s="148" t="s">
        <v>53</v>
      </c>
      <c r="D29" s="148"/>
      <c r="E29" s="148"/>
      <c r="F29" s="148"/>
      <c r="G29" s="4" t="s">
        <v>52</v>
      </c>
    </row>
  </sheetData>
  <mergeCells count="6">
    <mergeCell ref="C29:F29"/>
    <mergeCell ref="H9:O12"/>
    <mergeCell ref="H13:O19"/>
    <mergeCell ref="A1:B1"/>
    <mergeCell ref="B2:D2"/>
    <mergeCell ref="B3:D3"/>
  </mergeCells>
  <phoneticPr fontId="4" type="noConversion"/>
  <dataValidations count="2">
    <dataValidation type="list" allowBlank="1" showInputMessage="1" showErrorMessage="1" sqref="C15">
      <formula1>"kWh (el),km"</formula1>
    </dataValidation>
    <dataValidation type="list" allowBlank="1" showInputMessage="1" showErrorMessage="1" sqref="C22">
      <formula1>"kr,km"</formula1>
    </dataValidation>
  </dataValidation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9"/>
  <sheetViews>
    <sheetView showGridLines="0" topLeftCell="A4" workbookViewId="0">
      <selection activeCell="F11" sqref="F11"/>
    </sheetView>
  </sheetViews>
  <sheetFormatPr defaultRowHeight="14.25"/>
  <cols>
    <col min="1" max="1" width="30.75" bestFit="1" customWidth="1"/>
    <col min="2" max="2" width="26.25" customWidth="1"/>
    <col min="3" max="3" width="14" customWidth="1"/>
    <col min="4" max="4" width="12.375" hidden="1" customWidth="1"/>
    <col min="5" max="5" width="11.875" customWidth="1"/>
    <col min="6" max="7" width="11.75" customWidth="1"/>
  </cols>
  <sheetData>
    <row r="1" spans="1:15" ht="57">
      <c r="A1" s="143" t="s">
        <v>133</v>
      </c>
      <c r="B1" s="144"/>
      <c r="C1" s="11" t="s">
        <v>76</v>
      </c>
      <c r="D1" s="6"/>
      <c r="E1" s="12" t="s">
        <v>77</v>
      </c>
      <c r="F1" s="7" t="s">
        <v>36</v>
      </c>
    </row>
    <row r="2" spans="1:15" ht="15">
      <c r="A2" s="14" t="s">
        <v>78</v>
      </c>
      <c r="B2" s="145" t="s">
        <v>24</v>
      </c>
      <c r="C2" s="146"/>
      <c r="D2" s="147"/>
      <c r="E2" s="4">
        <f>Konversionsfaktorer!C2</f>
        <v>2011</v>
      </c>
      <c r="F2" s="4"/>
    </row>
    <row r="3" spans="1:15">
      <c r="A3" s="9"/>
      <c r="B3" s="145" t="s">
        <v>79</v>
      </c>
      <c r="C3" s="146"/>
      <c r="D3" s="147"/>
      <c r="E3" s="4" t="str">
        <f ca="1">MID(CELL("filename",E3),FIND("]",CELL("filename",E3))+1,99)</f>
        <v>Århus Brandvæsen</v>
      </c>
      <c r="F3" s="4"/>
    </row>
    <row r="4" spans="1:15">
      <c r="A4" s="6"/>
      <c r="B4" s="6"/>
      <c r="C4" s="6"/>
      <c r="D4" s="6"/>
      <c r="E4" s="6"/>
      <c r="F4" s="24"/>
    </row>
    <row r="5" spans="1:15" ht="15">
      <c r="A5" s="14" t="s">
        <v>25</v>
      </c>
      <c r="B5" s="4" t="s">
        <v>26</v>
      </c>
      <c r="C5" s="4" t="s">
        <v>48</v>
      </c>
      <c r="D5" s="4" t="str">
        <f>C5</f>
        <v>kWh (el)</v>
      </c>
      <c r="E5" s="101"/>
      <c r="F5" s="61">
        <f>E5*INDEX(Konversionsfaktorer!C$5:C$21,MATCH(D5,Konversionsfaktorer!A$5:A$21,0))</f>
        <v>0</v>
      </c>
      <c r="H5" s="70" t="s">
        <v>315</v>
      </c>
      <c r="I5" s="71"/>
      <c r="J5" s="71"/>
      <c r="K5" s="71"/>
      <c r="L5" s="71"/>
      <c r="M5" s="71"/>
      <c r="N5" s="71"/>
      <c r="O5" s="72"/>
    </row>
    <row r="6" spans="1:15" ht="15">
      <c r="A6" s="9"/>
      <c r="B6" s="4" t="s">
        <v>28</v>
      </c>
      <c r="C6" s="4" t="s">
        <v>48</v>
      </c>
      <c r="D6" s="4" t="str">
        <f>C6</f>
        <v>kWh (el)</v>
      </c>
      <c r="E6" s="101"/>
      <c r="F6" s="61">
        <f>E6*INDEX(Konversionsfaktorer!C$5:C$21,MATCH(D6,Konversionsfaktorer!A$5:A$21,0))</f>
        <v>0</v>
      </c>
      <c r="H6" s="73"/>
      <c r="I6" s="74"/>
      <c r="J6" s="74"/>
      <c r="K6" s="74"/>
      <c r="L6" s="74"/>
      <c r="M6" s="74"/>
      <c r="N6" s="74"/>
      <c r="O6" s="24"/>
    </row>
    <row r="7" spans="1:15" ht="15">
      <c r="A7" s="9"/>
      <c r="B7" s="4" t="s">
        <v>98</v>
      </c>
      <c r="C7" s="4" t="s">
        <v>48</v>
      </c>
      <c r="D7" s="4" t="str">
        <f>C7</f>
        <v>kWh (el)</v>
      </c>
      <c r="E7" s="102"/>
      <c r="F7" s="61">
        <f>E7*INDEX(Konversionsfaktorer!C$5:C$21,MATCH(D7,Konversionsfaktorer!A$5:A$21,0))</f>
        <v>0</v>
      </c>
      <c r="H7" s="73" t="s">
        <v>316</v>
      </c>
      <c r="I7" s="74"/>
      <c r="J7" s="74"/>
      <c r="K7" s="74"/>
      <c r="L7" s="74"/>
      <c r="M7" s="74"/>
      <c r="N7" s="74"/>
      <c r="O7" s="24"/>
    </row>
    <row r="8" spans="1:15" ht="15" customHeight="1">
      <c r="A8" s="10"/>
      <c r="B8" s="4" t="s">
        <v>34</v>
      </c>
      <c r="C8" s="4" t="s">
        <v>48</v>
      </c>
      <c r="D8" s="4" t="str">
        <f>C8</f>
        <v>kWh (el)</v>
      </c>
      <c r="E8" s="101">
        <f>325056</f>
        <v>325056</v>
      </c>
      <c r="F8" s="61">
        <f>E8*INDEX(Konversionsfaktorer!C$5:C$21,MATCH(D8,Konversionsfaktorer!A$5:A$21,0))</f>
        <v>144.64991999999998</v>
      </c>
      <c r="H8" s="73"/>
      <c r="I8" s="74"/>
      <c r="J8" s="74"/>
      <c r="K8" s="74"/>
      <c r="L8" s="74"/>
      <c r="M8" s="74"/>
      <c r="N8" s="74"/>
      <c r="O8" s="24"/>
    </row>
    <row r="9" spans="1:15" ht="15">
      <c r="A9" s="8"/>
      <c r="B9" s="8"/>
      <c r="C9" s="6"/>
      <c r="D9" s="6"/>
      <c r="E9" s="103"/>
      <c r="F9" s="62"/>
      <c r="H9" s="149" t="s">
        <v>325</v>
      </c>
      <c r="I9" s="150"/>
      <c r="J9" s="150"/>
      <c r="K9" s="150"/>
      <c r="L9" s="150"/>
      <c r="M9" s="150"/>
      <c r="N9" s="150"/>
      <c r="O9" s="151"/>
    </row>
    <row r="10" spans="1:15" ht="15">
      <c r="A10" s="14" t="s">
        <v>33</v>
      </c>
      <c r="B10" s="4" t="s">
        <v>29</v>
      </c>
      <c r="C10" s="4" t="s">
        <v>49</v>
      </c>
      <c r="D10" s="4" t="str">
        <f>C10</f>
        <v>kWh (fv)</v>
      </c>
      <c r="E10" s="101"/>
      <c r="F10" s="61">
        <v>145.60300000000001</v>
      </c>
      <c r="H10" s="149"/>
      <c r="I10" s="150"/>
      <c r="J10" s="150"/>
      <c r="K10" s="150"/>
      <c r="L10" s="150"/>
      <c r="M10" s="150"/>
      <c r="N10" s="150"/>
      <c r="O10" s="151"/>
    </row>
    <row r="11" spans="1:15" ht="15">
      <c r="A11" s="9"/>
      <c r="B11" s="4" t="s">
        <v>35</v>
      </c>
      <c r="C11" s="4" t="s">
        <v>37</v>
      </c>
      <c r="D11" s="4" t="str">
        <f>B11&amp;" - "&amp;C11</f>
        <v>Fyringsolie - liter</v>
      </c>
      <c r="E11" s="101"/>
      <c r="F11" s="61">
        <f>E11*INDEX(Konversionsfaktorer!C$5:C$21,MATCH(D11,Konversionsfaktorer!A$5:A$21,0))</f>
        <v>0</v>
      </c>
      <c r="H11" s="149"/>
      <c r="I11" s="150"/>
      <c r="J11" s="150"/>
      <c r="K11" s="150"/>
      <c r="L11" s="150"/>
      <c r="M11" s="150"/>
      <c r="N11" s="150"/>
      <c r="O11" s="151"/>
    </row>
    <row r="12" spans="1:15" ht="15">
      <c r="A12" s="9"/>
      <c r="B12" s="4" t="s">
        <v>54</v>
      </c>
      <c r="C12" s="4" t="s">
        <v>55</v>
      </c>
      <c r="D12" s="4" t="str">
        <f>B12&amp;" - "&amp;C12</f>
        <v>Naturgas - m3</v>
      </c>
      <c r="E12" s="101"/>
      <c r="F12" s="61">
        <f>E12*INDEX(Konversionsfaktorer!C$5:C$21,MATCH(D12,Konversionsfaktorer!A$5:A$21,0))</f>
        <v>0</v>
      </c>
      <c r="H12" s="149"/>
      <c r="I12" s="150"/>
      <c r="J12" s="150"/>
      <c r="K12" s="150"/>
      <c r="L12" s="150"/>
      <c r="M12" s="150"/>
      <c r="N12" s="150"/>
      <c r="O12" s="151"/>
    </row>
    <row r="13" spans="1:15" ht="15">
      <c r="A13" s="10"/>
      <c r="B13" s="4" t="s">
        <v>25</v>
      </c>
      <c r="C13" s="4" t="s">
        <v>48</v>
      </c>
      <c r="D13" s="4" t="str">
        <f>C13</f>
        <v>kWh (el)</v>
      </c>
      <c r="E13" s="101"/>
      <c r="F13" s="61">
        <f>E13*INDEX(Konversionsfaktorer!C$5:C$21,MATCH(D13,Konversionsfaktorer!A$5:A$21,0))</f>
        <v>0</v>
      </c>
      <c r="H13" s="170" t="s">
        <v>319</v>
      </c>
      <c r="I13" s="171"/>
      <c r="J13" s="171"/>
      <c r="K13" s="171"/>
      <c r="L13" s="171"/>
      <c r="M13" s="171"/>
      <c r="N13" s="171"/>
      <c r="O13" s="151"/>
    </row>
    <row r="14" spans="1:15" ht="15">
      <c r="A14" s="8"/>
      <c r="B14" s="8"/>
      <c r="C14" s="6"/>
      <c r="D14" s="6"/>
      <c r="E14" s="103"/>
      <c r="F14" s="62"/>
      <c r="H14" s="158"/>
      <c r="I14" s="172"/>
      <c r="J14" s="172"/>
      <c r="K14" s="172"/>
      <c r="L14" s="172"/>
      <c r="M14" s="172"/>
      <c r="N14" s="172"/>
      <c r="O14" s="151"/>
    </row>
    <row r="15" spans="1:15" ht="15">
      <c r="A15" s="15" t="s">
        <v>31</v>
      </c>
      <c r="B15" s="4" t="s">
        <v>27</v>
      </c>
      <c r="C15" s="83" t="s">
        <v>47</v>
      </c>
      <c r="D15" s="4" t="str">
        <f t="shared" ref="D15:D23" si="0">B15&amp;" - "&amp;C15</f>
        <v>Elbiler - km</v>
      </c>
      <c r="E15" s="101"/>
      <c r="F15" s="61">
        <f>E15*INDEX(Konversionsfaktorer!C$5:C$21,MATCH(D15,Konversionsfaktorer!A$5:A$21,0))</f>
        <v>0</v>
      </c>
      <c r="H15" s="158"/>
      <c r="I15" s="172"/>
      <c r="J15" s="172"/>
      <c r="K15" s="172"/>
      <c r="L15" s="172"/>
      <c r="M15" s="172"/>
      <c r="N15" s="172"/>
      <c r="O15" s="151"/>
    </row>
    <row r="16" spans="1:15" ht="15">
      <c r="A16" s="9"/>
      <c r="B16" s="4" t="s">
        <v>38</v>
      </c>
      <c r="C16" s="4" t="s">
        <v>47</v>
      </c>
      <c r="D16" s="4" t="str">
        <f t="shared" si="0"/>
        <v>Medarbejderkørsel - km</v>
      </c>
      <c r="E16" s="101"/>
      <c r="F16" s="61">
        <f>E16*INDEX(Konversionsfaktorer!C$5:C$21,MATCH(D16,Konversionsfaktorer!A$5:A$21,0))</f>
        <v>0</v>
      </c>
      <c r="H16" s="158"/>
      <c r="I16" s="172"/>
      <c r="J16" s="172"/>
      <c r="K16" s="172"/>
      <c r="L16" s="172"/>
      <c r="M16" s="172"/>
      <c r="N16" s="172"/>
      <c r="O16" s="151"/>
    </row>
    <row r="17" spans="1:15" ht="15">
      <c r="A17" s="9"/>
      <c r="B17" s="4" t="s">
        <v>57</v>
      </c>
      <c r="C17" s="4" t="s">
        <v>47</v>
      </c>
      <c r="D17" s="4" t="str">
        <f t="shared" si="0"/>
        <v>Anden kørsel - km</v>
      </c>
      <c r="E17" s="101"/>
      <c r="F17" s="61">
        <f>E17*INDEX(Konversionsfaktorer!C$5:C$21,MATCH(D17,Konversionsfaktorer!A$5:A$21,0))</f>
        <v>0</v>
      </c>
      <c r="H17" s="158"/>
      <c r="I17" s="172"/>
      <c r="J17" s="172"/>
      <c r="K17" s="172"/>
      <c r="L17" s="172"/>
      <c r="M17" s="172"/>
      <c r="N17" s="172"/>
      <c r="O17" s="151"/>
    </row>
    <row r="18" spans="1:15" ht="15">
      <c r="A18" s="9"/>
      <c r="B18" s="4" t="s">
        <v>57</v>
      </c>
      <c r="C18" s="4" t="s">
        <v>56</v>
      </c>
      <c r="D18" s="4" t="str">
        <f t="shared" si="0"/>
        <v>Anden kørsel - kr</v>
      </c>
      <c r="E18" s="101"/>
      <c r="F18" s="61">
        <f>E18*INDEX(Konversionsfaktorer!C$5:C$21,MATCH(D18,Konversionsfaktorer!A$5:A$21,0))</f>
        <v>0</v>
      </c>
      <c r="H18" s="158"/>
      <c r="I18" s="172"/>
      <c r="J18" s="172"/>
      <c r="K18" s="172"/>
      <c r="L18" s="172"/>
      <c r="M18" s="172"/>
      <c r="N18" s="172"/>
      <c r="O18" s="151"/>
    </row>
    <row r="19" spans="1:15" ht="15">
      <c r="A19" s="9"/>
      <c r="B19" s="4" t="s">
        <v>46</v>
      </c>
      <c r="C19" s="4" t="s">
        <v>47</v>
      </c>
      <c r="D19" s="4" t="str">
        <f t="shared" si="0"/>
        <v>Hjemmehjælpen - km</v>
      </c>
      <c r="E19" s="102"/>
      <c r="F19" s="61">
        <f>E19*INDEX(Konversionsfaktorer!C$5:C$21,MATCH(D19,Konversionsfaktorer!A$5:A$21,0))</f>
        <v>0</v>
      </c>
      <c r="H19" s="158"/>
      <c r="I19" s="172"/>
      <c r="J19" s="172"/>
      <c r="K19" s="172"/>
      <c r="L19" s="172"/>
      <c r="M19" s="172"/>
      <c r="N19" s="172"/>
      <c r="O19" s="151"/>
    </row>
    <row r="20" spans="1:15" ht="15">
      <c r="A20" s="9"/>
      <c r="B20" s="4" t="s">
        <v>30</v>
      </c>
      <c r="C20" s="4" t="s">
        <v>37</v>
      </c>
      <c r="D20" s="4" t="str">
        <f t="shared" si="0"/>
        <v>Diesel - liter</v>
      </c>
      <c r="E20" s="101">
        <f>1184+508+2039+25988+10585</f>
        <v>40304</v>
      </c>
      <c r="F20" s="61">
        <f>E20*INDEX(Konversionsfaktorer!C$5:C$21,MATCH(D20,Konversionsfaktorer!A$5:A$21,0))</f>
        <v>106.8056</v>
      </c>
      <c r="H20" s="73"/>
      <c r="I20" s="74"/>
      <c r="J20" s="74"/>
      <c r="K20" s="74"/>
      <c r="L20" s="74"/>
      <c r="M20" s="74"/>
      <c r="N20" s="74"/>
      <c r="O20" s="24"/>
    </row>
    <row r="21" spans="1:15" ht="15" customHeight="1">
      <c r="A21" s="9"/>
      <c r="B21" s="4" t="s">
        <v>32</v>
      </c>
      <c r="C21" s="4" t="s">
        <v>37</v>
      </c>
      <c r="D21" s="4" t="str">
        <f t="shared" si="0"/>
        <v>Benzin - liter</v>
      </c>
      <c r="E21" s="101">
        <f>1072+98+210+7480</f>
        <v>8860</v>
      </c>
      <c r="F21" s="61">
        <f>E21*INDEX(Konversionsfaktorer!C$5:C$21,MATCH(D21,Konversionsfaktorer!A$5:A$21,0))</f>
        <v>20.378</v>
      </c>
      <c r="H21" s="75" t="s">
        <v>326</v>
      </c>
      <c r="I21" s="76"/>
      <c r="J21" s="76"/>
      <c r="K21" s="76"/>
      <c r="L21" s="76"/>
      <c r="M21" s="76"/>
      <c r="N21" s="76"/>
      <c r="O21" s="25"/>
    </row>
    <row r="22" spans="1:15" ht="15">
      <c r="A22" s="9"/>
      <c r="B22" s="4" t="s">
        <v>39</v>
      </c>
      <c r="C22" s="83" t="s">
        <v>56</v>
      </c>
      <c r="D22" s="4" t="str">
        <f t="shared" si="0"/>
        <v>Taxa - kr</v>
      </c>
      <c r="E22" s="101"/>
      <c r="F22" s="61">
        <f>E22*INDEX(Konversionsfaktorer!C$5:C$21,MATCH(D22,Konversionsfaktorer!A$5:A$21,0))</f>
        <v>0</v>
      </c>
    </row>
    <row r="23" spans="1:15" ht="15">
      <c r="A23" s="9"/>
      <c r="B23" s="4" t="s">
        <v>40</v>
      </c>
      <c r="C23" s="4" t="s">
        <v>314</v>
      </c>
      <c r="D23" s="4" t="str">
        <f t="shared" si="0"/>
        <v>Fly - (rejsebureauet)</v>
      </c>
      <c r="E23" s="101"/>
      <c r="F23" s="83"/>
    </row>
    <row r="24" spans="1:15" ht="15">
      <c r="A24" s="9"/>
      <c r="B24" s="4" t="s">
        <v>41</v>
      </c>
      <c r="C24" s="4" t="s">
        <v>314</v>
      </c>
      <c r="D24" s="4"/>
      <c r="E24" s="101"/>
      <c r="F24" s="83"/>
    </row>
    <row r="25" spans="1:15" s="2" customFormat="1" ht="15">
      <c r="A25" s="10"/>
      <c r="B25" s="4" t="s">
        <v>42</v>
      </c>
      <c r="C25" s="4" t="s">
        <v>314</v>
      </c>
      <c r="D25" s="4"/>
      <c r="E25" s="101"/>
      <c r="F25" s="83"/>
      <c r="G25"/>
    </row>
    <row r="26" spans="1:15" ht="15">
      <c r="A26" s="8"/>
      <c r="B26" s="8"/>
      <c r="C26" s="6"/>
      <c r="D26" s="6"/>
      <c r="E26" s="6"/>
      <c r="F26" s="25"/>
    </row>
    <row r="27" spans="1:15" ht="57">
      <c r="A27" s="2"/>
      <c r="B27" s="2"/>
      <c r="C27" s="3" t="s">
        <v>411</v>
      </c>
      <c r="D27" s="3"/>
      <c r="E27" s="3" t="s">
        <v>410</v>
      </c>
      <c r="F27" s="3" t="s">
        <v>50</v>
      </c>
      <c r="G27" s="3" t="s">
        <v>51</v>
      </c>
    </row>
    <row r="28" spans="1:15">
      <c r="C28" s="140">
        <v>371</v>
      </c>
      <c r="D28" s="114"/>
      <c r="E28" s="114">
        <f>C28*0.94</f>
        <v>348.73999999999995</v>
      </c>
      <c r="F28" s="114">
        <f>SUM(F5:F26)</f>
        <v>417.43652000000003</v>
      </c>
      <c r="G28" s="114">
        <f>(E28-F28)/E28*100+100</f>
        <v>80.301508286975945</v>
      </c>
    </row>
    <row r="29" spans="1:15" ht="18.75">
      <c r="C29" s="148" t="s">
        <v>53</v>
      </c>
      <c r="D29" s="148"/>
      <c r="E29" s="148"/>
      <c r="F29" s="148"/>
      <c r="G29" s="4" t="s">
        <v>52</v>
      </c>
    </row>
  </sheetData>
  <mergeCells count="6">
    <mergeCell ref="C29:F29"/>
    <mergeCell ref="H9:O12"/>
    <mergeCell ref="H13:O19"/>
    <mergeCell ref="A1:B1"/>
    <mergeCell ref="B2:D2"/>
    <mergeCell ref="B3:D3"/>
  </mergeCells>
  <phoneticPr fontId="4" type="noConversion"/>
  <dataValidations count="2">
    <dataValidation type="list" allowBlank="1" showInputMessage="1" showErrorMessage="1" sqref="C15">
      <formula1>"kWh (el),km"</formula1>
    </dataValidation>
    <dataValidation type="list" allowBlank="1" showInputMessage="1" showErrorMessage="1" sqref="C22">
      <formula1>"kr,km"</formula1>
    </dataValidation>
  </dataValidation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9"/>
  <sheetViews>
    <sheetView showGridLines="0" topLeftCell="A4" workbookViewId="0">
      <selection activeCell="E6" sqref="E6"/>
    </sheetView>
  </sheetViews>
  <sheetFormatPr defaultRowHeight="14.25"/>
  <cols>
    <col min="1" max="1" width="30.75" bestFit="1" customWidth="1"/>
    <col min="2" max="2" width="26.25" customWidth="1"/>
    <col min="3" max="3" width="14" customWidth="1"/>
    <col min="4" max="4" width="12.375" hidden="1" customWidth="1"/>
    <col min="5" max="5" width="11.875" customWidth="1"/>
    <col min="6" max="7" width="11.75" customWidth="1"/>
  </cols>
  <sheetData>
    <row r="1" spans="1:15" ht="57">
      <c r="A1" s="143" t="s">
        <v>132</v>
      </c>
      <c r="B1" s="144"/>
      <c r="C1" s="11" t="s">
        <v>76</v>
      </c>
      <c r="D1" s="6"/>
      <c r="E1" s="12" t="s">
        <v>77</v>
      </c>
      <c r="F1" s="7" t="s">
        <v>36</v>
      </c>
    </row>
    <row r="2" spans="1:15" ht="15">
      <c r="A2" s="14" t="s">
        <v>78</v>
      </c>
      <c r="B2" s="145" t="s">
        <v>24</v>
      </c>
      <c r="C2" s="146"/>
      <c r="D2" s="147"/>
      <c r="E2" s="4">
        <f>Konversionsfaktorer!C2</f>
        <v>2011</v>
      </c>
      <c r="F2" s="4"/>
    </row>
    <row r="3" spans="1:15">
      <c r="A3" s="9"/>
      <c r="B3" s="145" t="s">
        <v>79</v>
      </c>
      <c r="C3" s="146"/>
      <c r="D3" s="147"/>
      <c r="E3" s="4" t="str">
        <f ca="1">MID(CELL("filename",E3),FIND("]",CELL("filename",E3))+1,99)</f>
        <v>Århus Vand AS</v>
      </c>
      <c r="F3" s="4"/>
    </row>
    <row r="4" spans="1:15">
      <c r="A4" s="6"/>
      <c r="B4" s="6"/>
      <c r="C4" s="6"/>
      <c r="D4" s="6"/>
      <c r="E4" s="6"/>
      <c r="F4" s="24"/>
    </row>
    <row r="5" spans="1:15" ht="15">
      <c r="A5" s="14" t="s">
        <v>25</v>
      </c>
      <c r="B5" s="4" t="s">
        <v>26</v>
      </c>
      <c r="C5" s="4" t="s">
        <v>48</v>
      </c>
      <c r="D5" s="4" t="str">
        <f>C5</f>
        <v>kWh (el)</v>
      </c>
      <c r="E5" s="101"/>
      <c r="F5" s="61">
        <f>E5*INDEX(Konversionsfaktorer!C$5:C$21,MATCH(D5,Konversionsfaktorer!A$5:A$21,0))</f>
        <v>0</v>
      </c>
      <c r="H5" s="70" t="s">
        <v>315</v>
      </c>
      <c r="I5" s="71"/>
      <c r="J5" s="71"/>
      <c r="K5" s="71"/>
      <c r="L5" s="71"/>
      <c r="M5" s="71"/>
      <c r="N5" s="71"/>
      <c r="O5" s="72"/>
    </row>
    <row r="6" spans="1:15" ht="15">
      <c r="A6" s="9"/>
      <c r="B6" s="4" t="s">
        <v>28</v>
      </c>
      <c r="C6" s="4" t="s">
        <v>48</v>
      </c>
      <c r="D6" s="4" t="str">
        <f>C6</f>
        <v>kWh (el)</v>
      </c>
      <c r="E6" s="101">
        <f>7750630+17954592</f>
        <v>25705222</v>
      </c>
      <c r="F6" s="61">
        <f>E6*INDEX(Konversionsfaktorer!C$5:C$21,MATCH(D6,Konversionsfaktorer!A$5:A$21,0))</f>
        <v>11438.823789999999</v>
      </c>
      <c r="H6" s="73"/>
      <c r="I6" s="74"/>
      <c r="J6" s="74"/>
      <c r="K6" s="74"/>
      <c r="L6" s="74"/>
      <c r="M6" s="74"/>
      <c r="N6" s="74"/>
      <c r="O6" s="24"/>
    </row>
    <row r="7" spans="1:15" ht="15">
      <c r="A7" s="9"/>
      <c r="B7" s="4" t="s">
        <v>98</v>
      </c>
      <c r="C7" s="4" t="s">
        <v>48</v>
      </c>
      <c r="D7" s="4" t="str">
        <f>C7</f>
        <v>kWh (el)</v>
      </c>
      <c r="E7" s="102"/>
      <c r="F7" s="61">
        <f>E7*INDEX(Konversionsfaktorer!C$5:C$21,MATCH(D7,Konversionsfaktorer!A$5:A$21,0))</f>
        <v>0</v>
      </c>
      <c r="H7" s="73" t="s">
        <v>316</v>
      </c>
      <c r="I7" s="74"/>
      <c r="J7" s="74"/>
      <c r="K7" s="74"/>
      <c r="L7" s="74"/>
      <c r="M7" s="74"/>
      <c r="N7" s="74"/>
      <c r="O7" s="24"/>
    </row>
    <row r="8" spans="1:15" ht="15" customHeight="1">
      <c r="A8" s="10"/>
      <c r="B8" s="4" t="s">
        <v>34</v>
      </c>
      <c r="C8" s="4" t="s">
        <v>48</v>
      </c>
      <c r="D8" s="4" t="str">
        <f>C8</f>
        <v>kWh (el)</v>
      </c>
      <c r="E8" s="101">
        <f>(0.46*(785101))+138432+29654+110311</f>
        <v>639543.46</v>
      </c>
      <c r="F8" s="61">
        <f>E8*INDEX(Konversionsfaktorer!C$5:C$21,MATCH(D8,Konversionsfaktorer!A$5:A$21,0))</f>
        <v>284.59683969999998</v>
      </c>
      <c r="H8" s="73"/>
      <c r="I8" s="74"/>
      <c r="J8" s="74"/>
      <c r="K8" s="74"/>
      <c r="L8" s="74"/>
      <c r="M8" s="74"/>
      <c r="N8" s="74"/>
      <c r="O8" s="24"/>
    </row>
    <row r="9" spans="1:15" ht="15">
      <c r="A9" s="8"/>
      <c r="B9" s="8"/>
      <c r="C9" s="6"/>
      <c r="D9" s="6"/>
      <c r="E9" s="103"/>
      <c r="F9" s="62"/>
      <c r="H9" s="149" t="s">
        <v>355</v>
      </c>
      <c r="I9" s="150"/>
      <c r="J9" s="150"/>
      <c r="K9" s="150"/>
      <c r="L9" s="150"/>
      <c r="M9" s="150"/>
      <c r="N9" s="150"/>
      <c r="O9" s="151"/>
    </row>
    <row r="10" spans="1:15" ht="15">
      <c r="A10" s="14" t="s">
        <v>33</v>
      </c>
      <c r="B10" s="4" t="s">
        <v>29</v>
      </c>
      <c r="C10" s="4" t="s">
        <v>49</v>
      </c>
      <c r="D10" s="4" t="str">
        <f>C10</f>
        <v>kWh (fv)</v>
      </c>
      <c r="E10" s="101"/>
      <c r="F10" s="61">
        <v>278</v>
      </c>
      <c r="H10" s="149"/>
      <c r="I10" s="150"/>
      <c r="J10" s="150"/>
      <c r="K10" s="150"/>
      <c r="L10" s="150"/>
      <c r="M10" s="150"/>
      <c r="N10" s="150"/>
      <c r="O10" s="151"/>
    </row>
    <row r="11" spans="1:15" ht="15">
      <c r="A11" s="9"/>
      <c r="B11" s="4" t="s">
        <v>35</v>
      </c>
      <c r="C11" s="4" t="s">
        <v>37</v>
      </c>
      <c r="D11" s="4" t="str">
        <f>B11&amp;" - "&amp;C11</f>
        <v>Fyringsolie - liter</v>
      </c>
      <c r="E11" s="101">
        <v>26538</v>
      </c>
      <c r="F11" s="61">
        <f>E11*INDEX(Konversionsfaktorer!C$5:C$21,MATCH(D11,Konversionsfaktorer!A$5:A$21,0))</f>
        <v>70.591080000000005</v>
      </c>
      <c r="H11" s="149"/>
      <c r="I11" s="150"/>
      <c r="J11" s="150"/>
      <c r="K11" s="150"/>
      <c r="L11" s="150"/>
      <c r="M11" s="150"/>
      <c r="N11" s="150"/>
      <c r="O11" s="151"/>
    </row>
    <row r="12" spans="1:15" ht="15">
      <c r="A12" s="9"/>
      <c r="B12" s="4" t="s">
        <v>54</v>
      </c>
      <c r="C12" s="4" t="s">
        <v>55</v>
      </c>
      <c r="D12" s="4" t="str">
        <f>B12&amp;" - "&amp;C12</f>
        <v>Naturgas - m3</v>
      </c>
      <c r="E12" s="101"/>
      <c r="F12" s="61">
        <f>E12*INDEX(Konversionsfaktorer!C$5:C$21,MATCH(D12,Konversionsfaktorer!A$5:A$21,0))</f>
        <v>0</v>
      </c>
      <c r="H12" s="149"/>
      <c r="I12" s="150"/>
      <c r="J12" s="150"/>
      <c r="K12" s="150"/>
      <c r="L12" s="150"/>
      <c r="M12" s="150"/>
      <c r="N12" s="150"/>
      <c r="O12" s="151"/>
    </row>
    <row r="13" spans="1:15" ht="15">
      <c r="A13" s="10"/>
      <c r="B13" s="4" t="s">
        <v>25</v>
      </c>
      <c r="C13" s="4" t="s">
        <v>48</v>
      </c>
      <c r="D13" s="4" t="str">
        <f>C13</f>
        <v>kWh (el)</v>
      </c>
      <c r="E13" s="101"/>
      <c r="F13" s="61">
        <f>E13*INDEX(Konversionsfaktorer!C$5:C$21,MATCH(D13,Konversionsfaktorer!A$5:A$21,0))</f>
        <v>0</v>
      </c>
      <c r="H13" s="170" t="s">
        <v>319</v>
      </c>
      <c r="I13" s="171"/>
      <c r="J13" s="171"/>
      <c r="K13" s="171"/>
      <c r="L13" s="171"/>
      <c r="M13" s="171"/>
      <c r="N13" s="171"/>
      <c r="O13" s="151"/>
    </row>
    <row r="14" spans="1:15" ht="15">
      <c r="A14" s="8"/>
      <c r="B14" s="8"/>
      <c r="C14" s="6"/>
      <c r="D14" s="6"/>
      <c r="E14" s="103"/>
      <c r="F14" s="62"/>
      <c r="H14" s="158"/>
      <c r="I14" s="172"/>
      <c r="J14" s="172"/>
      <c r="K14" s="172"/>
      <c r="L14" s="172"/>
      <c r="M14" s="172"/>
      <c r="N14" s="172"/>
      <c r="O14" s="151"/>
    </row>
    <row r="15" spans="1:15" ht="15">
      <c r="A15" s="15" t="s">
        <v>31</v>
      </c>
      <c r="B15" s="4" t="s">
        <v>27</v>
      </c>
      <c r="C15" s="83" t="s">
        <v>47</v>
      </c>
      <c r="D15" s="4" t="str">
        <f t="shared" ref="D15:D22" si="0">B15&amp;" - "&amp;C15</f>
        <v>Elbiler - km</v>
      </c>
      <c r="E15" s="101"/>
      <c r="F15" s="61">
        <f>E15*INDEX(Konversionsfaktorer!C$5:C$21,MATCH(D15,Konversionsfaktorer!A$5:A$21,0))</f>
        <v>0</v>
      </c>
      <c r="H15" s="158"/>
      <c r="I15" s="172"/>
      <c r="J15" s="172"/>
      <c r="K15" s="172"/>
      <c r="L15" s="172"/>
      <c r="M15" s="172"/>
      <c r="N15" s="172"/>
      <c r="O15" s="151"/>
    </row>
    <row r="16" spans="1:15" ht="15">
      <c r="A16" s="9"/>
      <c r="B16" s="4" t="s">
        <v>38</v>
      </c>
      <c r="C16" s="4" t="s">
        <v>47</v>
      </c>
      <c r="D16" s="4" t="str">
        <f t="shared" si="0"/>
        <v>Medarbejderkørsel - km</v>
      </c>
      <c r="E16" s="101"/>
      <c r="F16" s="61">
        <f>E16*INDEX(Konversionsfaktorer!C$5:C$21,MATCH(D16,Konversionsfaktorer!A$5:A$21,0))</f>
        <v>0</v>
      </c>
      <c r="H16" s="158"/>
      <c r="I16" s="172"/>
      <c r="J16" s="172"/>
      <c r="K16" s="172"/>
      <c r="L16" s="172"/>
      <c r="M16" s="172"/>
      <c r="N16" s="172"/>
      <c r="O16" s="151"/>
    </row>
    <row r="17" spans="1:15" ht="15">
      <c r="A17" s="9"/>
      <c r="B17" s="4" t="s">
        <v>57</v>
      </c>
      <c r="C17" s="4" t="s">
        <v>47</v>
      </c>
      <c r="D17" s="4" t="str">
        <f t="shared" si="0"/>
        <v>Anden kørsel - km</v>
      </c>
      <c r="E17" s="101"/>
      <c r="F17" s="61">
        <f>E17*INDEX(Konversionsfaktorer!C$5:C$21,MATCH(D17,Konversionsfaktorer!A$5:A$21,0))</f>
        <v>0</v>
      </c>
      <c r="H17" s="158"/>
      <c r="I17" s="172"/>
      <c r="J17" s="172"/>
      <c r="K17" s="172"/>
      <c r="L17" s="172"/>
      <c r="M17" s="172"/>
      <c r="N17" s="172"/>
      <c r="O17" s="151"/>
    </row>
    <row r="18" spans="1:15" ht="15">
      <c r="A18" s="9"/>
      <c r="B18" s="4" t="s">
        <v>57</v>
      </c>
      <c r="C18" s="4" t="s">
        <v>56</v>
      </c>
      <c r="D18" s="4" t="str">
        <f t="shared" si="0"/>
        <v>Anden kørsel - kr</v>
      </c>
      <c r="E18" s="101"/>
      <c r="F18" s="61">
        <f>E18*INDEX(Konversionsfaktorer!C$5:C$21,MATCH(D18,Konversionsfaktorer!A$5:A$21,0))</f>
        <v>0</v>
      </c>
      <c r="H18" s="158"/>
      <c r="I18" s="172"/>
      <c r="J18" s="172"/>
      <c r="K18" s="172"/>
      <c r="L18" s="172"/>
      <c r="M18" s="172"/>
      <c r="N18" s="172"/>
      <c r="O18" s="151"/>
    </row>
    <row r="19" spans="1:15" ht="15">
      <c r="A19" s="9"/>
      <c r="B19" s="4" t="s">
        <v>46</v>
      </c>
      <c r="C19" s="4" t="s">
        <v>47</v>
      </c>
      <c r="D19" s="4" t="str">
        <f t="shared" si="0"/>
        <v>Hjemmehjælpen - km</v>
      </c>
      <c r="E19" s="102"/>
      <c r="F19" s="61">
        <f>E19*INDEX(Konversionsfaktorer!C$5:C$21,MATCH(D19,Konversionsfaktorer!A$5:A$21,0))</f>
        <v>0</v>
      </c>
      <c r="H19" s="158"/>
      <c r="I19" s="172"/>
      <c r="J19" s="172"/>
      <c r="K19" s="172"/>
      <c r="L19" s="172"/>
      <c r="M19" s="172"/>
      <c r="N19" s="172"/>
      <c r="O19" s="151"/>
    </row>
    <row r="20" spans="1:15" ht="15">
      <c r="A20" s="9"/>
      <c r="B20" s="4" t="s">
        <v>30</v>
      </c>
      <c r="C20" s="4" t="s">
        <v>37</v>
      </c>
      <c r="D20" s="4" t="str">
        <f t="shared" si="0"/>
        <v>Diesel - liter</v>
      </c>
      <c r="E20" s="101">
        <v>584547</v>
      </c>
      <c r="F20" s="61">
        <f>E20*INDEX(Konversionsfaktorer!C$5:C$21,MATCH(D20,Konversionsfaktorer!A$5:A$21,0))</f>
        <v>1549.04955</v>
      </c>
      <c r="H20" s="73"/>
      <c r="I20" s="74"/>
      <c r="J20" s="74"/>
      <c r="K20" s="74"/>
      <c r="L20" s="74"/>
      <c r="M20" s="74"/>
      <c r="N20" s="74"/>
      <c r="O20" s="24"/>
    </row>
    <row r="21" spans="1:15" ht="15">
      <c r="A21" s="9"/>
      <c r="B21" s="4" t="s">
        <v>32</v>
      </c>
      <c r="C21" s="4" t="s">
        <v>37</v>
      </c>
      <c r="D21" s="4" t="str">
        <f t="shared" si="0"/>
        <v>Benzin - liter</v>
      </c>
      <c r="E21" s="101">
        <v>2276</v>
      </c>
      <c r="F21" s="61">
        <f>E21*INDEX(Konversionsfaktorer!C$5:C$21,MATCH(D21,Konversionsfaktorer!A$5:A$21,0))</f>
        <v>5.2347999999999999</v>
      </c>
      <c r="H21" s="75" t="s">
        <v>326</v>
      </c>
      <c r="I21" s="76"/>
      <c r="J21" s="76"/>
      <c r="K21" s="76"/>
      <c r="L21" s="76"/>
      <c r="M21" s="76"/>
      <c r="N21" s="76"/>
      <c r="O21" s="25"/>
    </row>
    <row r="22" spans="1:15" ht="15">
      <c r="A22" s="9"/>
      <c r="B22" s="4" t="s">
        <v>39</v>
      </c>
      <c r="C22" s="83" t="s">
        <v>56</v>
      </c>
      <c r="D22" s="4" t="str">
        <f t="shared" si="0"/>
        <v>Taxa - kr</v>
      </c>
      <c r="E22" s="101"/>
      <c r="F22" s="61">
        <f>E22*INDEX(Konversionsfaktorer!C$5:C$21,MATCH(D22,Konversionsfaktorer!A$5:A$21,0))</f>
        <v>0</v>
      </c>
    </row>
    <row r="23" spans="1:15" ht="15">
      <c r="A23" s="9"/>
      <c r="B23" s="4" t="s">
        <v>40</v>
      </c>
      <c r="C23" s="4" t="s">
        <v>314</v>
      </c>
      <c r="D23" s="4"/>
      <c r="E23" s="101"/>
      <c r="F23" s="83"/>
    </row>
    <row r="24" spans="1:15" ht="15">
      <c r="A24" s="9"/>
      <c r="B24" s="4" t="s">
        <v>41</v>
      </c>
      <c r="C24" s="4" t="s">
        <v>314</v>
      </c>
      <c r="D24" s="4"/>
      <c r="E24" s="101"/>
      <c r="F24" s="83"/>
    </row>
    <row r="25" spans="1:15" s="2" customFormat="1" ht="15">
      <c r="A25" s="10"/>
      <c r="B25" s="4" t="s">
        <v>42</v>
      </c>
      <c r="C25" s="4" t="s">
        <v>314</v>
      </c>
      <c r="D25" s="4"/>
      <c r="E25" s="101"/>
      <c r="F25" s="83"/>
      <c r="G25"/>
    </row>
    <row r="26" spans="1:15" ht="15">
      <c r="A26" s="8"/>
      <c r="B26" s="8"/>
      <c r="C26" s="6"/>
      <c r="D26" s="6"/>
      <c r="E26" s="6"/>
      <c r="F26" s="25"/>
    </row>
    <row r="27" spans="1:15" ht="57">
      <c r="A27" s="2"/>
      <c r="B27" s="2"/>
      <c r="C27" s="3" t="s">
        <v>411</v>
      </c>
      <c r="D27" s="3"/>
      <c r="E27" s="3" t="s">
        <v>410</v>
      </c>
      <c r="F27" s="3" t="s">
        <v>50</v>
      </c>
      <c r="G27" s="3" t="s">
        <v>51</v>
      </c>
    </row>
    <row r="28" spans="1:15">
      <c r="C28" s="140">
        <v>17079</v>
      </c>
      <c r="D28" s="114"/>
      <c r="E28" s="114">
        <f>C28*0.94</f>
        <v>16054.259999999998</v>
      </c>
      <c r="F28" s="114">
        <f>SUM(F5:F26)</f>
        <v>13626.296059699998</v>
      </c>
      <c r="G28" s="114">
        <f>(E28-F28)/E28*100+100</f>
        <v>115.12348710124292</v>
      </c>
    </row>
    <row r="29" spans="1:15" ht="18.75">
      <c r="C29" s="148" t="s">
        <v>53</v>
      </c>
      <c r="D29" s="148"/>
      <c r="E29" s="148"/>
      <c r="F29" s="148"/>
      <c r="G29" s="4" t="s">
        <v>52</v>
      </c>
    </row>
  </sheetData>
  <mergeCells count="6">
    <mergeCell ref="C29:F29"/>
    <mergeCell ref="H9:O12"/>
    <mergeCell ref="H13:O19"/>
    <mergeCell ref="A1:B1"/>
    <mergeCell ref="B2:D2"/>
    <mergeCell ref="B3:D3"/>
  </mergeCells>
  <phoneticPr fontId="4" type="noConversion"/>
  <dataValidations disablePrompts="1" count="2">
    <dataValidation type="list" allowBlank="1" showInputMessage="1" showErrorMessage="1" sqref="C15">
      <formula1>"kWh (el),km"</formula1>
    </dataValidation>
    <dataValidation type="list" allowBlank="1" showInputMessage="1" showErrorMessage="1" sqref="C22">
      <formula1>"kr,km"</formula1>
    </dataValidation>
  </dataValidation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6"/>
  <sheetViews>
    <sheetView workbookViewId="0">
      <selection activeCell="H33" sqref="H33"/>
    </sheetView>
  </sheetViews>
  <sheetFormatPr defaultRowHeight="14.25"/>
  <cols>
    <col min="1" max="1" width="22.375" customWidth="1"/>
    <col min="2" max="2" width="26.25" customWidth="1"/>
    <col min="3" max="3" width="13.75" customWidth="1"/>
    <col min="4" max="4" width="12.375" hidden="1" customWidth="1"/>
    <col min="5" max="6" width="10.5" customWidth="1"/>
    <col min="7" max="7" width="11.75" customWidth="1"/>
    <col min="8" max="8" width="9.875" bestFit="1" customWidth="1"/>
  </cols>
  <sheetData>
    <row r="1" spans="1:17" ht="57">
      <c r="A1" s="143" t="s">
        <v>75</v>
      </c>
      <c r="B1" s="144"/>
      <c r="C1" s="11" t="s">
        <v>76</v>
      </c>
      <c r="D1" s="6"/>
      <c r="E1" s="12" t="s">
        <v>77</v>
      </c>
      <c r="F1" s="7" t="s">
        <v>36</v>
      </c>
    </row>
    <row r="2" spans="1:17" ht="15">
      <c r="A2" s="14" t="s">
        <v>78</v>
      </c>
      <c r="B2" s="145" t="s">
        <v>24</v>
      </c>
      <c r="C2" s="146"/>
      <c r="D2" s="147"/>
      <c r="E2" s="4">
        <f>Konversionsfaktorer!C2</f>
        <v>2011</v>
      </c>
      <c r="F2" s="4"/>
    </row>
    <row r="3" spans="1:17">
      <c r="A3" s="9"/>
      <c r="B3" s="145" t="s">
        <v>79</v>
      </c>
      <c r="C3" s="146"/>
      <c r="D3" s="147"/>
      <c r="E3" s="4" t="str">
        <f ca="1">MID(CELL("filename",E3),FIND("]",CELL("filename",E3))+1,99)</f>
        <v>Samlet</v>
      </c>
      <c r="F3" s="4"/>
    </row>
    <row r="4" spans="1:17">
      <c r="A4" s="6"/>
      <c r="B4" s="6"/>
      <c r="C4" s="6"/>
      <c r="D4" s="6"/>
      <c r="E4" s="6"/>
      <c r="F4" s="6"/>
      <c r="I4" s="69"/>
      <c r="J4" s="69"/>
      <c r="K4" s="69"/>
      <c r="L4" s="69"/>
      <c r="M4" s="69"/>
      <c r="N4" s="69"/>
      <c r="O4" s="69"/>
      <c r="P4" s="69"/>
      <c r="Q4" s="69"/>
    </row>
    <row r="5" spans="1:17" ht="15">
      <c r="A5" s="14" t="s">
        <v>25</v>
      </c>
      <c r="B5" s="4" t="s">
        <v>26</v>
      </c>
      <c r="C5" s="4" t="s">
        <v>48</v>
      </c>
      <c r="D5" s="4" t="str">
        <f>C5</f>
        <v>kWh (el)</v>
      </c>
      <c r="E5" s="109">
        <f>'Borgmesterens afd'!E5+'Børn og Unge'!E5+'Kultur og Borgerservice'!E5+'Social og Beskæftigelse'!E5+'Sundhed og Omsorg'!E5+'Århus Havn'!E5+Midttrafik!E5+'AffaldVarme Århus'!E5+Ejendomsforvaltningen!E5+Fællesadministrationen!E5+'Natur og Miljø'!E5+'Planlægning og Byggeri'!E5+'Trafik og Veje'!E5+'Natur og Vejservice'!E5+'Århus Brandvæsen'!E5+'Århus Vand AS'!E5</f>
        <v>0</v>
      </c>
      <c r="F5" s="61">
        <f>'Borgmesterens afd'!F5+'Børn og Unge'!F5+'Kultur og Borgerservice'!F5+'Social og Beskæftigelse'!F5+'Sundhed og Omsorg'!F5+'Århus Havn'!F5+Midttrafik!F5+'AffaldVarme Århus'!F5+Ejendomsforvaltningen!F5+Fællesadministrationen!F5+'Natur og Miljø'!F5+'Planlægning og Byggeri'!F5+'Trafik og Veje'!F5+'Natur og Vejservice'!F5+'Århus Brandvæsen'!F5+'Århus Vand AS'!F5</f>
        <v>0</v>
      </c>
      <c r="H5" s="175" t="s">
        <v>311</v>
      </c>
      <c r="I5" s="176"/>
      <c r="J5" s="176"/>
      <c r="K5" s="176"/>
      <c r="L5" s="176"/>
      <c r="M5" s="177"/>
      <c r="N5" s="69"/>
      <c r="O5" s="69"/>
      <c r="P5" s="69"/>
      <c r="Q5" s="69"/>
    </row>
    <row r="6" spans="1:17" ht="15">
      <c r="A6" s="9"/>
      <c r="B6" s="4" t="s">
        <v>28</v>
      </c>
      <c r="C6" s="4" t="s">
        <v>48</v>
      </c>
      <c r="D6" s="4" t="str">
        <f>C6</f>
        <v>kWh (el)</v>
      </c>
      <c r="E6" s="109">
        <f>'Borgmesterens afd'!E6+'Børn og Unge'!E6+'Kultur og Borgerservice'!E6+'Social og Beskæftigelse'!E6+'Sundhed og Omsorg'!E6+'Århus Havn'!E6+Midttrafik!E6+'AffaldVarme Århus'!E6+Ejendomsforvaltningen!E6+Fællesadministrationen!E6+'Natur og Miljø'!E6+'Planlægning og Byggeri'!E6+'Trafik og Veje'!E6+'Natur og Vejservice'!E6+'Århus Brandvæsen'!E6+'Århus Vand AS'!E6</f>
        <v>69450242</v>
      </c>
      <c r="F6" s="61">
        <f>'Borgmesterens afd'!F6+'Børn og Unge'!F6+'Kultur og Borgerservice'!F6+'Social og Beskæftigelse'!F6+'Sundhed og Omsorg'!F6+'Århus Havn'!F6+Midttrafik!F6+'AffaldVarme Århus'!F6+Ejendomsforvaltningen!F6+Fællesadministrationen!F6+'Natur og Miljø'!F6+'Planlægning og Byggeri'!F6+'Trafik og Veje'!F6+'Natur og Vejservice'!F6+'Århus Brandvæsen'!F6+'Århus Vand AS'!F6</f>
        <v>30905.357689999997</v>
      </c>
      <c r="H6" s="158"/>
      <c r="I6" s="172"/>
      <c r="J6" s="172"/>
      <c r="K6" s="172"/>
      <c r="L6" s="172"/>
      <c r="M6" s="151"/>
      <c r="N6" s="69"/>
      <c r="O6" s="69"/>
      <c r="P6" s="69"/>
      <c r="Q6" s="69"/>
    </row>
    <row r="7" spans="1:17" ht="15">
      <c r="A7" s="9"/>
      <c r="B7" s="4" t="s">
        <v>98</v>
      </c>
      <c r="C7" s="4" t="s">
        <v>48</v>
      </c>
      <c r="D7" s="4"/>
      <c r="E7" s="109">
        <f>'Borgmesterens afd'!E7+'Børn og Unge'!E7+'Kultur og Borgerservice'!E7+'Social og Beskæftigelse'!E7+'Sundhed og Omsorg'!E7+'Århus Havn'!E7+Midttrafik!E7+'AffaldVarme Århus'!E7+Ejendomsforvaltningen!E7+Fællesadministrationen!E7+'Natur og Miljø'!E7+'Planlægning og Byggeri'!E7+'Trafik og Veje'!E7+'Natur og Vejservice'!E7+'Århus Brandvæsen'!E7+'Århus Vand AS'!E7</f>
        <v>17380854</v>
      </c>
      <c r="F7" s="61">
        <f>'Borgmesterens afd'!F7+'Børn og Unge'!F7+'Kultur og Borgerservice'!F7+'Social og Beskæftigelse'!F7+'Sundhed og Omsorg'!F7+'Århus Havn'!F7+Midttrafik!F7+'AffaldVarme Århus'!F7+Ejendomsforvaltningen!F7+Fællesadministrationen!F7+'Natur og Miljø'!F7+'Planlægning og Byggeri'!F7+'Trafik og Veje'!F7+'Natur og Vejservice'!F7+'Århus Brandvæsen'!F7+'Århus Vand AS'!F7</f>
        <v>7734.4800299999997</v>
      </c>
      <c r="H7" s="173"/>
      <c r="I7" s="174"/>
      <c r="J7" s="174"/>
      <c r="K7" s="174"/>
      <c r="L7" s="174"/>
      <c r="M7" s="157"/>
      <c r="N7" s="69"/>
      <c r="O7" s="69"/>
      <c r="P7" s="69"/>
      <c r="Q7" s="69"/>
    </row>
    <row r="8" spans="1:17" ht="15">
      <c r="A8" s="10"/>
      <c r="B8" s="4" t="s">
        <v>34</v>
      </c>
      <c r="C8" s="4" t="s">
        <v>48</v>
      </c>
      <c r="D8" s="4" t="str">
        <f>C8</f>
        <v>kWh (el)</v>
      </c>
      <c r="E8" s="109">
        <f>'Borgmesterens afd'!E8+'Børn og Unge'!E8+'Kultur og Borgerservice'!E8+'Social og Beskæftigelse'!E8+'Sundhed og Omsorg'!E8+'Århus Havn'!E8+Midttrafik!E8+'AffaldVarme Århus'!E8+Ejendomsforvaltningen!E8+Fællesadministrationen!E8+'Natur og Miljø'!E8+'Planlægning og Byggeri'!E8+'Trafik og Veje'!E8+'Natur og Vejservice'!E8+'Århus Brandvæsen'!E8+'Århus Vand AS'!E8</f>
        <v>65061411.460000001</v>
      </c>
      <c r="F8" s="61">
        <f>'Borgmesterens afd'!F8+'Børn og Unge'!F8+'Kultur og Borgerservice'!F8+'Social og Beskæftigelse'!F8+'Sundhed og Omsorg'!F8+'Århus Havn'!F8+Midttrafik!F8+'AffaldVarme Århus'!F8+Ejendomsforvaltningen!F8+Fællesadministrationen!F8+'Natur og Miljø'!F8+'Planlægning og Byggeri'!F8+'Trafik og Veje'!F8+'Natur og Vejservice'!F8+'Århus Brandvæsen'!F8+'Århus Vand AS'!F8</f>
        <v>28952.328099699997</v>
      </c>
      <c r="G8" s="118"/>
      <c r="H8" s="118"/>
      <c r="I8" s="69"/>
      <c r="J8" s="69"/>
      <c r="K8" s="69"/>
      <c r="L8" s="69"/>
      <c r="M8" s="69"/>
      <c r="N8" s="69"/>
      <c r="O8" s="69"/>
      <c r="P8" s="69"/>
      <c r="Q8" s="69"/>
    </row>
    <row r="9" spans="1:17" ht="15">
      <c r="A9" s="8"/>
      <c r="B9" s="8"/>
      <c r="C9" s="6"/>
      <c r="D9" s="6"/>
      <c r="E9" s="107"/>
      <c r="F9" s="6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5">
      <c r="A10" s="14" t="s">
        <v>33</v>
      </c>
      <c r="B10" s="4" t="s">
        <v>29</v>
      </c>
      <c r="C10" s="4" t="s">
        <v>49</v>
      </c>
      <c r="D10" s="4" t="str">
        <f>C10</f>
        <v>kWh (fv)</v>
      </c>
      <c r="E10" s="109">
        <f>'Borgmesterens afd'!E10+'Børn og Unge'!E10+'Kultur og Borgerservice'!E10+'Social og Beskæftigelse'!E10+'Sundhed og Omsorg'!E10+'Århus Havn'!E10+Midttrafik!E10+'AffaldVarme Århus'!E10+Ejendomsforvaltningen!E10+Fællesadministrationen!E10+'Natur og Miljø'!E10+'Planlægning og Byggeri'!E10+'Trafik og Veje'!E10+'Natur og Vejservice'!E10+'Århus Brandvæsen'!E10+'Århus Vand AS'!E10</f>
        <v>2690931</v>
      </c>
      <c r="F10" s="61">
        <f>'Borgmesterens afd'!F10+'Børn og Unge'!F10+'Kultur og Borgerservice'!F10+'Social og Beskæftigelse'!F10+'Sundhed og Omsorg'!F10+'Århus Havn'!F10+Midttrafik!F10+'AffaldVarme Århus'!F10+Ejendomsforvaltningen!F10+Fællesadministrationen!F10+'Natur og Miljø'!F10+'Planlægning og Byggeri'!F10+'Trafik og Veje'!F10+'Natur og Vejservice'!F10+'Århus Brandvæsen'!F10+'Århus Vand AS'!F10</f>
        <v>28254.600374000001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5">
      <c r="A11" s="9"/>
      <c r="B11" s="4" t="s">
        <v>35</v>
      </c>
      <c r="C11" s="4" t="s">
        <v>37</v>
      </c>
      <c r="D11" s="4" t="str">
        <f>B11&amp;" - "&amp;C11</f>
        <v>Fyringsolie - liter</v>
      </c>
      <c r="E11" s="109">
        <f>'Borgmesterens afd'!E11+'Børn og Unge'!E11+'Kultur og Borgerservice'!E11+'Social og Beskæftigelse'!E11+'Sundhed og Omsorg'!E11+'Århus Havn'!E11+Midttrafik!E11+'AffaldVarme Århus'!E11+Ejendomsforvaltningen!E11+Fællesadministrationen!E11+'Natur og Miljø'!E11+'Planlægning og Byggeri'!E11+'Trafik og Veje'!E11+'Natur og Vejservice'!E11+'Århus Brandvæsen'!E11+'Århus Vand AS'!E11</f>
        <v>183106.7</v>
      </c>
      <c r="F11" s="61">
        <f>'Borgmesterens afd'!F11+'Børn og Unge'!F11+'Kultur og Borgerservice'!F11+'Social og Beskæftigelse'!F11+'Sundhed og Omsorg'!F11+'Århus Havn'!F11+Midttrafik!F11+'AffaldVarme Århus'!F11+Ejendomsforvaltningen!F11+Fællesadministrationen!F11+'Natur og Miljø'!F11+'Planlægning og Byggeri'!F11+'Trafik og Veje'!F11+'Natur og Vejservice'!F11+'Århus Brandvæsen'!F11+'Århus Vand AS'!F11</f>
        <v>487.06382199999996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5">
      <c r="A12" s="9"/>
      <c r="B12" s="4" t="s">
        <v>54</v>
      </c>
      <c r="C12" s="4" t="s">
        <v>55</v>
      </c>
      <c r="D12" s="4" t="str">
        <f>B12&amp;" - "&amp;C12</f>
        <v>Naturgas - m3</v>
      </c>
      <c r="E12" s="109">
        <f>'Borgmesterens afd'!E12+'Børn og Unge'!E12+'Kultur og Borgerservice'!E12+'Social og Beskæftigelse'!E12+'Sundhed og Omsorg'!E12+'Århus Havn'!E12+Midttrafik!E12+'AffaldVarme Århus'!E12+Ejendomsforvaltningen!E12+Fællesadministrationen!E12+'Natur og Miljø'!E12+'Planlægning og Byggeri'!E12+'Trafik og Veje'!E12+'Natur og Vejservice'!E12+'Århus Brandvæsen'!E12+'Århus Vand AS'!E12</f>
        <v>0</v>
      </c>
      <c r="F12" s="61">
        <f>'Borgmesterens afd'!F12+'Børn og Unge'!F12+'Kultur og Borgerservice'!F12+'Social og Beskæftigelse'!F12+'Sundhed og Omsorg'!F12+'Århus Havn'!F12+Midttrafik!F12+'AffaldVarme Århus'!F12+Ejendomsforvaltningen!F12+Fællesadministrationen!F12+'Natur og Miljø'!F12+'Planlægning og Byggeri'!F12+'Trafik og Veje'!F12+'Natur og Vejservice'!F12+'Århus Brandvæsen'!F12+'Århus Vand AS'!F12</f>
        <v>0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5">
      <c r="A13" s="10"/>
      <c r="B13" s="4" t="s">
        <v>25</v>
      </c>
      <c r="C13" s="4" t="s">
        <v>48</v>
      </c>
      <c r="D13" s="4" t="str">
        <f>C13</f>
        <v>kWh (el)</v>
      </c>
      <c r="E13" s="109">
        <f>'Borgmesterens afd'!E13+'Børn og Unge'!E13+'Kultur og Borgerservice'!E13+'Social og Beskæftigelse'!E13+'Sundhed og Omsorg'!E13+'Århus Havn'!E13+Midttrafik!E13+'AffaldVarme Århus'!E13+Ejendomsforvaltningen!E13+Fællesadministrationen!E13+'Natur og Miljø'!E13+'Planlægning og Byggeri'!E13+'Trafik og Veje'!E13+'Natur og Vejservice'!E13+'Århus Brandvæsen'!E13+'Århus Vand AS'!E13</f>
        <v>0</v>
      </c>
      <c r="F13" s="61">
        <f>'Borgmesterens afd'!F13+'Børn og Unge'!F13+'Kultur og Borgerservice'!F13+'Social og Beskæftigelse'!F13+'Sundhed og Omsorg'!F13+'Århus Havn'!F13+Midttrafik!F13+'AffaldVarme Århus'!F13+Ejendomsforvaltningen!F13+Fællesadministrationen!F13+'Natur og Miljø'!F13+'Planlægning og Byggeri'!F13+'Trafik og Veje'!F13+'Natur og Vejservice'!F13+'Århus Brandvæsen'!F13+'Århus Vand AS'!F13</f>
        <v>0</v>
      </c>
      <c r="G13" s="118"/>
      <c r="H13" s="11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5">
      <c r="A14" s="8"/>
      <c r="B14" s="8"/>
      <c r="C14" s="6"/>
      <c r="D14" s="6"/>
      <c r="E14" s="107"/>
      <c r="F14" s="8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5">
      <c r="A15" s="15" t="s">
        <v>31</v>
      </c>
      <c r="B15" s="4" t="s">
        <v>27</v>
      </c>
      <c r="C15" s="4" t="s">
        <v>80</v>
      </c>
      <c r="D15" s="4" t="str">
        <f t="shared" ref="D15:D22" si="0">B15&amp;" - "&amp;C15</f>
        <v>Elbiler - N/A</v>
      </c>
      <c r="E15" s="109">
        <f>'Borgmesterens afd'!E15+'Børn og Unge'!E15+'Kultur og Borgerservice'!E15+'Social og Beskæftigelse'!E15+'Sundhed og Omsorg'!E15+'Århus Havn'!E15+Midttrafik!E15+'AffaldVarme Århus'!E15+Ejendomsforvaltningen!E15+Fællesadministrationen!E15+'Natur og Miljø'!E15+'Planlægning og Byggeri'!E15+'Trafik og Veje'!E15+'Natur og Vejservice'!E15+'Århus Brandvæsen'!E15+'Århus Vand AS'!E15</f>
        <v>0</v>
      </c>
      <c r="F15" s="61">
        <f>'Borgmesterens afd'!F15+'Børn og Unge'!F15+'Kultur og Borgerservice'!F15+'Social og Beskæftigelse'!F15+'Sundhed og Omsorg'!F15+'Århus Havn'!F15+Midttrafik!F15+'AffaldVarme Århus'!F15+Ejendomsforvaltningen!F15+Fællesadministrationen!F15+'Natur og Miljø'!F15+'Planlægning og Byggeri'!F15+'Trafik og Veje'!F15+'Natur og Vejservice'!F15+'Århus Brandvæsen'!F15+'Århus Vand AS'!F15</f>
        <v>0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5">
      <c r="A16" s="9"/>
      <c r="B16" s="4" t="s">
        <v>38</v>
      </c>
      <c r="C16" s="4" t="s">
        <v>47</v>
      </c>
      <c r="D16" s="4" t="str">
        <f t="shared" si="0"/>
        <v>Medarbejderkørsel - km</v>
      </c>
      <c r="E16" s="109">
        <f>'Borgmesterens afd'!E16+'Børn og Unge'!E16+'Kultur og Borgerservice'!E16+'Social og Beskæftigelse'!E16+'Sundhed og Omsorg'!E16+'Århus Havn'!E16+Midttrafik!E16+'AffaldVarme Århus'!E16+Ejendomsforvaltningen!E16+Fællesadministrationen!E16+'Natur og Miljø'!E16+'Planlægning og Byggeri'!E16+'Trafik og Veje'!E16+'Natur og Vejservice'!E16+'Århus Brandvæsen'!E16+'Århus Vand AS'!E16</f>
        <v>0</v>
      </c>
      <c r="F16" s="61">
        <f>'Borgmesterens afd'!F16+'Børn og Unge'!F16+'Kultur og Borgerservice'!F16+'Social og Beskæftigelse'!F16+'Sundhed og Omsorg'!F16+'Århus Havn'!F16+Midttrafik!F16+'AffaldVarme Århus'!F16+Ejendomsforvaltningen!F16+Fællesadministrationen!F16+'Natur og Miljø'!F16+'Planlægning og Byggeri'!F16+'Trafik og Veje'!F16+'Natur og Vejservice'!F16+'Århus Brandvæsen'!F16+'Århus Vand AS'!F16</f>
        <v>0</v>
      </c>
    </row>
    <row r="17" spans="1:8" ht="15">
      <c r="A17" s="9"/>
      <c r="B17" s="4" t="s">
        <v>57</v>
      </c>
      <c r="C17" s="4" t="s">
        <v>47</v>
      </c>
      <c r="D17" s="4" t="str">
        <f t="shared" si="0"/>
        <v>Anden kørsel - km</v>
      </c>
      <c r="E17" s="109">
        <f>'Borgmesterens afd'!E17+'Børn og Unge'!E17+'Kultur og Borgerservice'!E17+'Social og Beskæftigelse'!E17+'Sundhed og Omsorg'!E17+'Århus Havn'!E17+Midttrafik!E17+'AffaldVarme Århus'!E17+Ejendomsforvaltningen!E17+Fællesadministrationen!E17+'Natur og Miljø'!E17+'Planlægning og Byggeri'!E17+'Trafik og Veje'!E17+'Natur og Vejservice'!E17+'Århus Brandvæsen'!E17+'Århus Vand AS'!E17</f>
        <v>0</v>
      </c>
      <c r="F17" s="61">
        <f>'Borgmesterens afd'!F17+'Børn og Unge'!F17+'Kultur og Borgerservice'!F17+'Social og Beskæftigelse'!F17+'Sundhed og Omsorg'!F17+'Århus Havn'!F17+Midttrafik!F17+'AffaldVarme Århus'!F17+Ejendomsforvaltningen!F17+Fællesadministrationen!F17+'Natur og Miljø'!F17+'Planlægning og Byggeri'!F17+'Trafik og Veje'!F17+'Natur og Vejservice'!F17+'Århus Brandvæsen'!F17+'Århus Vand AS'!F17</f>
        <v>0</v>
      </c>
    </row>
    <row r="18" spans="1:8" ht="15">
      <c r="A18" s="9"/>
      <c r="B18" s="4" t="s">
        <v>57</v>
      </c>
      <c r="C18" s="4" t="s">
        <v>56</v>
      </c>
      <c r="D18" s="4" t="str">
        <f t="shared" si="0"/>
        <v>Anden kørsel - kr</v>
      </c>
      <c r="E18" s="109">
        <f>'Borgmesterens afd'!E18+'Børn og Unge'!E18+'Kultur og Borgerservice'!E18+'Social og Beskæftigelse'!E18+'Sundhed og Omsorg'!E18+'Århus Havn'!E18+Midttrafik!E18+'AffaldVarme Århus'!E18+Ejendomsforvaltningen!E18+Fællesadministrationen!E18+'Natur og Miljø'!E18+'Planlægning og Byggeri'!E18+'Trafik og Veje'!E18+'Natur og Vejservice'!E18+'Århus Brandvæsen'!E18+'Århus Vand AS'!E18</f>
        <v>15971066</v>
      </c>
      <c r="F18" s="61">
        <f>'Borgmesterens afd'!F18+'Børn og Unge'!F18+'Kultur og Borgerservice'!F18+'Social og Beskæftigelse'!F18+'Sundhed og Omsorg'!F18+'Århus Havn'!F18+Midttrafik!F18+'AffaldVarme Århus'!F18+Ejendomsforvaltningen!F18+Fællesadministrationen!F18+'Natur og Miljø'!F18+'Planlægning og Byggeri'!F18+'Trafik og Veje'!F18+'Natur og Vejservice'!F18+'Århus Brandvæsen'!F18+'Århus Vand AS'!F18</f>
        <v>976.78113797101446</v>
      </c>
    </row>
    <row r="19" spans="1:8" ht="15">
      <c r="A19" s="9"/>
      <c r="B19" s="4" t="s">
        <v>46</v>
      </c>
      <c r="C19" s="4" t="s">
        <v>47</v>
      </c>
      <c r="D19" s="4" t="str">
        <f t="shared" si="0"/>
        <v>Hjemmehjælpen - km</v>
      </c>
      <c r="E19" s="109">
        <f>'Borgmesterens afd'!E19+'Børn og Unge'!E19+'Kultur og Borgerservice'!E19+'Social og Beskæftigelse'!E19+'Sundhed og Omsorg'!E19+'Århus Havn'!E19+Midttrafik!E19+'AffaldVarme Århus'!E19+Ejendomsforvaltningen!E19+Fællesadministrationen!E19+'Natur og Miljø'!E19+'Planlægning og Byggeri'!E19+'Trafik og Veje'!E19+'Natur og Vejservice'!E19+'Århus Brandvæsen'!E19+'Århus Vand AS'!E19</f>
        <v>0</v>
      </c>
      <c r="F19" s="61">
        <f>'Borgmesterens afd'!F19+'Børn og Unge'!F19+'Kultur og Borgerservice'!F19+'Social og Beskæftigelse'!F19+'Sundhed og Omsorg'!F19+'Århus Havn'!F19+Midttrafik!F19+'AffaldVarme Århus'!F19+Ejendomsforvaltningen!F19+Fællesadministrationen!F19+'Natur og Miljø'!F19+'Planlægning og Byggeri'!F19+'Trafik og Veje'!F19+'Natur og Vejservice'!F19+'Århus Brandvæsen'!F19+'Århus Vand AS'!F19</f>
        <v>0</v>
      </c>
    </row>
    <row r="20" spans="1:8" ht="15">
      <c r="A20" s="9"/>
      <c r="B20" s="4" t="s">
        <v>30</v>
      </c>
      <c r="C20" s="4" t="s">
        <v>37</v>
      </c>
      <c r="D20" s="4" t="str">
        <f t="shared" si="0"/>
        <v>Diesel - liter</v>
      </c>
      <c r="E20" s="109">
        <f>'Borgmesterens afd'!E20+'Børn og Unge'!E20+'Kultur og Borgerservice'!E20+'Social og Beskæftigelse'!E20+'Sundhed og Omsorg'!E20+'Århus Havn'!E20+Midttrafik!E20+'AffaldVarme Århus'!E20+Ejendomsforvaltningen!E20+Fællesadministrationen!E20+'Natur og Miljø'!E20+'Planlægning og Byggeri'!E20+'Trafik og Veje'!E20+'Natur og Vejservice'!E20+'Århus Brandvæsen'!E20+'Århus Vand AS'!E20</f>
        <v>10780299.530000001</v>
      </c>
      <c r="F20" s="61">
        <f>'Borgmesterens afd'!F20+'Børn og Unge'!F20+'Kultur og Borgerservice'!F20+'Social og Beskæftigelse'!F20+'Sundhed og Omsorg'!F20+'Århus Havn'!F20+Midttrafik!F20+'AffaldVarme Århus'!F20+Ejendomsforvaltningen!F20+Fællesadministrationen!F20+'Natur og Miljø'!F20+'Planlægning og Byggeri'!F20+'Trafik og Veje'!F20+'Natur og Vejservice'!F20+'Århus Brandvæsen'!F20+'Århus Vand AS'!F20</f>
        <v>28567.793754499999</v>
      </c>
      <c r="G20" s="120" t="s">
        <v>414</v>
      </c>
      <c r="H20" s="118">
        <f>SUM(F5:F8)+SUM(F10:F13)+F27+F29-H22</f>
        <v>44679.125756699999</v>
      </c>
    </row>
    <row r="21" spans="1:8" ht="15">
      <c r="A21" s="9"/>
      <c r="B21" s="4" t="s">
        <v>32</v>
      </c>
      <c r="C21" s="4" t="s">
        <v>37</v>
      </c>
      <c r="D21" s="4" t="str">
        <f t="shared" si="0"/>
        <v>Benzin - liter</v>
      </c>
      <c r="E21" s="109">
        <f>'Borgmesterens afd'!E21+'Børn og Unge'!E21+'Kultur og Borgerservice'!E21+'Social og Beskæftigelse'!E21+'Sundhed og Omsorg'!E21+'Århus Havn'!E21+Midttrafik!E21+'AffaldVarme Århus'!E21+Ejendomsforvaltningen!E21+Fællesadministrationen!E21+'Natur og Miljø'!E21+'Planlægning og Byggeri'!E21+'Trafik og Veje'!E21+'Natur og Vejservice'!E21+'Århus Brandvæsen'!E21+'Århus Vand AS'!E21</f>
        <v>307130</v>
      </c>
      <c r="F21" s="61">
        <f>'Borgmesterens afd'!F21+'Børn og Unge'!F21+'Kultur og Borgerservice'!F21+'Social og Beskæftigelse'!F21+'Sundhed og Omsorg'!F21+'Århus Havn'!F21+Midttrafik!F21+'AffaldVarme Århus'!F21+Ejendomsforvaltningen!F21+Fællesadministrationen!F21+'Natur og Miljø'!F21+'Planlægning og Byggeri'!F21+'Trafik og Veje'!F21+'Natur og Vejservice'!F21+'Århus Brandvæsen'!F21+'Århus Vand AS'!F21</f>
        <v>706.39899999999989</v>
      </c>
      <c r="H21" s="116"/>
    </row>
    <row r="22" spans="1:8" ht="15">
      <c r="A22" s="9"/>
      <c r="B22" s="4" t="s">
        <v>39</v>
      </c>
      <c r="C22" s="4" t="s">
        <v>80</v>
      </c>
      <c r="D22" s="4" t="str">
        <f t="shared" si="0"/>
        <v>Taxa - N/A</v>
      </c>
      <c r="E22" s="109">
        <f>'Borgmesterens afd'!E22+'Børn og Unge'!E22+'Kultur og Borgerservice'!E22+'Social og Beskæftigelse'!E22+'Sundhed og Omsorg'!E22+'Århus Havn'!E22+Midttrafik!E22+'AffaldVarme Århus'!E22+Ejendomsforvaltningen!E22+Fællesadministrationen!E22+'Natur og Miljø'!E22+'Planlægning og Byggeri'!E22+'Trafik og Veje'!E22+'Natur og Vejservice'!E22+'Århus Brandvæsen'!E22+'Århus Vand AS'!E22</f>
        <v>43865570</v>
      </c>
      <c r="F22" s="61">
        <f>'Borgmesterens afd'!F22+'Børn og Unge'!F22+'Kultur og Borgerservice'!F22+'Social og Beskæftigelse'!F22+'Sundhed og Omsorg'!F22+'Århus Havn'!F22+Midttrafik!F22+'AffaldVarme Århus'!F22+Ejendomsforvaltningen!F22+Fællesadministrationen!F22+'Natur og Miljø'!F22+'Planlægning og Byggeri'!F22+'Trafik og Veje'!F22+'Natur og Vejservice'!F22+'Århus Brandvæsen'!F22+'Århus Vand AS'!F22</f>
        <v>446.46222739193598</v>
      </c>
      <c r="G22" s="120" t="s">
        <v>415</v>
      </c>
      <c r="H22" s="118">
        <f>'Børn og Unge'!F8+'Børn og Unge'!F10+'Kultur og Borgerservice'!F8+'Kultur og Borgerservice'!F10+'Social og Beskæftigelse'!F8+'Social og Beskæftigelse'!F10+'Sundhed og Omsorg'!F8+'Sundhed og Omsorg'!F10+Ejendomsforvaltningen!F8+Ejendomsforvaltningen!F10+'Natur og Miljø'!F8+'Natur og Miljø'!F10+'Natur og Vejservice'!F8+'Natur og Vejservice'!F10+'Århus Brandvæsen'!F8+'Århus Brandvæsen'!F10</f>
        <v>52711.580115000004</v>
      </c>
    </row>
    <row r="23" spans="1:8" ht="15">
      <c r="A23" s="9"/>
      <c r="B23" s="4" t="s">
        <v>40</v>
      </c>
      <c r="C23" s="4" t="s">
        <v>335</v>
      </c>
      <c r="D23" s="4"/>
      <c r="E23" s="109">
        <f>'Borgmesterens afd'!E23+'Børn og Unge'!E23+'Kultur og Borgerservice'!E23+'Social og Beskæftigelse'!E23+'Sundhed og Omsorg'!E23+'Århus Havn'!E23+Midttrafik!E23+'AffaldVarme Århus'!E23+Ejendomsforvaltningen!E23+Fællesadministrationen!E23+'Natur og Miljø'!E23+'Planlægning og Byggeri'!E23+'Trafik og Veje'!E23+'Natur og Vejservice'!E23+'Århus Brandvæsen'!E23+'Århus Vand AS'!E23</f>
        <v>0</v>
      </c>
      <c r="F23" s="61">
        <f>'Borgmesterens afd'!F23+'Børn og Unge'!F23+'Kultur og Borgerservice'!F23+'Social og Beskæftigelse'!F23+'Sundhed og Omsorg'!F23+'Århus Havn'!F23+Midttrafik!F23+'AffaldVarme Århus'!F23+Ejendomsforvaltningen!F23+Fællesadministrationen!F23+'Natur og Miljø'!F23+'Planlægning og Byggeri'!F23+'Trafik og Veje'!F23+'Natur og Vejservice'!F23+'Århus Brandvæsen'!F23+'Århus Vand AS'!F23</f>
        <v>91.707000000000008</v>
      </c>
      <c r="H23" s="116"/>
    </row>
    <row r="24" spans="1:8" ht="15">
      <c r="A24" s="9"/>
      <c r="B24" s="4" t="s">
        <v>41</v>
      </c>
      <c r="C24" s="4" t="s">
        <v>335</v>
      </c>
      <c r="D24" s="4"/>
      <c r="E24" s="109">
        <f>'Borgmesterens afd'!E24+'Børn og Unge'!E24+'Kultur og Borgerservice'!E24+'Social og Beskæftigelse'!E24+'Sundhed og Omsorg'!E24+'Århus Havn'!E24+Midttrafik!E24+'AffaldVarme Århus'!E24+Ejendomsforvaltningen!E24+Fællesadministrationen!E24+'Natur og Miljø'!E24+'Planlægning og Byggeri'!E24+'Trafik og Veje'!E24+'Natur og Vejservice'!E24+'Århus Brandvæsen'!E24+'Århus Vand AS'!E24</f>
        <v>0</v>
      </c>
      <c r="F24" s="61">
        <f>'Borgmesterens afd'!F24+'Børn og Unge'!F24+'Kultur og Borgerservice'!F24+'Social og Beskæftigelse'!F24+'Sundhed og Omsorg'!F24+'Århus Havn'!F24+Midttrafik!F24+'AffaldVarme Århus'!F24+Ejendomsforvaltningen!F24+Fællesadministrationen!F24+'Natur og Miljø'!F24+'Planlægning og Byggeri'!F24+'Trafik og Veje'!F24+'Natur og Vejservice'!F24+'Århus Brandvæsen'!F24+'Århus Vand AS'!F24</f>
        <v>1.7749999999999999</v>
      </c>
      <c r="H24" s="116"/>
    </row>
    <row r="25" spans="1:8" ht="15">
      <c r="A25" s="10"/>
      <c r="B25" s="4" t="s">
        <v>42</v>
      </c>
      <c r="C25" s="4" t="s">
        <v>335</v>
      </c>
      <c r="D25" s="4"/>
      <c r="E25" s="109">
        <f>'Borgmesterens afd'!E25+'Børn og Unge'!E25+'Kultur og Borgerservice'!E25+'Social og Beskæftigelse'!E25+'Sundhed og Omsorg'!E25+'Århus Havn'!E25+Midttrafik!E25+'AffaldVarme Århus'!E25+Ejendomsforvaltningen!E25+Fællesadministrationen!E25+'Natur og Miljø'!E25+'Planlægning og Byggeri'!E25+'Trafik og Veje'!E25+'Natur og Vejservice'!E25+'Århus Brandvæsen'!E25+'Århus Vand AS'!E25</f>
        <v>0</v>
      </c>
      <c r="F25" s="61">
        <f>'Borgmesterens afd'!F25+'Børn og Unge'!F25+'Kultur og Borgerservice'!F25+'Social og Beskæftigelse'!F25+'Sundhed og Omsorg'!F25+'Århus Havn'!F25+Midttrafik!F25+'AffaldVarme Århus'!F25+Ejendomsforvaltningen!F25+Fællesadministrationen!F25+'Natur og Miljø'!F25+'Planlægning og Byggeri'!F25+'Trafik og Veje'!F25+'Natur og Vejservice'!F25+'Århus Brandvæsen'!F25+'Århus Vand AS'!F25</f>
        <v>0</v>
      </c>
      <c r="G25" s="117" t="s">
        <v>397</v>
      </c>
      <c r="H25" s="118">
        <f>SUM(F15:F25)</f>
        <v>30790.918119862952</v>
      </c>
    </row>
    <row r="26" spans="1:8" ht="15">
      <c r="A26" s="21"/>
      <c r="B26" s="22"/>
      <c r="C26" s="19"/>
      <c r="D26" s="19"/>
      <c r="E26" s="108"/>
      <c r="F26" s="63"/>
      <c r="H26" s="118"/>
    </row>
    <row r="27" spans="1:8" ht="15">
      <c r="A27" s="79" t="s">
        <v>329</v>
      </c>
      <c r="B27" s="80" t="s">
        <v>333</v>
      </c>
      <c r="C27" s="49" t="s">
        <v>44</v>
      </c>
      <c r="D27" s="49"/>
      <c r="E27" s="110">
        <f>'AffaldVarme Århus'!E27</f>
        <v>1884</v>
      </c>
      <c r="F27" s="81">
        <f>'AffaldVarme Århus'!F27</f>
        <v>828.96</v>
      </c>
      <c r="H27" s="118"/>
    </row>
    <row r="28" spans="1:8" ht="15">
      <c r="A28" s="70"/>
      <c r="B28" s="22"/>
      <c r="C28" s="19"/>
      <c r="D28" s="19"/>
      <c r="E28" s="108"/>
      <c r="F28" s="63"/>
      <c r="H28" s="118"/>
    </row>
    <row r="29" spans="1:8" ht="15">
      <c r="A29" s="16" t="s">
        <v>43</v>
      </c>
      <c r="B29" s="4" t="s">
        <v>84</v>
      </c>
      <c r="C29" s="4" t="s">
        <v>44</v>
      </c>
      <c r="D29" s="4" t="str">
        <f>B29&amp;" - "&amp;C29</f>
        <v>Forbrug af kunstgødning - Ton</v>
      </c>
      <c r="E29" s="109">
        <f>'Natur og Miljø'!E27</f>
        <v>40</v>
      </c>
      <c r="F29" s="61">
        <f>'Natur og Miljø'!F27</f>
        <v>227.91585599999996</v>
      </c>
      <c r="H29" s="118"/>
    </row>
    <row r="30" spans="1:8" ht="15">
      <c r="A30" s="26"/>
      <c r="B30" s="4" t="s">
        <v>96</v>
      </c>
      <c r="C30" s="4" t="s">
        <v>44</v>
      </c>
      <c r="D30" s="4"/>
      <c r="E30" s="109">
        <f>'Natur og Miljø'!E28</f>
        <v>0</v>
      </c>
      <c r="F30" s="61">
        <f>'Natur og Miljø'!F28</f>
        <v>0</v>
      </c>
      <c r="H30" s="118"/>
    </row>
    <row r="31" spans="1:8" ht="15">
      <c r="A31" s="17"/>
      <c r="B31" s="4" t="s">
        <v>97</v>
      </c>
      <c r="C31" s="4" t="s">
        <v>44</v>
      </c>
      <c r="D31" s="4" t="str">
        <f>B31&amp;" - "&amp;C31</f>
        <v>Forbrug af kalk - Ton</v>
      </c>
      <c r="E31" s="109">
        <f>'Natur og Miljø'!E29</f>
        <v>0</v>
      </c>
      <c r="F31" s="61">
        <f>'Natur og Miljø'!F29</f>
        <v>0</v>
      </c>
      <c r="H31" s="118"/>
    </row>
    <row r="32" spans="1:8">
      <c r="A32" s="18"/>
      <c r="B32" s="19"/>
      <c r="C32" s="19"/>
      <c r="D32" s="19"/>
      <c r="E32" s="108"/>
      <c r="F32" s="63"/>
      <c r="H32" s="116"/>
    </row>
    <row r="33" spans="1:8" ht="15">
      <c r="A33" s="178" t="s">
        <v>85</v>
      </c>
      <c r="B33" s="4" t="s">
        <v>86</v>
      </c>
      <c r="C33" s="4" t="s">
        <v>45</v>
      </c>
      <c r="D33" s="4" t="str">
        <f>B33&amp;" - "&amp;C33</f>
        <v>Søareal før etablering af vådomr. - ha</v>
      </c>
      <c r="E33" s="109">
        <f>'Natur og Miljø'!E31</f>
        <v>0</v>
      </c>
      <c r="F33" s="164">
        <f>'Natur og Miljø'!F31</f>
        <v>-2551.7904949246813</v>
      </c>
      <c r="G33" s="116"/>
      <c r="H33" s="116"/>
    </row>
    <row r="34" spans="1:8" ht="15">
      <c r="A34" s="179"/>
      <c r="B34" s="4" t="s">
        <v>87</v>
      </c>
      <c r="C34" s="4" t="s">
        <v>45</v>
      </c>
      <c r="D34" s="4"/>
      <c r="E34" s="109">
        <f>'Natur og Miljø'!E32</f>
        <v>220</v>
      </c>
      <c r="F34" s="165"/>
      <c r="H34" s="116"/>
    </row>
    <row r="35" spans="1:8" ht="15">
      <c r="A35" s="179"/>
      <c r="B35" s="4" t="s">
        <v>88</v>
      </c>
      <c r="C35" s="4" t="s">
        <v>45</v>
      </c>
      <c r="D35" s="4"/>
      <c r="E35" s="109">
        <f>'Natur og Miljø'!E33</f>
        <v>253</v>
      </c>
      <c r="F35" s="165"/>
      <c r="H35" s="116"/>
    </row>
    <row r="36" spans="1:8" ht="15">
      <c r="A36" s="179"/>
      <c r="B36" s="4" t="s">
        <v>89</v>
      </c>
      <c r="C36" s="4" t="s">
        <v>45</v>
      </c>
      <c r="D36" s="4"/>
      <c r="E36" s="109">
        <f>'Natur og Miljø'!E34</f>
        <v>146</v>
      </c>
      <c r="F36" s="165"/>
      <c r="H36" s="116"/>
    </row>
    <row r="37" spans="1:8" ht="15">
      <c r="A37" s="180"/>
      <c r="B37" s="4" t="s">
        <v>90</v>
      </c>
      <c r="C37" s="4" t="s">
        <v>45</v>
      </c>
      <c r="D37" s="4" t="str">
        <f>B37&amp;" - "&amp;C37</f>
        <v>Landbrugsareal på humusjord, JB 11 - ha</v>
      </c>
      <c r="E37" s="109">
        <f>'Natur og Miljø'!E35</f>
        <v>204</v>
      </c>
      <c r="F37" s="166"/>
      <c r="H37" s="116"/>
    </row>
    <row r="38" spans="1:8">
      <c r="A38" s="18"/>
      <c r="B38" s="19"/>
      <c r="C38" s="19"/>
      <c r="D38" s="19"/>
      <c r="E38" s="108"/>
      <c r="F38" s="63"/>
      <c r="H38" s="116"/>
    </row>
    <row r="39" spans="1:8" ht="15">
      <c r="A39" s="178" t="s">
        <v>91</v>
      </c>
      <c r="B39" s="4" t="s">
        <v>95</v>
      </c>
      <c r="C39" s="4" t="s">
        <v>45</v>
      </c>
      <c r="D39" s="4"/>
      <c r="E39" s="109">
        <f>'Natur og Miljø'!E37</f>
        <v>0</v>
      </c>
      <c r="F39" s="164">
        <f>'Natur og Miljø'!F37</f>
        <v>-12670</v>
      </c>
      <c r="H39" s="116"/>
    </row>
    <row r="40" spans="1:8" ht="15">
      <c r="A40" s="180"/>
      <c r="B40" s="4" t="s">
        <v>92</v>
      </c>
      <c r="C40" s="4" t="s">
        <v>45</v>
      </c>
      <c r="D40" s="4"/>
      <c r="E40" s="109">
        <f>'Natur og Miljø'!E38</f>
        <v>724</v>
      </c>
      <c r="F40" s="165"/>
      <c r="H40" s="116"/>
    </row>
    <row r="41" spans="1:8" ht="15">
      <c r="A41" s="180"/>
      <c r="B41" s="4" t="s">
        <v>94</v>
      </c>
      <c r="C41" s="4" t="s">
        <v>45</v>
      </c>
      <c r="D41" s="4"/>
      <c r="E41" s="109">
        <f>'Natur og Miljø'!E39</f>
        <v>0</v>
      </c>
      <c r="F41" s="165"/>
      <c r="H41" s="116"/>
    </row>
    <row r="42" spans="1:8" ht="15">
      <c r="A42" s="181"/>
      <c r="B42" s="4" t="s">
        <v>93</v>
      </c>
      <c r="C42" s="4" t="s">
        <v>45</v>
      </c>
      <c r="D42" s="4"/>
      <c r="E42" s="109">
        <f>'Natur og Miljø'!E40</f>
        <v>0</v>
      </c>
      <c r="F42" s="166"/>
      <c r="G42" s="120" t="s">
        <v>394</v>
      </c>
      <c r="H42" s="118">
        <f>F33+F39</f>
        <v>-15221.79049492468</v>
      </c>
    </row>
    <row r="43" spans="1:8" ht="15">
      <c r="A43" s="182"/>
      <c r="B43" s="183"/>
      <c r="C43" s="183"/>
      <c r="D43" s="183"/>
      <c r="E43" s="183"/>
      <c r="F43" s="184"/>
      <c r="G43" s="120" t="s">
        <v>116</v>
      </c>
      <c r="H43" s="116">
        <f>H20+H22+H25+H42</f>
        <v>112959.83349663828</v>
      </c>
    </row>
    <row r="44" spans="1:8" s="2" customFormat="1" ht="57">
      <c r="C44" s="3" t="s">
        <v>411</v>
      </c>
      <c r="D44" s="3"/>
      <c r="E44" s="3" t="s">
        <v>410</v>
      </c>
      <c r="F44" s="3" t="s">
        <v>50</v>
      </c>
      <c r="G44" s="3"/>
    </row>
    <row r="45" spans="1:8">
      <c r="C45" s="114">
        <v>130004</v>
      </c>
      <c r="D45" s="114"/>
      <c r="E45" s="114">
        <f>C45*0.94</f>
        <v>122203.76</v>
      </c>
      <c r="F45" s="114">
        <f>SUM(F5:F43)</f>
        <v>112959.83349663827</v>
      </c>
      <c r="G45" s="114"/>
    </row>
    <row r="46" spans="1:8" ht="18.75">
      <c r="C46" s="148" t="s">
        <v>53</v>
      </c>
      <c r="D46" s="148"/>
      <c r="E46" s="148"/>
      <c r="F46" s="148"/>
      <c r="G46" s="4" t="s">
        <v>52</v>
      </c>
    </row>
  </sheetData>
  <mergeCells count="10">
    <mergeCell ref="H5:M7"/>
    <mergeCell ref="A1:B1"/>
    <mergeCell ref="B2:D2"/>
    <mergeCell ref="B3:D3"/>
    <mergeCell ref="C46:F46"/>
    <mergeCell ref="A33:A37"/>
    <mergeCell ref="A39:A42"/>
    <mergeCell ref="A43:F43"/>
    <mergeCell ref="F33:F37"/>
    <mergeCell ref="F39:F42"/>
  </mergeCells>
  <phoneticPr fontId="4" type="noConversion"/>
  <pageMargins left="0.27559055118110237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showGridLines="0" workbookViewId="0">
      <selection sqref="A1:B1"/>
    </sheetView>
  </sheetViews>
  <sheetFormatPr defaultRowHeight="14.25"/>
  <cols>
    <col min="1" max="1" width="30.75" bestFit="1" customWidth="1"/>
    <col min="2" max="2" width="26.25" customWidth="1"/>
    <col min="3" max="3" width="13.125" customWidth="1"/>
    <col min="4" max="4" width="12.375" hidden="1" customWidth="1"/>
    <col min="5" max="5" width="16.625" bestFit="1" customWidth="1"/>
    <col min="6" max="7" width="11.75" customWidth="1"/>
  </cols>
  <sheetData>
    <row r="1" spans="1:17" ht="57">
      <c r="A1" s="143" t="s">
        <v>119</v>
      </c>
      <c r="B1" s="144"/>
      <c r="C1" s="11" t="s">
        <v>76</v>
      </c>
      <c r="D1" s="6"/>
      <c r="E1" s="12" t="s">
        <v>77</v>
      </c>
      <c r="F1" s="7" t="s">
        <v>36</v>
      </c>
    </row>
    <row r="2" spans="1:17" ht="15">
      <c r="A2" s="14" t="s">
        <v>78</v>
      </c>
      <c r="B2" s="145" t="s">
        <v>24</v>
      </c>
      <c r="C2" s="146"/>
      <c r="D2" s="147"/>
      <c r="E2" s="4">
        <f>Konversionsfaktorer!C2</f>
        <v>2011</v>
      </c>
      <c r="F2" s="61"/>
    </row>
    <row r="3" spans="1:17">
      <c r="A3" s="9"/>
      <c r="B3" s="145" t="s">
        <v>79</v>
      </c>
      <c r="C3" s="146"/>
      <c r="D3" s="147"/>
      <c r="E3" s="4" t="str">
        <f ca="1">MID(CELL("filename",E3),FIND("]",CELL("filename",E3))+1,99)</f>
        <v>Borgmesterens afd</v>
      </c>
      <c r="F3" s="61"/>
    </row>
    <row r="4" spans="1:17" ht="14.25" customHeight="1">
      <c r="A4" s="6"/>
      <c r="B4" s="6"/>
      <c r="C4" s="6"/>
      <c r="D4" s="6"/>
      <c r="E4" s="6"/>
      <c r="F4" s="62"/>
    </row>
    <row r="5" spans="1:17" ht="15">
      <c r="A5" s="14" t="s">
        <v>25</v>
      </c>
      <c r="B5" s="4" t="s">
        <v>26</v>
      </c>
      <c r="C5" s="4" t="s">
        <v>48</v>
      </c>
      <c r="D5" s="4" t="str">
        <f>C5</f>
        <v>kWh (el)</v>
      </c>
      <c r="E5" s="101">
        <v>0</v>
      </c>
      <c r="F5" s="61">
        <f>E5*INDEX(Konversionsfaktorer!C$5:C$21,MATCH(D5,Konversionsfaktorer!A$5:A$21,0))</f>
        <v>0</v>
      </c>
      <c r="H5" s="70" t="s">
        <v>315</v>
      </c>
      <c r="I5" s="71"/>
      <c r="J5" s="71"/>
      <c r="K5" s="71"/>
      <c r="L5" s="71"/>
      <c r="M5" s="71"/>
      <c r="N5" s="71"/>
      <c r="O5" s="72"/>
    </row>
    <row r="6" spans="1:17" ht="15">
      <c r="A6" s="9"/>
      <c r="B6" s="4" t="s">
        <v>28</v>
      </c>
      <c r="C6" s="4" t="s">
        <v>48</v>
      </c>
      <c r="D6" s="4" t="str">
        <f>C6</f>
        <v>kWh (el)</v>
      </c>
      <c r="E6" s="101"/>
      <c r="F6" s="61">
        <f>E6*INDEX(Konversionsfaktorer!C$5:C$21,MATCH(D6,Konversionsfaktorer!A$5:A$21,0))</f>
        <v>0</v>
      </c>
      <c r="H6" s="73"/>
      <c r="I6" s="74"/>
      <c r="J6" s="74"/>
      <c r="K6" s="74"/>
      <c r="L6" s="74"/>
      <c r="M6" s="74"/>
      <c r="N6" s="74"/>
      <c r="O6" s="24"/>
    </row>
    <row r="7" spans="1:17" ht="15">
      <c r="A7" s="9"/>
      <c r="B7" s="4" t="s">
        <v>98</v>
      </c>
      <c r="C7" s="4" t="s">
        <v>48</v>
      </c>
      <c r="D7" s="4" t="str">
        <f>C7</f>
        <v>kWh (el)</v>
      </c>
      <c r="E7" s="102"/>
      <c r="F7" s="61">
        <f>E7*INDEX(Konversionsfaktorer!C$5:C$21,MATCH(D7,Konversionsfaktorer!A$5:A$21,0))</f>
        <v>0</v>
      </c>
      <c r="H7" s="73" t="s">
        <v>316</v>
      </c>
      <c r="I7" s="74"/>
      <c r="J7" s="74"/>
      <c r="K7" s="74"/>
      <c r="L7" s="74"/>
      <c r="M7" s="74"/>
      <c r="N7" s="74"/>
      <c r="O7" s="24"/>
    </row>
    <row r="8" spans="1:17" ht="15">
      <c r="A8" s="10"/>
      <c r="B8" s="4" t="s">
        <v>34</v>
      </c>
      <c r="C8" s="4" t="s">
        <v>48</v>
      </c>
      <c r="D8" s="4" t="str">
        <f>C8</f>
        <v>kWh (el)</v>
      </c>
      <c r="E8" s="101"/>
      <c r="F8" s="61">
        <f>E8*INDEX(Konversionsfaktorer!C$5:C$21,MATCH(D8,Konversionsfaktorer!A$5:A$21,0))</f>
        <v>0</v>
      </c>
      <c r="H8" s="73"/>
      <c r="I8" s="74"/>
      <c r="J8" s="74"/>
      <c r="K8" s="74"/>
      <c r="L8" s="74"/>
      <c r="M8" s="74"/>
      <c r="N8" s="74"/>
      <c r="O8" s="24"/>
    </row>
    <row r="9" spans="1:17" ht="15">
      <c r="A9" s="8"/>
      <c r="B9" s="8"/>
      <c r="C9" s="6"/>
      <c r="D9" s="6"/>
      <c r="E9" s="103"/>
      <c r="F9" s="62"/>
      <c r="H9" s="149" t="s">
        <v>318</v>
      </c>
      <c r="I9" s="150"/>
      <c r="J9" s="150"/>
      <c r="K9" s="150"/>
      <c r="L9" s="150"/>
      <c r="M9" s="150"/>
      <c r="N9" s="150"/>
      <c r="O9" s="151"/>
    </row>
    <row r="10" spans="1:17" ht="15">
      <c r="A10" s="14" t="s">
        <v>33</v>
      </c>
      <c r="B10" s="4" t="s">
        <v>29</v>
      </c>
      <c r="C10" s="4" t="s">
        <v>49</v>
      </c>
      <c r="D10" s="4" t="str">
        <f>C10</f>
        <v>kWh (fv)</v>
      </c>
      <c r="E10" s="101">
        <v>0</v>
      </c>
      <c r="F10" s="61">
        <f>E10*INDEX(Konversionsfaktorer!C$5:C$21,MATCH(D10,Konversionsfaktorer!A$5:A$21,0))</f>
        <v>0</v>
      </c>
      <c r="H10" s="149"/>
      <c r="I10" s="150"/>
      <c r="J10" s="150"/>
      <c r="K10" s="150"/>
      <c r="L10" s="150"/>
      <c r="M10" s="150"/>
      <c r="N10" s="150"/>
      <c r="O10" s="151"/>
    </row>
    <row r="11" spans="1:17" ht="15">
      <c r="A11" s="9"/>
      <c r="B11" s="4" t="s">
        <v>35</v>
      </c>
      <c r="C11" s="4" t="s">
        <v>37</v>
      </c>
      <c r="D11" s="4" t="str">
        <f>B11&amp;" - "&amp;C11</f>
        <v>Fyringsolie - liter</v>
      </c>
      <c r="E11" s="101"/>
      <c r="F11" s="61">
        <f>E11*INDEX(Konversionsfaktorer!C$5:C$21,MATCH(D11,Konversionsfaktorer!A$5:A$21,0))</f>
        <v>0</v>
      </c>
      <c r="H11" s="149"/>
      <c r="I11" s="150"/>
      <c r="J11" s="150"/>
      <c r="K11" s="150"/>
      <c r="L11" s="150"/>
      <c r="M11" s="150"/>
      <c r="N11" s="150"/>
      <c r="O11" s="151"/>
    </row>
    <row r="12" spans="1:17" ht="15">
      <c r="A12" s="9"/>
      <c r="B12" s="4" t="s">
        <v>54</v>
      </c>
      <c r="C12" s="4" t="s">
        <v>55</v>
      </c>
      <c r="D12" s="4" t="str">
        <f>B12&amp;" - "&amp;C12</f>
        <v>Naturgas - m3</v>
      </c>
      <c r="E12" s="101"/>
      <c r="F12" s="61">
        <f>E12*INDEX(Konversionsfaktorer!C$5:C$21,MATCH(D12,Konversionsfaktorer!A$5:A$21,0))</f>
        <v>0</v>
      </c>
      <c r="H12" s="149"/>
      <c r="I12" s="150"/>
      <c r="J12" s="150"/>
      <c r="K12" s="150"/>
      <c r="L12" s="150"/>
      <c r="M12" s="150"/>
      <c r="N12" s="150"/>
      <c r="O12" s="151"/>
    </row>
    <row r="13" spans="1:17" ht="15">
      <c r="A13" s="10"/>
      <c r="B13" s="4" t="s">
        <v>25</v>
      </c>
      <c r="C13" s="4" t="s">
        <v>48</v>
      </c>
      <c r="D13" s="4" t="str">
        <f>C13</f>
        <v>kWh (el)</v>
      </c>
      <c r="E13" s="101"/>
      <c r="F13" s="61">
        <f>E13*INDEX(Konversionsfaktorer!C$5:C$21,MATCH(D13,Konversionsfaktorer!A$5:A$21,0))</f>
        <v>0</v>
      </c>
      <c r="H13" s="152" t="s">
        <v>319</v>
      </c>
      <c r="I13" s="153"/>
      <c r="J13" s="153"/>
      <c r="K13" s="153"/>
      <c r="L13" s="153"/>
      <c r="M13" s="153"/>
      <c r="N13" s="153"/>
      <c r="O13" s="154"/>
      <c r="P13" s="2"/>
      <c r="Q13" s="2"/>
    </row>
    <row r="14" spans="1:17" ht="15">
      <c r="A14" s="8"/>
      <c r="B14" s="8"/>
      <c r="C14" s="6"/>
      <c r="D14" s="6"/>
      <c r="E14" s="103"/>
      <c r="F14" s="62"/>
      <c r="H14" s="149"/>
      <c r="I14" s="150"/>
      <c r="J14" s="150"/>
      <c r="K14" s="150"/>
      <c r="L14" s="150"/>
      <c r="M14" s="150"/>
      <c r="N14" s="150"/>
      <c r="O14" s="154"/>
    </row>
    <row r="15" spans="1:17" ht="15" customHeight="1">
      <c r="A15" s="15" t="s">
        <v>31</v>
      </c>
      <c r="B15" s="4" t="s">
        <v>27</v>
      </c>
      <c r="C15" s="83" t="s">
        <v>47</v>
      </c>
      <c r="D15" s="4" t="str">
        <f t="shared" ref="D15:D22" si="0">B15&amp;" - "&amp;C15</f>
        <v>Elbiler - km</v>
      </c>
      <c r="E15" s="101"/>
      <c r="F15" s="61">
        <f>E15*INDEX(Konversionsfaktorer!C$5:C$21,MATCH(D15,Konversionsfaktorer!A$5:A$21,0))</f>
        <v>0</v>
      </c>
      <c r="H15" s="149"/>
      <c r="I15" s="150"/>
      <c r="J15" s="150"/>
      <c r="K15" s="150"/>
      <c r="L15" s="150"/>
      <c r="M15" s="150"/>
      <c r="N15" s="150"/>
      <c r="O15" s="154"/>
    </row>
    <row r="16" spans="1:17" ht="15" customHeight="1">
      <c r="A16" s="9"/>
      <c r="B16" s="4" t="s">
        <v>38</v>
      </c>
      <c r="C16" s="4" t="s">
        <v>47</v>
      </c>
      <c r="D16" s="4" t="str">
        <f t="shared" si="0"/>
        <v>Medarbejderkørsel - km</v>
      </c>
      <c r="E16" s="101"/>
      <c r="F16" s="61">
        <f>E16*INDEX(Konversionsfaktorer!C$5:C$21,MATCH(D16,Konversionsfaktorer!A$5:A$21,0))</f>
        <v>0</v>
      </c>
      <c r="H16" s="149"/>
      <c r="I16" s="150"/>
      <c r="J16" s="150"/>
      <c r="K16" s="150"/>
      <c r="L16" s="150"/>
      <c r="M16" s="150"/>
      <c r="N16" s="150"/>
      <c r="O16" s="154"/>
    </row>
    <row r="17" spans="1:17" ht="15">
      <c r="A17" s="9"/>
      <c r="B17" s="4" t="s">
        <v>57</v>
      </c>
      <c r="C17" s="4" t="s">
        <v>47</v>
      </c>
      <c r="D17" s="4" t="str">
        <f t="shared" si="0"/>
        <v>Anden kørsel - km</v>
      </c>
      <c r="E17" s="101"/>
      <c r="F17" s="61">
        <f>E17*INDEX(Konversionsfaktorer!C$5:C$21,MATCH(D17,Konversionsfaktorer!A$5:A$21,0))</f>
        <v>0</v>
      </c>
      <c r="H17" s="149"/>
      <c r="I17" s="150"/>
      <c r="J17" s="150"/>
      <c r="K17" s="150"/>
      <c r="L17" s="150"/>
      <c r="M17" s="150"/>
      <c r="N17" s="150"/>
      <c r="O17" s="154"/>
    </row>
    <row r="18" spans="1:17" ht="15">
      <c r="A18" s="9"/>
      <c r="B18" s="4" t="s">
        <v>57</v>
      </c>
      <c r="C18" s="4" t="s">
        <v>56</v>
      </c>
      <c r="D18" s="4" t="str">
        <f t="shared" si="0"/>
        <v>Anden kørsel - kr</v>
      </c>
      <c r="E18" s="101">
        <f>333597+3176</f>
        <v>336773</v>
      </c>
      <c r="F18" s="61">
        <f>E18*INDEX(Konversionsfaktorer!C$5:C$21,MATCH(D18,Konversionsfaktorer!A$5:A$21,0))</f>
        <v>20.596841449275363</v>
      </c>
      <c r="H18" s="149"/>
      <c r="I18" s="150"/>
      <c r="J18" s="150"/>
      <c r="K18" s="150"/>
      <c r="L18" s="150"/>
      <c r="M18" s="150"/>
      <c r="N18" s="150"/>
      <c r="O18" s="154"/>
    </row>
    <row r="19" spans="1:17" ht="15">
      <c r="A19" s="9"/>
      <c r="B19" s="4" t="s">
        <v>46</v>
      </c>
      <c r="C19" s="4" t="s">
        <v>47</v>
      </c>
      <c r="D19" s="4" t="str">
        <f t="shared" si="0"/>
        <v>Hjemmehjælpen - km</v>
      </c>
      <c r="E19" s="102"/>
      <c r="F19" s="61"/>
      <c r="H19" s="149"/>
      <c r="I19" s="150"/>
      <c r="J19" s="150"/>
      <c r="K19" s="150"/>
      <c r="L19" s="150"/>
      <c r="M19" s="150"/>
      <c r="N19" s="150"/>
      <c r="O19" s="154"/>
    </row>
    <row r="20" spans="1:17" ht="15">
      <c r="A20" s="9"/>
      <c r="B20" s="4" t="s">
        <v>30</v>
      </c>
      <c r="C20" s="4" t="s">
        <v>37</v>
      </c>
      <c r="D20" s="4" t="str">
        <f t="shared" si="0"/>
        <v>Diesel - liter</v>
      </c>
      <c r="E20" s="101">
        <f>5092+750.1+6022</f>
        <v>11864.1</v>
      </c>
      <c r="F20" s="61">
        <f>E20*INDEX(Konversionsfaktorer!C$5:C$21,MATCH(D20,Konversionsfaktorer!A$5:A$21,0))</f>
        <v>31.439865000000001</v>
      </c>
      <c r="H20" s="149" t="s">
        <v>317</v>
      </c>
      <c r="I20" s="150"/>
      <c r="J20" s="150"/>
      <c r="K20" s="150"/>
      <c r="L20" s="150"/>
      <c r="M20" s="150"/>
      <c r="N20" s="150"/>
      <c r="O20" s="151"/>
    </row>
    <row r="21" spans="1:17" ht="15">
      <c r="A21" s="9"/>
      <c r="B21" s="4" t="s">
        <v>32</v>
      </c>
      <c r="C21" s="4" t="s">
        <v>37</v>
      </c>
      <c r="D21" s="4" t="str">
        <f t="shared" si="0"/>
        <v>Benzin - liter</v>
      </c>
      <c r="E21" s="101">
        <v>17549</v>
      </c>
      <c r="F21" s="61">
        <f>E21*INDEX(Konversionsfaktorer!C$5:C$21,MATCH(D21,Konversionsfaktorer!A$5:A$21,0))</f>
        <v>40.362699999999997</v>
      </c>
      <c r="H21" s="149"/>
      <c r="I21" s="150"/>
      <c r="J21" s="150"/>
      <c r="K21" s="150"/>
      <c r="L21" s="150"/>
      <c r="M21" s="150"/>
      <c r="N21" s="150"/>
      <c r="O21" s="151"/>
    </row>
    <row r="22" spans="1:17" ht="15">
      <c r="A22" s="9"/>
      <c r="B22" s="4" t="s">
        <v>39</v>
      </c>
      <c r="C22" s="83" t="s">
        <v>56</v>
      </c>
      <c r="D22" s="4" t="str">
        <f t="shared" si="0"/>
        <v>Taxa - kr</v>
      </c>
      <c r="E22" s="101">
        <v>228380</v>
      </c>
      <c r="F22" s="61">
        <f>E22*INDEX(Konversionsfaktorer!C$5:C$21,MATCH(D22,Konversionsfaktorer!A$5:A$21,0))</f>
        <v>2.3244436010240004</v>
      </c>
      <c r="H22" s="155"/>
      <c r="I22" s="156"/>
      <c r="J22" s="156"/>
      <c r="K22" s="156"/>
      <c r="L22" s="156"/>
      <c r="M22" s="156"/>
      <c r="N22" s="156"/>
      <c r="O22" s="157"/>
    </row>
    <row r="23" spans="1:17" ht="15">
      <c r="A23" s="9"/>
      <c r="B23" s="4" t="s">
        <v>40</v>
      </c>
      <c r="C23" s="4" t="s">
        <v>314</v>
      </c>
      <c r="D23" s="4"/>
      <c r="E23" s="101"/>
      <c r="F23" s="101">
        <f>47.682+7.228</f>
        <v>54.910000000000004</v>
      </c>
    </row>
    <row r="24" spans="1:17" ht="15">
      <c r="A24" s="9"/>
      <c r="B24" s="4" t="s">
        <v>41</v>
      </c>
      <c r="C24" s="4" t="s">
        <v>314</v>
      </c>
      <c r="D24" s="4"/>
      <c r="E24" s="101"/>
      <c r="F24" s="101">
        <f>0.102+0.053</f>
        <v>0.155</v>
      </c>
    </row>
    <row r="25" spans="1:17" s="2" customFormat="1" ht="15">
      <c r="A25" s="10"/>
      <c r="B25" s="4" t="s">
        <v>42</v>
      </c>
      <c r="C25" s="4" t="s">
        <v>314</v>
      </c>
      <c r="D25" s="4"/>
      <c r="E25" s="101"/>
      <c r="F25" s="83"/>
      <c r="G25"/>
      <c r="H25"/>
      <c r="I25"/>
      <c r="J25"/>
      <c r="K25"/>
      <c r="L25"/>
      <c r="M25"/>
      <c r="N25"/>
      <c r="O25"/>
      <c r="P25"/>
      <c r="Q25"/>
    </row>
    <row r="26" spans="1:17" ht="15">
      <c r="A26" s="8"/>
      <c r="B26" s="8"/>
      <c r="C26" s="6"/>
      <c r="D26" s="6"/>
      <c r="E26" s="6"/>
      <c r="F26" s="25"/>
    </row>
    <row r="27" spans="1:17" ht="28.5">
      <c r="A27" s="2"/>
      <c r="B27" s="2"/>
      <c r="C27" s="3" t="s">
        <v>411</v>
      </c>
      <c r="D27" s="3"/>
      <c r="E27" s="3" t="s">
        <v>410</v>
      </c>
      <c r="F27" s="3" t="s">
        <v>50</v>
      </c>
      <c r="G27" s="3" t="s">
        <v>51</v>
      </c>
    </row>
    <row r="28" spans="1:17">
      <c r="C28" s="140">
        <v>128</v>
      </c>
      <c r="D28" s="114"/>
      <c r="E28" s="114">
        <f>C28*0.94</f>
        <v>120.32</v>
      </c>
      <c r="F28" s="114">
        <f>SUM(F5:F26)</f>
        <v>149.78885005029937</v>
      </c>
      <c r="G28" s="114">
        <f>(E28-F28)/E28*100+100</f>
        <v>75.507937125748526</v>
      </c>
    </row>
    <row r="29" spans="1:17" ht="18.75">
      <c r="C29" s="148" t="s">
        <v>53</v>
      </c>
      <c r="D29" s="148"/>
      <c r="E29" s="148"/>
      <c r="F29" s="148"/>
      <c r="G29" s="4" t="s">
        <v>52</v>
      </c>
    </row>
  </sheetData>
  <mergeCells count="7">
    <mergeCell ref="A1:B1"/>
    <mergeCell ref="B2:D2"/>
    <mergeCell ref="B3:D3"/>
    <mergeCell ref="C29:F29"/>
    <mergeCell ref="H9:O12"/>
    <mergeCell ref="H13:O19"/>
    <mergeCell ref="H20:O22"/>
  </mergeCells>
  <phoneticPr fontId="4" type="noConversion"/>
  <dataValidations disablePrompts="1" count="2">
    <dataValidation type="list" allowBlank="1" showInputMessage="1" showErrorMessage="1" sqref="C15">
      <formula1>"kWh (el),km"</formula1>
    </dataValidation>
    <dataValidation type="list" allowBlank="1" showInputMessage="1" showErrorMessage="1" sqref="C22">
      <formula1>"kr,km"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117"/>
  <sheetViews>
    <sheetView showGridLines="0" topLeftCell="A85" workbookViewId="0">
      <selection activeCell="A102" sqref="A102"/>
    </sheetView>
  </sheetViews>
  <sheetFormatPr defaultRowHeight="14.25"/>
  <cols>
    <col min="1" max="1" width="21.25" customWidth="1"/>
    <col min="2" max="2" width="0" hidden="1" customWidth="1"/>
    <col min="3" max="3" width="10.875" customWidth="1"/>
    <col min="4" max="4" width="9.875" bestFit="1" customWidth="1"/>
    <col min="5" max="5" width="10.875" bestFit="1" customWidth="1"/>
  </cols>
  <sheetData>
    <row r="1" spans="1:24" ht="15">
      <c r="A1" s="64" t="s">
        <v>114</v>
      </c>
      <c r="B1" s="65"/>
      <c r="C1" s="65" t="s">
        <v>115</v>
      </c>
      <c r="D1" s="65" t="s">
        <v>117</v>
      </c>
    </row>
    <row r="2" spans="1:24">
      <c r="A2" s="4" t="s">
        <v>99</v>
      </c>
      <c r="B2" s="5"/>
      <c r="C2" s="114">
        <f>'Borgmesterens afd'!F28</f>
        <v>149.78885005029937</v>
      </c>
      <c r="D2" s="58">
        <f>(C2/C$18)*100</f>
        <v>0.13260363919955417</v>
      </c>
    </row>
    <row r="3" spans="1:24">
      <c r="A3" s="4" t="s">
        <v>100</v>
      </c>
      <c r="B3" s="4"/>
      <c r="C3" s="114">
        <f>'Børn og Unge'!F28</f>
        <v>24110.835764679792</v>
      </c>
      <c r="D3" s="58">
        <f t="shared" ref="D3:D17" si="0">(C3/C$18)*100</f>
        <v>21.344609865592034</v>
      </c>
    </row>
    <row r="4" spans="1:24">
      <c r="A4" s="4" t="s">
        <v>101</v>
      </c>
      <c r="B4" s="4"/>
      <c r="C4" s="114">
        <f>'Kultur og Borgerservice'!F28</f>
        <v>9565.2059450446668</v>
      </c>
      <c r="D4" s="58">
        <f t="shared" si="0"/>
        <v>8.4677939484828748</v>
      </c>
    </row>
    <row r="5" spans="1:24">
      <c r="A5" s="4" t="s">
        <v>102</v>
      </c>
      <c r="B5" s="4"/>
      <c r="C5" s="114">
        <f>'Social og Beskæftigelse'!F28</f>
        <v>8092.3830782235418</v>
      </c>
      <c r="D5" s="58">
        <f t="shared" si="0"/>
        <v>7.1639474207124909</v>
      </c>
    </row>
    <row r="6" spans="1:24">
      <c r="A6" s="4" t="s">
        <v>103</v>
      </c>
      <c r="B6" s="4"/>
      <c r="C6" s="114">
        <f>'Sundhed og Omsorg'!F28</f>
        <v>14115.303702364652</v>
      </c>
      <c r="D6" s="58">
        <f t="shared" si="0"/>
        <v>12.495860931651185</v>
      </c>
    </row>
    <row r="7" spans="1:24">
      <c r="A7" s="4" t="s">
        <v>104</v>
      </c>
      <c r="B7" s="4"/>
      <c r="C7" s="114">
        <f>'Århus Havn'!F28</f>
        <v>3912.3560719999996</v>
      </c>
      <c r="D7" s="58">
        <f t="shared" si="0"/>
        <v>3.4634931292780564</v>
      </c>
      <c r="O7" s="175" t="s">
        <v>310</v>
      </c>
      <c r="P7" s="176"/>
      <c r="Q7" s="176"/>
      <c r="R7" s="176"/>
      <c r="S7" s="176"/>
      <c r="T7" s="177"/>
      <c r="U7" s="69"/>
      <c r="V7" s="69"/>
      <c r="W7" s="69"/>
      <c r="X7" s="69"/>
    </row>
    <row r="8" spans="1:24">
      <c r="A8" s="4" t="s">
        <v>401</v>
      </c>
      <c r="B8" s="4"/>
      <c r="C8" s="114">
        <f>Midttrafik!F28</f>
        <v>18885.519914500004</v>
      </c>
      <c r="D8" s="58">
        <f t="shared" si="0"/>
        <v>16.718792273239359</v>
      </c>
      <c r="O8" s="158"/>
      <c r="P8" s="172"/>
      <c r="Q8" s="172"/>
      <c r="R8" s="172"/>
      <c r="S8" s="172"/>
      <c r="T8" s="151"/>
      <c r="U8" s="69"/>
      <c r="V8" s="69"/>
      <c r="W8" s="69"/>
      <c r="X8" s="69"/>
    </row>
    <row r="9" spans="1:24">
      <c r="A9" s="4" t="s">
        <v>105</v>
      </c>
      <c r="B9" s="4"/>
      <c r="C9" s="114">
        <f>'AffaldVarme Århus'!F30</f>
        <v>22025.506513999997</v>
      </c>
      <c r="D9" s="58">
        <f t="shared" si="0"/>
        <v>19.498529550024067</v>
      </c>
      <c r="O9" s="158"/>
      <c r="P9" s="172"/>
      <c r="Q9" s="172"/>
      <c r="R9" s="172"/>
      <c r="S9" s="172"/>
      <c r="T9" s="151"/>
      <c r="U9" s="69"/>
      <c r="V9" s="69"/>
      <c r="W9" s="69"/>
      <c r="X9" s="69"/>
    </row>
    <row r="10" spans="1:24">
      <c r="A10" s="4" t="s">
        <v>106</v>
      </c>
      <c r="B10" s="4"/>
      <c r="C10" s="114">
        <f>Ejendomsforvaltningen!F28</f>
        <v>4023.91194</v>
      </c>
      <c r="D10" s="58">
        <f t="shared" si="0"/>
        <v>3.5622502401437703</v>
      </c>
      <c r="O10" s="158"/>
      <c r="P10" s="172"/>
      <c r="Q10" s="172"/>
      <c r="R10" s="172"/>
      <c r="S10" s="172"/>
      <c r="T10" s="151"/>
      <c r="U10" s="69"/>
      <c r="V10" s="69"/>
      <c r="W10" s="69"/>
      <c r="X10" s="69"/>
    </row>
    <row r="11" spans="1:24">
      <c r="A11" s="4" t="s">
        <v>107</v>
      </c>
      <c r="B11" s="4"/>
      <c r="C11" s="114">
        <f>Fællesadministrationen!F28</f>
        <v>0</v>
      </c>
      <c r="D11" s="58">
        <f t="shared" si="0"/>
        <v>0</v>
      </c>
      <c r="O11" s="173"/>
      <c r="P11" s="174"/>
      <c r="Q11" s="174"/>
      <c r="R11" s="174"/>
      <c r="S11" s="174"/>
      <c r="T11" s="157"/>
      <c r="U11" s="69"/>
      <c r="V11" s="69"/>
      <c r="W11" s="69"/>
      <c r="X11" s="69"/>
    </row>
    <row r="12" spans="1:24">
      <c r="A12" s="4" t="s">
        <v>108</v>
      </c>
      <c r="B12" s="4"/>
      <c r="C12" s="114">
        <f>'Natur og Miljø'!F43</f>
        <v>-14402.780903924682</v>
      </c>
      <c r="D12" s="58">
        <f t="shared" si="0"/>
        <v>-12.750355996543952</v>
      </c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1:24">
      <c r="A13" s="4" t="s">
        <v>109</v>
      </c>
      <c r="B13" s="4"/>
      <c r="C13" s="114">
        <f>'Planlægning og Byggeri'!F28</f>
        <v>2.9209999999999998</v>
      </c>
      <c r="D13" s="58">
        <f t="shared" si="0"/>
        <v>2.5858749164028557E-3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</row>
    <row r="14" spans="1:24">
      <c r="A14" s="4" t="s">
        <v>110</v>
      </c>
      <c r="B14" s="4"/>
      <c r="C14" s="114">
        <f>'Trafik og Veje'!F28</f>
        <v>7839.3828299999996</v>
      </c>
      <c r="D14" s="58">
        <f t="shared" si="0"/>
        <v>6.9399737830113759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1:24">
      <c r="A15" s="4" t="s">
        <v>177</v>
      </c>
      <c r="B15" s="4"/>
      <c r="C15" s="114">
        <f>'Natur og Vejservice'!F28</f>
        <v>595.76620999999989</v>
      </c>
      <c r="D15" s="58">
        <f t="shared" si="0"/>
        <v>0.52741420694262098</v>
      </c>
      <c r="O15" s="69"/>
      <c r="P15" s="69"/>
      <c r="Q15" s="69"/>
      <c r="R15" s="69"/>
      <c r="S15" s="69"/>
      <c r="T15" s="69"/>
      <c r="U15" s="69"/>
      <c r="V15" s="69"/>
      <c r="W15" s="69"/>
      <c r="X15" s="69"/>
    </row>
    <row r="16" spans="1:24">
      <c r="A16" s="4" t="s">
        <v>111</v>
      </c>
      <c r="B16" s="4"/>
      <c r="C16" s="121">
        <f>'Århus Brandvæsen'!F28</f>
        <v>417.43652000000003</v>
      </c>
      <c r="D16" s="58">
        <f t="shared" si="0"/>
        <v>0.36954420618230027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</row>
    <row r="17" spans="1:24">
      <c r="A17" s="4" t="s">
        <v>112</v>
      </c>
      <c r="B17" s="4"/>
      <c r="C17" s="114">
        <f>'Århus Vand AS'!F28</f>
        <v>13626.296059699998</v>
      </c>
      <c r="D17" s="58">
        <f t="shared" si="0"/>
        <v>12.06295692716785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</row>
    <row r="18" spans="1:24">
      <c r="A18" s="65" t="s">
        <v>116</v>
      </c>
      <c r="B18" s="65"/>
      <c r="C18" s="115">
        <f>SUM(C2:C17)</f>
        <v>112959.83349663828</v>
      </c>
      <c r="D18" s="67">
        <f>SUM(D2:D17)</f>
        <v>100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4">
      <c r="O19" s="69"/>
      <c r="P19" s="69"/>
      <c r="Q19" s="69"/>
      <c r="R19" s="69"/>
      <c r="S19" s="69"/>
      <c r="T19" s="69"/>
      <c r="U19" s="69"/>
      <c r="V19" s="69"/>
      <c r="W19" s="69"/>
      <c r="X19" s="69"/>
    </row>
    <row r="21" spans="1:24" ht="15">
      <c r="A21" t="s">
        <v>390</v>
      </c>
      <c r="D21" s="117">
        <f>C2+C3+C4+C5+C6+C9+C10+C11+C12+C13+C14+C15+C16+C17</f>
        <v>90161.95751013828</v>
      </c>
      <c r="E21" s="120" t="s">
        <v>391</v>
      </c>
    </row>
    <row r="24" spans="1:24" ht="15">
      <c r="A24" s="64" t="s">
        <v>113</v>
      </c>
      <c r="B24" s="65"/>
      <c r="C24" s="65" t="s">
        <v>115</v>
      </c>
      <c r="D24" s="65" t="s">
        <v>117</v>
      </c>
    </row>
    <row r="25" spans="1:24">
      <c r="A25" s="4" t="s">
        <v>106</v>
      </c>
      <c r="B25" s="4"/>
      <c r="C25" s="114">
        <f>Ejendomsforvaltningen!F28</f>
        <v>4023.91194</v>
      </c>
      <c r="D25" s="58">
        <f t="shared" ref="D25:D32" si="1">(C25/C$33)*100</f>
        <v>19.626785951731456</v>
      </c>
    </row>
    <row r="26" spans="1:24">
      <c r="A26" s="4" t="s">
        <v>107</v>
      </c>
      <c r="B26" s="4"/>
      <c r="C26" s="114">
        <f>Fællesadministrationen!F28</f>
        <v>0</v>
      </c>
      <c r="D26" s="58">
        <f t="shared" si="1"/>
        <v>0</v>
      </c>
    </row>
    <row r="27" spans="1:24">
      <c r="A27" s="4" t="s">
        <v>108</v>
      </c>
      <c r="B27" s="4"/>
      <c r="C27" s="114">
        <f>'Natur og Miljø'!F43</f>
        <v>-14402.780903924682</v>
      </c>
      <c r="D27" s="58">
        <f t="shared" si="1"/>
        <v>-70.250120312278767</v>
      </c>
    </row>
    <row r="28" spans="1:24">
      <c r="A28" s="4" t="s">
        <v>177</v>
      </c>
      <c r="B28" s="4"/>
      <c r="C28" s="114">
        <f>'Natur og Vejservice'!F28</f>
        <v>595.76620999999989</v>
      </c>
      <c r="D28" s="58">
        <f t="shared" si="1"/>
        <v>2.9058727067830143</v>
      </c>
    </row>
    <row r="29" spans="1:24">
      <c r="A29" s="4" t="s">
        <v>111</v>
      </c>
      <c r="B29" s="4"/>
      <c r="C29" s="114">
        <f>'Århus Brandvæsen'!F28</f>
        <v>417.43652000000003</v>
      </c>
      <c r="D29" s="58">
        <f t="shared" si="1"/>
        <v>2.0360627540163487</v>
      </c>
    </row>
    <row r="30" spans="1:24">
      <c r="A30" s="4" t="s">
        <v>109</v>
      </c>
      <c r="B30" s="4"/>
      <c r="C30" s="114">
        <f>'Planlægning og Byggeri'!F28</f>
        <v>2.9209999999999998</v>
      </c>
      <c r="D30" s="58">
        <f t="shared" si="1"/>
        <v>1.4247290353229644E-2</v>
      </c>
    </row>
    <row r="31" spans="1:24">
      <c r="A31" s="4" t="s">
        <v>105</v>
      </c>
      <c r="B31" s="4"/>
      <c r="C31" s="114">
        <f>'AffaldVarme Århus'!F30</f>
        <v>22025.506513999997</v>
      </c>
      <c r="D31" s="58">
        <f t="shared" si="1"/>
        <v>107.43025898045492</v>
      </c>
    </row>
    <row r="32" spans="1:24">
      <c r="A32" s="4" t="s">
        <v>110</v>
      </c>
      <c r="B32" s="4"/>
      <c r="C32" s="114">
        <f>'Trafik og Veje'!F28</f>
        <v>7839.3828299999996</v>
      </c>
      <c r="D32" s="58">
        <f t="shared" si="1"/>
        <v>38.236892628939785</v>
      </c>
    </row>
    <row r="33" spans="1:5">
      <c r="A33" s="65" t="s">
        <v>116</v>
      </c>
      <c r="B33" s="65"/>
      <c r="C33" s="115">
        <f>SUM(C25:C32)</f>
        <v>20502.144110075315</v>
      </c>
      <c r="D33" s="67">
        <f>SUM(D25:D32)</f>
        <v>100</v>
      </c>
    </row>
    <row r="41" spans="1:5">
      <c r="C41" s="116"/>
    </row>
    <row r="47" spans="1:5" ht="29.25">
      <c r="A47" s="64" t="s">
        <v>118</v>
      </c>
      <c r="B47" s="65"/>
      <c r="C47" s="66" t="s">
        <v>392</v>
      </c>
      <c r="D47" s="65" t="s">
        <v>115</v>
      </c>
      <c r="E47" s="65" t="s">
        <v>117</v>
      </c>
    </row>
    <row r="48" spans="1:5">
      <c r="A48" s="4" t="s">
        <v>99</v>
      </c>
      <c r="B48" s="5"/>
      <c r="C48" s="114">
        <f>SUM('Borgmesterens afd'!E5:E8)/1000</f>
        <v>0</v>
      </c>
      <c r="D48" s="114">
        <f>SUM('Borgmesterens afd'!F$5:F$8)</f>
        <v>0</v>
      </c>
      <c r="E48" s="58">
        <f>(D48/D$64)*100</f>
        <v>0</v>
      </c>
    </row>
    <row r="49" spans="1:5">
      <c r="A49" s="4" t="s">
        <v>100</v>
      </c>
      <c r="B49" s="4"/>
      <c r="C49" s="114">
        <f>SUM('Børn og Unge'!E5:E8)/1000</f>
        <v>21474.704000000002</v>
      </c>
      <c r="D49" s="114">
        <f>SUM('Børn og Unge'!F$5:F$8)</f>
        <v>9556.2432799999988</v>
      </c>
      <c r="E49" s="58">
        <f t="shared" ref="E49:E63" si="2">(D49/D$64)*100</f>
        <v>14.138093023222517</v>
      </c>
    </row>
    <row r="50" spans="1:5">
      <c r="A50" s="4" t="s">
        <v>101</v>
      </c>
      <c r="B50" s="4"/>
      <c r="C50" s="114">
        <f>SUM('Kultur og Borgerservice'!E5:E8)/1000</f>
        <v>12114.216</v>
      </c>
      <c r="D50" s="114">
        <f>SUM('Kultur og Borgerservice'!F$5:F$8)</f>
        <v>5390.8261199999997</v>
      </c>
      <c r="E50" s="58">
        <f t="shared" si="2"/>
        <v>7.9755191369068736</v>
      </c>
    </row>
    <row r="51" spans="1:5">
      <c r="A51" s="4" t="s">
        <v>102</v>
      </c>
      <c r="B51" s="4"/>
      <c r="C51" s="114">
        <f>SUM('Social og Beskæftigelse'!E5:E8)/1000</f>
        <v>4548.2619999999997</v>
      </c>
      <c r="D51" s="114">
        <f>SUM('Social og Beskæftigelse'!F$5:F$8)</f>
        <v>2023.97659</v>
      </c>
      <c r="E51" s="58">
        <f t="shared" si="2"/>
        <v>2.9943952312445421</v>
      </c>
    </row>
    <row r="52" spans="1:5">
      <c r="A52" s="4" t="s">
        <v>103</v>
      </c>
      <c r="B52" s="4"/>
      <c r="C52" s="114">
        <f>SUM('Sundhed og Omsorg'!E5:E8)/1000</f>
        <v>12749.825999999999</v>
      </c>
      <c r="D52" s="114">
        <f>SUM('Sundhed og Omsorg'!F$5:F$8)</f>
        <v>5673.6725699999997</v>
      </c>
      <c r="E52" s="58">
        <f t="shared" si="2"/>
        <v>8.3939795406679902</v>
      </c>
    </row>
    <row r="53" spans="1:5">
      <c r="A53" s="4" t="s">
        <v>104</v>
      </c>
      <c r="B53" s="4"/>
      <c r="C53" s="114">
        <f>SUM('Århus Havn'!E5:E8)/1000</f>
        <v>5656.7749999999996</v>
      </c>
      <c r="D53" s="114">
        <f>SUM('Århus Havn'!F$5:F$8)</f>
        <v>2517.2648749999998</v>
      </c>
      <c r="E53" s="58">
        <f t="shared" si="2"/>
        <v>3.7241962059844718</v>
      </c>
    </row>
    <row r="54" spans="1:5">
      <c r="A54" s="4" t="s">
        <v>176</v>
      </c>
      <c r="B54" s="4"/>
      <c r="C54" s="114">
        <f>SUM(Midttrafik!E5:E8)/1000</f>
        <v>848.11800000000005</v>
      </c>
      <c r="D54" s="114">
        <f>SUM(Midttrafik!F$5:F$8)</f>
        <v>377.41251</v>
      </c>
      <c r="E54" s="58">
        <f t="shared" si="2"/>
        <v>0.55836723889975082</v>
      </c>
    </row>
    <row r="55" spans="1:5">
      <c r="A55" s="4" t="s">
        <v>105</v>
      </c>
      <c r="B55" s="4"/>
      <c r="C55" s="114">
        <f>SUM('AffaldVarme Århus'!E5:E8)/1000</f>
        <v>44652.387999999999</v>
      </c>
      <c r="D55" s="114">
        <f>SUM('AffaldVarme Århus'!F$5:F$8)</f>
        <v>19870.31266</v>
      </c>
      <c r="E55" s="58">
        <f t="shared" si="2"/>
        <v>29.397360506250742</v>
      </c>
    </row>
    <row r="56" spans="1:5">
      <c r="A56" s="4" t="s">
        <v>106</v>
      </c>
      <c r="B56" s="4"/>
      <c r="C56" s="114">
        <f>SUM(Ejendomsforvaltningen!E5:E8)/1000</f>
        <v>4948.0119999999997</v>
      </c>
      <c r="D56" s="114">
        <f>SUM(Ejendomsforvaltningen!F$5:F$8)</f>
        <v>2201.8653399999998</v>
      </c>
      <c r="E56" s="58">
        <f t="shared" si="2"/>
        <v>3.2575747696462445</v>
      </c>
    </row>
    <row r="57" spans="1:5">
      <c r="A57" s="4" t="s">
        <v>107</v>
      </c>
      <c r="B57" s="4"/>
      <c r="C57" s="114">
        <f>SUM(Fællesadministrationen!E5:E8)/1000</f>
        <v>0</v>
      </c>
      <c r="D57" s="114">
        <f>SUM(Fællesadministrationen!F$5:F$8)</f>
        <v>0</v>
      </c>
      <c r="E57" s="58">
        <f t="shared" si="2"/>
        <v>0</v>
      </c>
    </row>
    <row r="58" spans="1:5">
      <c r="A58" s="4" t="s">
        <v>108</v>
      </c>
      <c r="B58" s="4"/>
      <c r="C58" s="114">
        <f>SUM('Natur og Miljø'!E5:E8)/1000</f>
        <v>324.85300000000001</v>
      </c>
      <c r="D58" s="114">
        <f>SUM('Natur og Miljø'!F$5:F$8)</f>
        <v>144.559585</v>
      </c>
      <c r="E58" s="58">
        <f t="shared" si="2"/>
        <v>0.2138703254244112</v>
      </c>
    </row>
    <row r="59" spans="1:5">
      <c r="A59" s="4" t="s">
        <v>109</v>
      </c>
      <c r="B59" s="4"/>
      <c r="C59" s="114">
        <f>SUM('Planlægning og Byggeri'!E5:E8)/1000</f>
        <v>0</v>
      </c>
      <c r="D59" s="114">
        <f>SUM('Planlægning og Byggeri'!F$5:F$8)</f>
        <v>0</v>
      </c>
      <c r="E59" s="58">
        <f t="shared" si="2"/>
        <v>0</v>
      </c>
    </row>
    <row r="60" spans="1:5">
      <c r="A60" s="4" t="s">
        <v>110</v>
      </c>
      <c r="B60" s="4"/>
      <c r="C60" s="114">
        <f>SUM('Trafik og Veje'!E5:E8)/1000</f>
        <v>17380.853999999999</v>
      </c>
      <c r="D60" s="114">
        <f>SUM('Trafik og Veje'!F$5:F$8)</f>
        <v>7734.4800299999997</v>
      </c>
      <c r="E60" s="58">
        <f t="shared" si="2"/>
        <v>11.442864622257385</v>
      </c>
    </row>
    <row r="61" spans="1:5">
      <c r="A61" s="4" t="s">
        <v>111</v>
      </c>
      <c r="B61" s="4"/>
      <c r="C61" s="114">
        <f>SUM('Århus Brandvæsen'!E5:E8)/1000</f>
        <v>325.05599999999998</v>
      </c>
      <c r="D61" s="114">
        <f>SUM('Århus Brandvæsen'!F$5:F$8)</f>
        <v>144.64991999999998</v>
      </c>
      <c r="E61" s="58">
        <f t="shared" si="2"/>
        <v>0.21400397256961579</v>
      </c>
    </row>
    <row r="62" spans="1:5">
      <c r="A62" s="4" t="s">
        <v>177</v>
      </c>
      <c r="B62" s="4"/>
      <c r="C62" s="114">
        <f>SUM('Natur og Vejservice'!E5:E8)/1000</f>
        <v>524.678</v>
      </c>
      <c r="D62" s="114">
        <f>SUM('Natur og Vejservice'!F5:F8)</f>
        <v>233.48170999999999</v>
      </c>
      <c r="E62" s="58">
        <f t="shared" si="2"/>
        <v>0.3454271766092023</v>
      </c>
    </row>
    <row r="63" spans="1:5">
      <c r="A63" s="4" t="s">
        <v>112</v>
      </c>
      <c r="B63" s="4"/>
      <c r="C63" s="114">
        <f>SUM('Århus Vand AS'!E5:E8)/1000</f>
        <v>26344.765460000002</v>
      </c>
      <c r="D63" s="114">
        <f>SUM('Århus Vand AS'!F$5:F$8)</f>
        <v>11723.420629699998</v>
      </c>
      <c r="E63" s="58">
        <f t="shared" si="2"/>
        <v>17.344348250316255</v>
      </c>
    </row>
    <row r="64" spans="1:5">
      <c r="A64" s="65" t="s">
        <v>116</v>
      </c>
      <c r="B64" s="65"/>
      <c r="C64" s="115">
        <f>SUM(C48:C63)</f>
        <v>151892.50745999999</v>
      </c>
      <c r="D64" s="115">
        <f>SUM(D48:D63)</f>
        <v>67592.165819699992</v>
      </c>
      <c r="E64" s="67">
        <f>SUM(E48:E63)</f>
        <v>100</v>
      </c>
    </row>
    <row r="67" spans="1:5">
      <c r="A67" t="s">
        <v>389</v>
      </c>
    </row>
    <row r="68" spans="1:5" ht="15">
      <c r="C68" s="117">
        <f>D48+D49+D50+D51+D52+D55+D56+D57+D58+D59+D60+D61+D62+D63+D75+D76+D77+D78+D79+D82+D83+D84+D85+D86+D87+D88+D89+D90+D91</f>
        <v>93149.122870699997</v>
      </c>
      <c r="D68" s="120" t="s">
        <v>14</v>
      </c>
    </row>
    <row r="70" spans="1:5">
      <c r="E70" s="116"/>
    </row>
    <row r="74" spans="1:5" ht="29.25">
      <c r="A74" s="64" t="s">
        <v>178</v>
      </c>
      <c r="B74" s="65"/>
      <c r="C74" s="66" t="s">
        <v>393</v>
      </c>
      <c r="D74" s="65" t="s">
        <v>115</v>
      </c>
      <c r="E74" s="65" t="s">
        <v>117</v>
      </c>
    </row>
    <row r="75" spans="1:5">
      <c r="A75" s="4" t="s">
        <v>99</v>
      </c>
      <c r="B75" s="5"/>
      <c r="C75" s="114">
        <f>'Borgmesterens afd'!E10/1000</f>
        <v>0</v>
      </c>
      <c r="D75" s="114">
        <f>'Borgmesterens afd'!F10</f>
        <v>0</v>
      </c>
      <c r="E75" s="58">
        <f>(D75/D$94)*100</f>
        <v>0</v>
      </c>
    </row>
    <row r="76" spans="1:5">
      <c r="A76" s="4" t="s">
        <v>100</v>
      </c>
      <c r="B76" s="4"/>
      <c r="C76" s="114">
        <f>'Børn og Unge'!E10/1000</f>
        <v>0</v>
      </c>
      <c r="D76" s="114">
        <f>'Børn og Unge'!F10</f>
        <v>11502</v>
      </c>
      <c r="E76" s="58">
        <f t="shared" ref="E76:E93" si="3">(D76/D$94)*100</f>
        <v>40.018559543259649</v>
      </c>
    </row>
    <row r="77" spans="1:5">
      <c r="A77" s="4" t="s">
        <v>101</v>
      </c>
      <c r="B77" s="4"/>
      <c r="C77" s="114">
        <f>'Kultur og Borgerservice'!E10/1000</f>
        <v>0</v>
      </c>
      <c r="D77" s="114">
        <f>'Kultur og Borgerservice'!F10</f>
        <v>3867</v>
      </c>
      <c r="E77" s="58">
        <f t="shared" si="3"/>
        <v>13.454335746286302</v>
      </c>
    </row>
    <row r="78" spans="1:5">
      <c r="A78" s="4" t="s">
        <v>102</v>
      </c>
      <c r="B78" s="4"/>
      <c r="C78" s="114">
        <f>'Social og Beskæftigelse'!E10/1000</f>
        <v>0</v>
      </c>
      <c r="D78" s="114">
        <f>'Social og Beskæftigelse'!F10</f>
        <v>2881</v>
      </c>
      <c r="E78" s="58">
        <f t="shared" si="3"/>
        <v>10.02377586890376</v>
      </c>
    </row>
    <row r="79" spans="1:5">
      <c r="A79" s="4" t="s">
        <v>103</v>
      </c>
      <c r="B79" s="4"/>
      <c r="C79" s="114">
        <f>'Sundhed og Omsorg'!E10/1000</f>
        <v>0</v>
      </c>
      <c r="D79" s="114">
        <f>'Sundhed og Omsorg'!F10</f>
        <v>6889</v>
      </c>
      <c r="E79" s="58">
        <f t="shared" si="3"/>
        <v>23.968688636195072</v>
      </c>
    </row>
    <row r="80" spans="1:5">
      <c r="A80" s="4" t="s">
        <v>104</v>
      </c>
      <c r="B80" s="4"/>
      <c r="C80" s="114">
        <f>'Århus Havn'!E10/1000</f>
        <v>455.44</v>
      </c>
      <c r="D80" s="114">
        <f>'Århus Havn'!F10</f>
        <v>70.13776</v>
      </c>
      <c r="E80" s="58">
        <f t="shared" si="3"/>
        <v>0.24402817986357633</v>
      </c>
    </row>
    <row r="81" spans="1:5">
      <c r="A81" s="4" t="s">
        <v>176</v>
      </c>
      <c r="B81" s="4"/>
      <c r="C81" s="114">
        <f>Midttrafik!E10/1000</f>
        <v>0</v>
      </c>
      <c r="D81" s="114">
        <f>Midttrafik!F10</f>
        <v>219.892</v>
      </c>
      <c r="E81" s="58">
        <f t="shared" si="3"/>
        <v>0.76506356243144247</v>
      </c>
    </row>
    <row r="82" spans="1:5">
      <c r="A82" s="4" t="s">
        <v>105</v>
      </c>
      <c r="B82" s="4"/>
      <c r="C82" s="114">
        <f>'AffaldVarme Århus'!E10/1000</f>
        <v>2235.491</v>
      </c>
      <c r="D82" s="114">
        <f>'AffaldVarme Århus'!F10</f>
        <v>344.26561400000003</v>
      </c>
      <c r="E82" s="58">
        <f t="shared" si="3"/>
        <v>1.1977929031956045</v>
      </c>
    </row>
    <row r="83" spans="1:5">
      <c r="A83" s="4" t="s">
        <v>106</v>
      </c>
      <c r="B83" s="4"/>
      <c r="C83" s="114">
        <f>Ejendomsforvaltningen!E10/1000</f>
        <v>0</v>
      </c>
      <c r="D83" s="114">
        <f>Ejendomsforvaltningen!F10</f>
        <v>1571.5070000000001</v>
      </c>
      <c r="E83" s="58">
        <f t="shared" si="3"/>
        <v>5.4676966138192782</v>
      </c>
    </row>
    <row r="84" spans="1:5">
      <c r="A84" s="4" t="s">
        <v>107</v>
      </c>
      <c r="B84" s="4"/>
      <c r="C84" s="114">
        <f>Fællesadministrationen!E10/1000</f>
        <v>0</v>
      </c>
      <c r="D84" s="114">
        <f>Fællesadministrationen!F10</f>
        <v>0</v>
      </c>
      <c r="E84" s="58">
        <f t="shared" si="3"/>
        <v>0</v>
      </c>
    </row>
    <row r="85" spans="1:5">
      <c r="A85" s="4" t="s">
        <v>108</v>
      </c>
      <c r="B85" s="4"/>
      <c r="C85" s="114">
        <f>'Natur og Miljø'!E10/1000</f>
        <v>0</v>
      </c>
      <c r="D85" s="114">
        <f>'Natur og Miljø'!F10</f>
        <v>276.351</v>
      </c>
      <c r="E85" s="58">
        <f t="shared" si="3"/>
        <v>0.96149964774294439</v>
      </c>
    </row>
    <row r="86" spans="1:5">
      <c r="A86" s="4" t="s">
        <v>109</v>
      </c>
      <c r="B86" s="4"/>
      <c r="C86" s="114">
        <f>'Planlægning og Byggeri'!E10/1000</f>
        <v>0</v>
      </c>
      <c r="D86" s="114">
        <f>'Planlægning og Byggeri'!F10</f>
        <v>0</v>
      </c>
      <c r="E86" s="58">
        <f t="shared" si="3"/>
        <v>0</v>
      </c>
    </row>
    <row r="87" spans="1:5">
      <c r="A87" s="4" t="s">
        <v>110</v>
      </c>
      <c r="B87" s="4"/>
      <c r="C87" s="114">
        <f>'Trafik og Veje'!E10/1000</f>
        <v>0</v>
      </c>
      <c r="D87" s="114">
        <f>'Trafik og Veje'!F10</f>
        <v>0</v>
      </c>
      <c r="E87" s="58">
        <f t="shared" si="3"/>
        <v>0</v>
      </c>
    </row>
    <row r="88" spans="1:5">
      <c r="A88" s="4" t="s">
        <v>111</v>
      </c>
      <c r="B88" s="4"/>
      <c r="C88" s="114">
        <f>'Århus Brandvæsen'!E10/1000</f>
        <v>0</v>
      </c>
      <c r="D88" s="114">
        <f>'Århus Brandvæsen'!F10</f>
        <v>145.60300000000001</v>
      </c>
      <c r="E88" s="58">
        <f t="shared" si="3"/>
        <v>0.50659209921554815</v>
      </c>
    </row>
    <row r="89" spans="1:5">
      <c r="A89" s="4" t="s">
        <v>177</v>
      </c>
      <c r="B89" s="4"/>
      <c r="C89" s="114">
        <f>'Natur og Vejservice'!E10/1000</f>
        <v>0</v>
      </c>
      <c r="D89" s="114">
        <f>'Natur og Vejservice'!F10</f>
        <v>209.84399999999999</v>
      </c>
      <c r="E89" s="58">
        <f t="shared" si="3"/>
        <v>0.73010386096294355</v>
      </c>
    </row>
    <row r="90" spans="1:5">
      <c r="A90" s="4" t="s">
        <v>112</v>
      </c>
      <c r="B90" s="4"/>
      <c r="C90" s="114">
        <f>'Århus Vand AS'!E10/1000</f>
        <v>0</v>
      </c>
      <c r="D90" s="114">
        <f>'Århus Vand AS'!F10</f>
        <v>278</v>
      </c>
      <c r="E90" s="58">
        <f t="shared" si="3"/>
        <v>0.96723696339994625</v>
      </c>
    </row>
    <row r="91" spans="1:5">
      <c r="A91" s="4" t="s">
        <v>35</v>
      </c>
      <c r="B91" s="4"/>
      <c r="C91" s="114">
        <f>Samlet!E11/1000</f>
        <v>183.10670000000002</v>
      </c>
      <c r="D91" s="114">
        <f>Samlet!F11</f>
        <v>487.06382199999996</v>
      </c>
      <c r="E91" s="58">
        <f t="shared" si="3"/>
        <v>1.6946263747239276</v>
      </c>
    </row>
    <row r="92" spans="1:5">
      <c r="A92" s="4" t="s">
        <v>54</v>
      </c>
      <c r="B92" s="4"/>
      <c r="C92" s="114">
        <f>Samlet!E12/1000</f>
        <v>0</v>
      </c>
      <c r="D92" s="114">
        <f>Samlet!F12</f>
        <v>0</v>
      </c>
      <c r="E92" s="58">
        <f t="shared" si="3"/>
        <v>0</v>
      </c>
    </row>
    <row r="93" spans="1:5">
      <c r="A93" s="4" t="s">
        <v>25</v>
      </c>
      <c r="B93" s="4"/>
      <c r="C93" s="114">
        <f>Samlet!E13/1000</f>
        <v>0</v>
      </c>
      <c r="D93" s="114">
        <f>Samlet!F13</f>
        <v>0</v>
      </c>
      <c r="E93" s="58">
        <f t="shared" si="3"/>
        <v>0</v>
      </c>
    </row>
    <row r="94" spans="1:5">
      <c r="A94" s="65" t="s">
        <v>116</v>
      </c>
      <c r="B94" s="65"/>
      <c r="C94" s="115">
        <f>SUM(C75:C93)</f>
        <v>2874.0376999999999</v>
      </c>
      <c r="D94" s="115">
        <f>SUM(D75:D93)</f>
        <v>28741.664196000002</v>
      </c>
      <c r="E94" s="67">
        <f>SUM(E75:E93)</f>
        <v>99.999999999999986</v>
      </c>
    </row>
    <row r="100" spans="1:4" ht="15">
      <c r="A100" s="64" t="s">
        <v>179</v>
      </c>
      <c r="B100" s="65"/>
      <c r="C100" s="65" t="s">
        <v>115</v>
      </c>
      <c r="D100" s="65" t="s">
        <v>117</v>
      </c>
    </row>
    <row r="101" spans="1:4">
      <c r="A101" s="4" t="s">
        <v>99</v>
      </c>
      <c r="B101" s="5"/>
      <c r="C101" s="114">
        <f>SUM('Borgmesterens afd'!F15:F25)</f>
        <v>149.78885005029937</v>
      </c>
      <c r="D101" s="58">
        <f>(C101/C$117)*100</f>
        <v>0.48647087906635655</v>
      </c>
    </row>
    <row r="102" spans="1:4">
      <c r="A102" s="4" t="s">
        <v>100</v>
      </c>
      <c r="B102" s="4"/>
      <c r="C102" s="114">
        <f>SUM('Børn og Unge'!F15:F25)</f>
        <v>3052.5924846797925</v>
      </c>
      <c r="D102" s="58">
        <f t="shared" ref="D102:D116" si="4">(C102/C$117)*100</f>
        <v>9.9139378462072933</v>
      </c>
    </row>
    <row r="103" spans="1:4">
      <c r="A103" s="4" t="s">
        <v>101</v>
      </c>
      <c r="B103" s="4"/>
      <c r="C103" s="114">
        <f>SUM('Kultur og Borgerservice'!F15:F25)</f>
        <v>307.37982504466612</v>
      </c>
      <c r="D103" s="58">
        <f t="shared" si="4"/>
        <v>0.99828080425564858</v>
      </c>
    </row>
    <row r="104" spans="1:4">
      <c r="A104" s="4" t="s">
        <v>102</v>
      </c>
      <c r="B104" s="4"/>
      <c r="C104" s="114">
        <f>SUM('Social og Beskæftigelse'!F15:F25)</f>
        <v>3187.4064882235421</v>
      </c>
      <c r="D104" s="58">
        <f t="shared" si="4"/>
        <v>10.351774753242497</v>
      </c>
    </row>
    <row r="105" spans="1:4">
      <c r="A105" s="4" t="s">
        <v>103</v>
      </c>
      <c r="B105" s="4"/>
      <c r="C105" s="114">
        <f>SUM('Sundhed og Omsorg'!F15:F25)</f>
        <v>1552.6311323646512</v>
      </c>
      <c r="D105" s="58">
        <f t="shared" si="4"/>
        <v>5.0424970321461853</v>
      </c>
    </row>
    <row r="106" spans="1:4">
      <c r="A106" s="4" t="s">
        <v>104</v>
      </c>
      <c r="B106" s="4"/>
      <c r="C106" s="114">
        <f>SUM('Århus Havn'!F15:F25)</f>
        <v>1191.1429350000001</v>
      </c>
      <c r="D106" s="58">
        <f t="shared" si="4"/>
        <v>3.868487878026619</v>
      </c>
    </row>
    <row r="107" spans="1:4">
      <c r="A107" s="4" t="s">
        <v>176</v>
      </c>
      <c r="B107" s="4"/>
      <c r="C107" s="114">
        <f>SUM(Midttrafik!F15:F25)</f>
        <v>18288.215404500002</v>
      </c>
      <c r="D107" s="58">
        <f t="shared" si="4"/>
        <v>59.394836273824637</v>
      </c>
    </row>
    <row r="108" spans="1:4">
      <c r="A108" s="4" t="s">
        <v>105</v>
      </c>
      <c r="B108" s="4"/>
      <c r="C108" s="114">
        <f>SUM('AffaldVarme Århus'!F15:F25)</f>
        <v>699.30599999999993</v>
      </c>
      <c r="D108" s="58">
        <f t="shared" si="4"/>
        <v>2.271143709576116</v>
      </c>
    </row>
    <row r="109" spans="1:4">
      <c r="A109" s="4" t="s">
        <v>106</v>
      </c>
      <c r="B109" s="4"/>
      <c r="C109" s="114">
        <f>SUM(Ejendomsforvaltningen!F15:F25)</f>
        <v>250.53960000000001</v>
      </c>
      <c r="D109" s="58">
        <f t="shared" si="4"/>
        <v>0.8136801865559804</v>
      </c>
    </row>
    <row r="110" spans="1:4">
      <c r="A110" s="4" t="s">
        <v>107</v>
      </c>
      <c r="B110" s="4"/>
      <c r="C110" s="114">
        <f>SUM(Fællesadministrationen!F15:F25)</f>
        <v>0</v>
      </c>
      <c r="D110" s="58">
        <f t="shared" si="4"/>
        <v>0</v>
      </c>
    </row>
    <row r="111" spans="1:4">
      <c r="A111" s="4" t="s">
        <v>108</v>
      </c>
      <c r="B111" s="4"/>
      <c r="C111" s="114">
        <f>SUM('Natur og Miljø'!F15:F25)</f>
        <v>170.18315000000001</v>
      </c>
      <c r="D111" s="58">
        <f t="shared" si="4"/>
        <v>0.55270566904666718</v>
      </c>
    </row>
    <row r="112" spans="1:4">
      <c r="A112" s="4" t="s">
        <v>109</v>
      </c>
      <c r="B112" s="4"/>
      <c r="C112" s="114">
        <f>SUM('Planlægning og Byggeri'!F15:F25)</f>
        <v>2.9209999999999998</v>
      </c>
      <c r="D112" s="58">
        <f t="shared" si="4"/>
        <v>9.4865635010593866E-3</v>
      </c>
    </row>
    <row r="113" spans="1:4">
      <c r="A113" s="4" t="s">
        <v>110</v>
      </c>
      <c r="B113" s="4"/>
      <c r="C113" s="114">
        <f>SUM('Trafik og Veje'!F15:F25)</f>
        <v>104.9028</v>
      </c>
      <c r="D113" s="58">
        <f t="shared" si="4"/>
        <v>0.34069396564153803</v>
      </c>
    </row>
    <row r="114" spans="1:4">
      <c r="A114" s="4" t="s">
        <v>111</v>
      </c>
      <c r="B114" s="4"/>
      <c r="C114" s="114">
        <f>SUM('Århus Brandvæsen'!F15:F25)</f>
        <v>127.1836</v>
      </c>
      <c r="D114" s="58">
        <f t="shared" si="4"/>
        <v>0.41305556237361751</v>
      </c>
    </row>
    <row r="115" spans="1:4">
      <c r="A115" s="4" t="s">
        <v>177</v>
      </c>
      <c r="B115" s="4"/>
      <c r="C115" s="114">
        <f>SUM('Natur og Vejservice'!F15:F25)</f>
        <v>152.44050000000001</v>
      </c>
      <c r="D115" s="58">
        <f t="shared" si="4"/>
        <v>0.49508267147663254</v>
      </c>
    </row>
    <row r="116" spans="1:4">
      <c r="A116" s="4" t="s">
        <v>112</v>
      </c>
      <c r="B116" s="4"/>
      <c r="C116" s="114">
        <f>SUM('Århus Vand AS'!F15:F25)</f>
        <v>1554.2843499999999</v>
      </c>
      <c r="D116" s="58">
        <f t="shared" si="4"/>
        <v>5.0478662050591625</v>
      </c>
    </row>
    <row r="117" spans="1:4">
      <c r="A117" s="65" t="s">
        <v>116</v>
      </c>
      <c r="B117" s="65"/>
      <c r="C117" s="115">
        <f>SUM(C101:C116)</f>
        <v>30790.918119862952</v>
      </c>
      <c r="D117" s="67">
        <f>SUM(D101:D116)</f>
        <v>100.00000000000003</v>
      </c>
    </row>
  </sheetData>
  <sheetProtection password="DA0D" sheet="1" objects="1" scenarios="1"/>
  <mergeCells count="1">
    <mergeCell ref="O7:T11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5:E148"/>
  <sheetViews>
    <sheetView tabSelected="1" workbookViewId="0">
      <selection activeCell="E141" sqref="B50:E141"/>
    </sheetView>
  </sheetViews>
  <sheetFormatPr defaultRowHeight="14.25"/>
  <cols>
    <col min="2" max="2" width="47.625" bestFit="1" customWidth="1"/>
    <col min="3" max="3" width="12.625" customWidth="1"/>
    <col min="4" max="4" width="22.875" bestFit="1" customWidth="1"/>
  </cols>
  <sheetData>
    <row r="5" spans="1:5" ht="15">
      <c r="B5" s="120" t="s">
        <v>114</v>
      </c>
      <c r="C5" s="120" t="s">
        <v>115</v>
      </c>
      <c r="D5" s="120"/>
      <c r="E5" t="s">
        <v>117</v>
      </c>
    </row>
    <row r="6" spans="1:5">
      <c r="B6" s="122" t="s">
        <v>99</v>
      </c>
      <c r="C6" s="123">
        <f>Grafer!C2</f>
        <v>149.78885005029937</v>
      </c>
      <c r="D6" s="123"/>
      <c r="E6">
        <f>C6/$C$23*100</f>
        <v>0.13736113258907531</v>
      </c>
    </row>
    <row r="7" spans="1:5">
      <c r="B7" s="122" t="s">
        <v>100</v>
      </c>
      <c r="C7" s="123">
        <f>Grafer!C3</f>
        <v>24110.835764679792</v>
      </c>
      <c r="D7" s="123"/>
      <c r="E7">
        <f t="shared" ref="E7:E13" si="0">C7/$C$23*100</f>
        <v>22.110402124012975</v>
      </c>
    </row>
    <row r="8" spans="1:5">
      <c r="B8" s="122" t="s">
        <v>101</v>
      </c>
      <c r="C8" s="123">
        <f>Grafer!C4</f>
        <v>9565.2059450446668</v>
      </c>
      <c r="D8" s="123"/>
      <c r="E8">
        <f t="shared" si="0"/>
        <v>8.7715976297160054</v>
      </c>
    </row>
    <row r="9" spans="1:5">
      <c r="B9" s="122" t="s">
        <v>102</v>
      </c>
      <c r="C9" s="123">
        <f>Grafer!C5</f>
        <v>8092.3830782235418</v>
      </c>
      <c r="D9" s="123"/>
      <c r="E9">
        <f t="shared" si="0"/>
        <v>7.420972285962427</v>
      </c>
    </row>
    <row r="10" spans="1:5">
      <c r="B10" s="122" t="s">
        <v>103</v>
      </c>
      <c r="C10" s="123">
        <f>Grafer!C6</f>
        <v>14115.303702364652</v>
      </c>
      <c r="D10" s="123"/>
      <c r="E10">
        <f t="shared" si="0"/>
        <v>12.944181778179701</v>
      </c>
    </row>
    <row r="11" spans="1:5">
      <c r="B11" s="122" t="s">
        <v>113</v>
      </c>
      <c r="C11" s="123">
        <f>SUM(C14:C21)</f>
        <v>20502.144110075318</v>
      </c>
      <c r="D11" s="123"/>
      <c r="E11">
        <f t="shared" si="0"/>
        <v>18.801117269534419</v>
      </c>
    </row>
    <row r="12" spans="1:5">
      <c r="B12" s="128" t="s">
        <v>112</v>
      </c>
      <c r="C12" s="123">
        <f>Grafer!C17</f>
        <v>13626.296059699998</v>
      </c>
      <c r="D12" s="123"/>
      <c r="E12">
        <f t="shared" si="0"/>
        <v>12.495746239629439</v>
      </c>
    </row>
    <row r="13" spans="1:5">
      <c r="B13" s="122" t="s">
        <v>401</v>
      </c>
      <c r="C13" s="123">
        <f>Grafer!C8</f>
        <v>18885.519914500004</v>
      </c>
      <c r="D13" s="123"/>
      <c r="E13">
        <f t="shared" si="0"/>
        <v>17.318621540375947</v>
      </c>
    </row>
    <row r="14" spans="1:5">
      <c r="B14" s="127" t="s">
        <v>105</v>
      </c>
      <c r="C14" s="123">
        <f>Grafer!C9</f>
        <v>22025.506513999997</v>
      </c>
      <c r="D14" s="123"/>
    </row>
    <row r="15" spans="1:5">
      <c r="B15" s="127" t="s">
        <v>106</v>
      </c>
      <c r="C15" s="123">
        <f>Grafer!C10</f>
        <v>4023.91194</v>
      </c>
      <c r="D15" s="123"/>
    </row>
    <row r="16" spans="1:5">
      <c r="A16" s="185"/>
      <c r="B16" s="126" t="s">
        <v>107</v>
      </c>
      <c r="C16" s="123">
        <f>Grafer!C11</f>
        <v>0</v>
      </c>
      <c r="D16" s="123"/>
    </row>
    <row r="17" spans="1:5">
      <c r="A17" s="185"/>
      <c r="B17" s="126" t="s">
        <v>108</v>
      </c>
      <c r="C17" s="123">
        <f>Grafer!C12</f>
        <v>-14402.780903924682</v>
      </c>
      <c r="D17" s="123"/>
    </row>
    <row r="18" spans="1:5">
      <c r="A18" s="185"/>
      <c r="B18" s="126" t="s">
        <v>109</v>
      </c>
      <c r="C18" s="123">
        <f>Grafer!C13</f>
        <v>2.9209999999999998</v>
      </c>
      <c r="D18" s="123"/>
    </row>
    <row r="19" spans="1:5">
      <c r="A19" s="185"/>
      <c r="B19" s="126" t="s">
        <v>110</v>
      </c>
      <c r="C19" s="123">
        <f>Grafer!C14</f>
        <v>7839.3828299999996</v>
      </c>
      <c r="D19" s="123"/>
    </row>
    <row r="20" spans="1:5">
      <c r="A20" s="185"/>
      <c r="B20" s="126" t="s">
        <v>177</v>
      </c>
      <c r="C20" s="123">
        <f>Grafer!C15</f>
        <v>595.76620999999989</v>
      </c>
      <c r="D20" s="123"/>
    </row>
    <row r="21" spans="1:5">
      <c r="A21" s="185"/>
      <c r="B21" s="126" t="s">
        <v>111</v>
      </c>
      <c r="C21" s="123">
        <f>Grafer!C16</f>
        <v>417.43652000000003</v>
      </c>
      <c r="D21" s="123"/>
    </row>
    <row r="22" spans="1:5">
      <c r="A22" s="185"/>
    </row>
    <row r="23" spans="1:5">
      <c r="A23" s="185"/>
      <c r="B23" t="s">
        <v>116</v>
      </c>
      <c r="C23" s="124">
        <f>SUM(C6:C13)</f>
        <v>109047.47742463829</v>
      </c>
      <c r="D23" s="124"/>
      <c r="E23">
        <f>SUM(E6:E13)</f>
        <v>99.999999999999986</v>
      </c>
    </row>
    <row r="24" spans="1:5" ht="15">
      <c r="B24" s="120"/>
      <c r="C24" s="125"/>
      <c r="D24" s="125"/>
    </row>
    <row r="31" spans="1:5" ht="15">
      <c r="B31" s="120" t="s">
        <v>409</v>
      </c>
      <c r="C31" s="120" t="s">
        <v>115</v>
      </c>
    </row>
    <row r="32" spans="1:5">
      <c r="B32" t="s">
        <v>394</v>
      </c>
      <c r="C32" s="129">
        <f>Samlet!H42</f>
        <v>-15221.79049492468</v>
      </c>
      <c r="D32" s="129"/>
    </row>
    <row r="33" spans="2:4">
      <c r="B33" t="s">
        <v>395</v>
      </c>
      <c r="C33">
        <f>Samlet!H31</f>
        <v>0</v>
      </c>
    </row>
    <row r="34" spans="2:4">
      <c r="B34" t="s">
        <v>396</v>
      </c>
      <c r="C34" s="116">
        <f>Samlet!H8</f>
        <v>0</v>
      </c>
      <c r="D34" s="116"/>
    </row>
    <row r="35" spans="2:4">
      <c r="B35" t="s">
        <v>33</v>
      </c>
      <c r="C35" s="129">
        <f>Samlet!H13</f>
        <v>0</v>
      </c>
      <c r="D35" s="129"/>
    </row>
    <row r="36" spans="2:4">
      <c r="B36" t="s">
        <v>397</v>
      </c>
      <c r="C36" s="129">
        <f>Samlet!H25</f>
        <v>30790.918119862952</v>
      </c>
      <c r="D36" s="129"/>
    </row>
    <row r="37" spans="2:4" ht="15">
      <c r="B37" t="s">
        <v>116</v>
      </c>
      <c r="C37" s="117">
        <f>SUM(C32:C36)</f>
        <v>15569.127624938272</v>
      </c>
      <c r="D37" s="117"/>
    </row>
    <row r="50" spans="2:5" ht="29.25">
      <c r="B50" s="64" t="s">
        <v>118</v>
      </c>
      <c r="C50" s="66" t="s">
        <v>392</v>
      </c>
      <c r="D50" s="66"/>
      <c r="E50" s="65" t="s">
        <v>115</v>
      </c>
    </row>
    <row r="51" spans="2:5" ht="15">
      <c r="B51" s="131" t="s">
        <v>99</v>
      </c>
      <c r="C51" s="114">
        <f>Grafer!C48</f>
        <v>0</v>
      </c>
      <c r="D51" s="131" t="s">
        <v>99</v>
      </c>
      <c r="E51" s="114">
        <f>Grafer!D48</f>
        <v>0</v>
      </c>
    </row>
    <row r="52" spans="2:5" ht="15">
      <c r="B52" s="131" t="s">
        <v>100</v>
      </c>
      <c r="C52" s="114">
        <f>Grafer!C49</f>
        <v>21474.704000000002</v>
      </c>
      <c r="D52" s="131" t="s">
        <v>100</v>
      </c>
      <c r="E52" s="114">
        <f>Grafer!D49</f>
        <v>9556.2432799999988</v>
      </c>
    </row>
    <row r="53" spans="2:5" ht="15">
      <c r="B53" s="131" t="s">
        <v>101</v>
      </c>
      <c r="C53" s="114">
        <f>Grafer!C50</f>
        <v>12114.216</v>
      </c>
      <c r="D53" s="131" t="s">
        <v>101</v>
      </c>
      <c r="E53" s="114">
        <f>Grafer!D50</f>
        <v>5390.8261199999997</v>
      </c>
    </row>
    <row r="54" spans="2:5" ht="15">
      <c r="B54" s="131" t="s">
        <v>102</v>
      </c>
      <c r="C54" s="114">
        <f>Grafer!C51</f>
        <v>4548.2619999999997</v>
      </c>
      <c r="D54" s="131" t="s">
        <v>102</v>
      </c>
      <c r="E54" s="114">
        <f>Grafer!D51</f>
        <v>2023.97659</v>
      </c>
    </row>
    <row r="55" spans="2:5" ht="15">
      <c r="B55" s="131" t="s">
        <v>103</v>
      </c>
      <c r="C55" s="114">
        <f>Grafer!C52</f>
        <v>12749.825999999999</v>
      </c>
      <c r="D55" s="131" t="s">
        <v>103</v>
      </c>
      <c r="E55" s="114">
        <f>Grafer!D52</f>
        <v>5673.6725699999997</v>
      </c>
    </row>
    <row r="56" spans="2:5" ht="15">
      <c r="B56" s="131" t="s">
        <v>113</v>
      </c>
      <c r="C56" s="114">
        <f>C59+C60+C61+C62+C63+C64+C65+C66</f>
        <v>67830.987999999998</v>
      </c>
      <c r="D56" s="131" t="s">
        <v>113</v>
      </c>
      <c r="E56" s="114">
        <f>E59+E60+E61+E62+E63+E64+E65+E66</f>
        <v>30329.349244999998</v>
      </c>
    </row>
    <row r="57" spans="2:5" ht="15">
      <c r="B57" s="131" t="s">
        <v>112</v>
      </c>
      <c r="C57" s="114">
        <f>Grafer!C63</f>
        <v>26344.765460000002</v>
      </c>
      <c r="D57" s="131" t="s">
        <v>112</v>
      </c>
      <c r="E57" s="114">
        <f>Grafer!D63</f>
        <v>11723.420629699998</v>
      </c>
    </row>
    <row r="58" spans="2:5" ht="15">
      <c r="B58" s="131" t="s">
        <v>401</v>
      </c>
      <c r="C58" s="114">
        <f>Grafer!C54</f>
        <v>848.11800000000005</v>
      </c>
      <c r="D58" s="131" t="s">
        <v>401</v>
      </c>
      <c r="E58" s="114">
        <f>Grafer!D54</f>
        <v>377.41251</v>
      </c>
    </row>
    <row r="59" spans="2:5">
      <c r="B59" s="130" t="s">
        <v>105</v>
      </c>
      <c r="C59" s="114">
        <f>Grafer!C55</f>
        <v>44652.387999999999</v>
      </c>
      <c r="D59" s="130" t="s">
        <v>105</v>
      </c>
      <c r="E59" s="114">
        <f>Grafer!D55</f>
        <v>19870.31266</v>
      </c>
    </row>
    <row r="60" spans="2:5">
      <c r="B60" s="130" t="s">
        <v>106</v>
      </c>
      <c r="C60" s="114">
        <f>Grafer!C56</f>
        <v>4948.0119999999997</v>
      </c>
      <c r="D60" s="130" t="s">
        <v>106</v>
      </c>
      <c r="E60" s="114">
        <f>Grafer!D56</f>
        <v>2201.8653399999998</v>
      </c>
    </row>
    <row r="61" spans="2:5">
      <c r="B61" s="130" t="s">
        <v>107</v>
      </c>
      <c r="C61" s="114"/>
      <c r="D61" s="130" t="s">
        <v>107</v>
      </c>
      <c r="E61" s="114">
        <f>Grafer!D57</f>
        <v>0</v>
      </c>
    </row>
    <row r="62" spans="2:5">
      <c r="B62" s="130" t="s">
        <v>108</v>
      </c>
      <c r="C62" s="114"/>
      <c r="D62" s="130" t="s">
        <v>108</v>
      </c>
      <c r="E62" s="114">
        <f>Grafer!D58</f>
        <v>144.559585</v>
      </c>
    </row>
    <row r="63" spans="2:5">
      <c r="B63" s="130" t="s">
        <v>109</v>
      </c>
      <c r="C63" s="114"/>
      <c r="D63" s="130" t="s">
        <v>109</v>
      </c>
      <c r="E63" s="114">
        <f>Grafer!D59</f>
        <v>0</v>
      </c>
    </row>
    <row r="64" spans="2:5">
      <c r="B64" s="130" t="s">
        <v>110</v>
      </c>
      <c r="C64" s="114">
        <f>Grafer!C60</f>
        <v>17380.853999999999</v>
      </c>
      <c r="D64" s="130" t="s">
        <v>110</v>
      </c>
      <c r="E64" s="114">
        <f>Grafer!D60</f>
        <v>7734.4800299999997</v>
      </c>
    </row>
    <row r="65" spans="2:5">
      <c r="B65" s="130" t="s">
        <v>111</v>
      </c>
      <c r="C65" s="114">
        <f>Grafer!C61</f>
        <v>325.05599999999998</v>
      </c>
      <c r="D65" s="130" t="s">
        <v>111</v>
      </c>
      <c r="E65" s="114">
        <f>Grafer!D61</f>
        <v>144.64991999999998</v>
      </c>
    </row>
    <row r="66" spans="2:5">
      <c r="B66" s="130" t="s">
        <v>177</v>
      </c>
      <c r="C66" s="114">
        <f>Grafer!C62</f>
        <v>524.678</v>
      </c>
      <c r="D66" s="130" t="s">
        <v>177</v>
      </c>
      <c r="E66" s="114">
        <f>Grafer!D62</f>
        <v>233.48170999999999</v>
      </c>
    </row>
    <row r="67" spans="2:5">
      <c r="B67" s="65" t="s">
        <v>116</v>
      </c>
      <c r="C67" s="115">
        <f>SUM(C51:C58)</f>
        <v>145910.87946</v>
      </c>
      <c r="D67" s="115"/>
      <c r="E67" s="115">
        <f>SUM(E51:E58)</f>
        <v>65074.900944699999</v>
      </c>
    </row>
    <row r="73" spans="2:5" ht="29.25">
      <c r="B73" s="64" t="s">
        <v>398</v>
      </c>
      <c r="C73" s="66" t="s">
        <v>393</v>
      </c>
      <c r="D73" s="66"/>
      <c r="E73" s="65" t="s">
        <v>115</v>
      </c>
    </row>
    <row r="74" spans="2:5" ht="15">
      <c r="B74" s="131" t="s">
        <v>99</v>
      </c>
      <c r="C74" s="114">
        <f>Grafer!C75</f>
        <v>0</v>
      </c>
      <c r="D74" s="131" t="s">
        <v>99</v>
      </c>
      <c r="E74" s="114"/>
    </row>
    <row r="75" spans="2:5" ht="15">
      <c r="B75" s="131" t="s">
        <v>100</v>
      </c>
      <c r="C75" s="114">
        <f>Grafer!C76</f>
        <v>0</v>
      </c>
      <c r="D75" s="131" t="s">
        <v>100</v>
      </c>
      <c r="E75" s="114"/>
    </row>
    <row r="76" spans="2:5" ht="15">
      <c r="B76" s="131" t="s">
        <v>101</v>
      </c>
      <c r="C76" s="114">
        <f>Grafer!C77</f>
        <v>0</v>
      </c>
      <c r="D76" s="131" t="s">
        <v>101</v>
      </c>
      <c r="E76" s="114"/>
    </row>
    <row r="77" spans="2:5" ht="15">
      <c r="B77" s="131" t="s">
        <v>102</v>
      </c>
      <c r="C77" s="114">
        <f>Grafer!C78</f>
        <v>0</v>
      </c>
      <c r="D77" s="131" t="s">
        <v>102</v>
      </c>
      <c r="E77" s="114"/>
    </row>
    <row r="78" spans="2:5" ht="15">
      <c r="B78" s="131" t="s">
        <v>103</v>
      </c>
      <c r="C78" s="114">
        <f>Grafer!C79</f>
        <v>0</v>
      </c>
      <c r="D78" s="131" t="s">
        <v>103</v>
      </c>
      <c r="E78" s="114"/>
    </row>
    <row r="79" spans="2:5" ht="15">
      <c r="B79" s="131" t="s">
        <v>113</v>
      </c>
      <c r="C79" s="114">
        <f>SUM(C82:C89)</f>
        <v>2235.491</v>
      </c>
      <c r="D79" s="131" t="s">
        <v>113</v>
      </c>
      <c r="E79" s="114"/>
    </row>
    <row r="80" spans="2:5" ht="15">
      <c r="B80" s="131" t="s">
        <v>112</v>
      </c>
      <c r="C80" s="114">
        <f>Grafer!C90</f>
        <v>0</v>
      </c>
      <c r="D80" s="131" t="s">
        <v>112</v>
      </c>
      <c r="E80" s="114"/>
    </row>
    <row r="81" spans="2:5" ht="15">
      <c r="B81" s="131" t="s">
        <v>401</v>
      </c>
      <c r="C81" s="114">
        <f>Grafer!C81</f>
        <v>0</v>
      </c>
      <c r="D81" s="131" t="s">
        <v>401</v>
      </c>
      <c r="E81" s="114"/>
    </row>
    <row r="82" spans="2:5">
      <c r="B82" s="130" t="s">
        <v>105</v>
      </c>
      <c r="C82" s="114">
        <f>Grafer!C82</f>
        <v>2235.491</v>
      </c>
      <c r="D82" s="130" t="s">
        <v>105</v>
      </c>
      <c r="E82" s="114"/>
    </row>
    <row r="83" spans="2:5">
      <c r="B83" s="130" t="s">
        <v>106</v>
      </c>
      <c r="C83" s="114">
        <f>Grafer!C83</f>
        <v>0</v>
      </c>
      <c r="D83" s="130" t="s">
        <v>106</v>
      </c>
      <c r="E83" s="114"/>
    </row>
    <row r="84" spans="2:5">
      <c r="B84" s="130" t="s">
        <v>107</v>
      </c>
      <c r="C84" s="114">
        <f>Grafer!C84</f>
        <v>0</v>
      </c>
      <c r="D84" s="130" t="s">
        <v>107</v>
      </c>
      <c r="E84" s="114"/>
    </row>
    <row r="85" spans="2:5">
      <c r="B85" s="130" t="s">
        <v>108</v>
      </c>
      <c r="C85" s="114">
        <f>Grafer!C85</f>
        <v>0</v>
      </c>
      <c r="D85" s="130" t="s">
        <v>108</v>
      </c>
      <c r="E85" s="114"/>
    </row>
    <row r="86" spans="2:5">
      <c r="B86" s="130" t="s">
        <v>109</v>
      </c>
      <c r="C86" s="114">
        <f>Grafer!C86</f>
        <v>0</v>
      </c>
      <c r="D86" s="130" t="s">
        <v>109</v>
      </c>
      <c r="E86" s="114"/>
    </row>
    <row r="87" spans="2:5">
      <c r="B87" s="130" t="s">
        <v>110</v>
      </c>
      <c r="C87" s="114">
        <f>Grafer!C87</f>
        <v>0</v>
      </c>
      <c r="D87" s="130" t="s">
        <v>110</v>
      </c>
      <c r="E87" s="114"/>
    </row>
    <row r="88" spans="2:5">
      <c r="B88" s="130" t="s">
        <v>111</v>
      </c>
      <c r="C88" s="114">
        <f>Grafer!C88</f>
        <v>0</v>
      </c>
      <c r="D88" s="130" t="s">
        <v>111</v>
      </c>
      <c r="E88" s="114"/>
    </row>
    <row r="89" spans="2:5">
      <c r="B89" s="130" t="s">
        <v>177</v>
      </c>
      <c r="C89" s="114">
        <f>Grafer!C89</f>
        <v>0</v>
      </c>
      <c r="D89" s="130" t="s">
        <v>177</v>
      </c>
      <c r="E89" s="114"/>
    </row>
    <row r="90" spans="2:5">
      <c r="B90" s="65" t="s">
        <v>116</v>
      </c>
      <c r="C90" s="115">
        <f>SUM(C74:C81)</f>
        <v>2235.491</v>
      </c>
      <c r="D90" s="115"/>
      <c r="E90" s="115">
        <f>SUM(E74:E81)</f>
        <v>0</v>
      </c>
    </row>
    <row r="95" spans="2:5">
      <c r="B95" s="116"/>
    </row>
    <row r="99" spans="2:5" ht="15">
      <c r="B99" s="64" t="s">
        <v>397</v>
      </c>
      <c r="C99" s="66" t="s">
        <v>115</v>
      </c>
      <c r="D99" s="66" t="s">
        <v>399</v>
      </c>
      <c r="E99" s="65"/>
    </row>
    <row r="100" spans="2:5" ht="15">
      <c r="B100" s="131" t="s">
        <v>99</v>
      </c>
      <c r="C100" s="114">
        <f>Grafer!C101</f>
        <v>149.78885005029937</v>
      </c>
      <c r="D100" s="133">
        <f>C100/$C$116*100</f>
        <v>0.50604725581463195</v>
      </c>
      <c r="E100" s="114"/>
    </row>
    <row r="101" spans="2:5" ht="15">
      <c r="B101" s="131" t="s">
        <v>100</v>
      </c>
      <c r="C101" s="114">
        <f>Grafer!C102</f>
        <v>3052.5924846797925</v>
      </c>
      <c r="D101" s="133">
        <f t="shared" ref="D101:D107" si="1">C101/$C$116*100</f>
        <v>10.312890775740957</v>
      </c>
      <c r="E101" s="114"/>
    </row>
    <row r="102" spans="2:5" ht="15">
      <c r="B102" s="131" t="s">
        <v>101</v>
      </c>
      <c r="C102" s="114">
        <f>Grafer!C103</f>
        <v>307.37982504466612</v>
      </c>
      <c r="D102" s="133">
        <f t="shared" si="1"/>
        <v>1.0384532420430586</v>
      </c>
      <c r="E102" s="114"/>
    </row>
    <row r="103" spans="2:5" ht="15">
      <c r="B103" s="131" t="s">
        <v>102</v>
      </c>
      <c r="C103" s="114">
        <f>Grafer!C104</f>
        <v>3187.4064882235421</v>
      </c>
      <c r="D103" s="133">
        <f t="shared" si="1"/>
        <v>10.768346949653697</v>
      </c>
      <c r="E103" s="114"/>
    </row>
    <row r="104" spans="2:5" ht="15">
      <c r="B104" s="131" t="s">
        <v>103</v>
      </c>
      <c r="C104" s="114">
        <f>Grafer!C105</f>
        <v>1552.6311323646512</v>
      </c>
      <c r="D104" s="133">
        <f t="shared" si="1"/>
        <v>5.2454152866628929</v>
      </c>
      <c r="E104" s="114"/>
    </row>
    <row r="105" spans="2:5" ht="15">
      <c r="B105" s="131" t="s">
        <v>113</v>
      </c>
      <c r="C105" s="114">
        <f>SUM(C108:C115)</f>
        <v>1507.4766500000001</v>
      </c>
      <c r="D105" s="133">
        <f t="shared" si="1"/>
        <v>5.0928652011212208</v>
      </c>
      <c r="E105" s="114"/>
    </row>
    <row r="106" spans="2:5" ht="15">
      <c r="B106" s="131" t="s">
        <v>112</v>
      </c>
      <c r="C106" s="116">
        <f>Grafer!C116</f>
        <v>1554.2843499999999</v>
      </c>
      <c r="D106" s="133">
        <f t="shared" si="1"/>
        <v>5.2510005237973774</v>
      </c>
      <c r="E106" s="114"/>
    </row>
    <row r="107" spans="2:5" ht="15">
      <c r="B107" s="131" t="s">
        <v>401</v>
      </c>
      <c r="C107" s="114">
        <f>Grafer!C107</f>
        <v>18288.215404500002</v>
      </c>
      <c r="D107" s="133">
        <f t="shared" si="1"/>
        <v>61.784980765166154</v>
      </c>
      <c r="E107" s="114"/>
    </row>
    <row r="108" spans="2:5">
      <c r="B108" s="130" t="s">
        <v>105</v>
      </c>
      <c r="C108" s="114">
        <f>Grafer!C108</f>
        <v>699.30599999999993</v>
      </c>
      <c r="D108" s="130"/>
      <c r="E108" s="114"/>
    </row>
    <row r="109" spans="2:5">
      <c r="B109" s="130" t="s">
        <v>106</v>
      </c>
      <c r="C109" s="114">
        <f>Grafer!C109</f>
        <v>250.53960000000001</v>
      </c>
      <c r="D109" s="130"/>
      <c r="E109" s="114"/>
    </row>
    <row r="110" spans="2:5">
      <c r="B110" s="130" t="s">
        <v>107</v>
      </c>
      <c r="C110" s="114">
        <f>Grafer!C110</f>
        <v>0</v>
      </c>
      <c r="D110" s="130"/>
      <c r="E110" s="114"/>
    </row>
    <row r="111" spans="2:5">
      <c r="B111" s="130" t="s">
        <v>108</v>
      </c>
      <c r="C111" s="114">
        <f>Grafer!C111</f>
        <v>170.18315000000001</v>
      </c>
      <c r="D111" s="130"/>
      <c r="E111" s="114"/>
    </row>
    <row r="112" spans="2:5">
      <c r="B112" s="130" t="s">
        <v>109</v>
      </c>
      <c r="C112" s="114">
        <f>Grafer!C112</f>
        <v>2.9209999999999998</v>
      </c>
      <c r="D112" s="130"/>
      <c r="E112" s="114"/>
    </row>
    <row r="113" spans="2:5">
      <c r="B113" s="130" t="s">
        <v>110</v>
      </c>
      <c r="C113" s="114">
        <f>Grafer!C113</f>
        <v>104.9028</v>
      </c>
      <c r="D113" s="130"/>
      <c r="E113" s="114"/>
    </row>
    <row r="114" spans="2:5">
      <c r="B114" s="130" t="s">
        <v>111</v>
      </c>
      <c r="C114" s="114">
        <f>Grafer!C114</f>
        <v>127.1836</v>
      </c>
      <c r="D114" s="130"/>
      <c r="E114" s="114"/>
    </row>
    <row r="115" spans="2:5">
      <c r="B115" s="130" t="s">
        <v>177</v>
      </c>
      <c r="C115" s="114">
        <f>Grafer!C115</f>
        <v>152.44050000000001</v>
      </c>
      <c r="D115" s="130"/>
      <c r="E115" s="114"/>
    </row>
    <row r="116" spans="2:5" ht="15">
      <c r="B116" s="65" t="s">
        <v>116</v>
      </c>
      <c r="C116" s="132">
        <f>SUM(C100:C107)</f>
        <v>29599.775184862956</v>
      </c>
      <c r="D116" s="115"/>
      <c r="E116" s="115"/>
    </row>
    <row r="121" spans="2:5">
      <c r="C121">
        <v>2010</v>
      </c>
    </row>
    <row r="122" spans="2:5" ht="15">
      <c r="B122" s="64" t="s">
        <v>403</v>
      </c>
      <c r="C122" s="64" t="s">
        <v>400</v>
      </c>
      <c r="D122" s="64" t="s">
        <v>402</v>
      </c>
    </row>
    <row r="123" spans="2:5" ht="15">
      <c r="B123" s="131" t="s">
        <v>99</v>
      </c>
      <c r="C123" s="116">
        <f>SUM('Borgmesterens afd'!F5:F8)+SUM('Borgmesterens afd'!F10:F13)</f>
        <v>0</v>
      </c>
      <c r="D123" s="116">
        <f>SUM('Borgmesterens afd'!E5:E8)+(10*'Borgmesterens afd'!E11)</f>
        <v>0</v>
      </c>
    </row>
    <row r="124" spans="2:5" ht="15">
      <c r="B124" s="131" t="s">
        <v>100</v>
      </c>
      <c r="C124" s="116">
        <f>SUM('Børn og Unge'!F5:F8)+SUM('Børn og Unge'!F10:F13)</f>
        <v>21058.243279999999</v>
      </c>
      <c r="D124" s="116">
        <f>SUM('Børn og Unge'!E5:E8)+(10*'Børn og Unge'!E11)+'Børn og Unge'!E10</f>
        <v>21474704</v>
      </c>
    </row>
    <row r="125" spans="2:5" ht="15">
      <c r="B125" s="131" t="s">
        <v>101</v>
      </c>
      <c r="C125" s="116">
        <f>SUM('Kultur og Borgerservice'!F5:F8)+SUM('Kultur og Borgerservice'!F10:F13)</f>
        <v>9257.8261199999997</v>
      </c>
      <c r="D125" s="116">
        <f>SUM('Kultur og Borgerservice'!E5:E8)+(10*'Kultur og Borgerservice'!E11)+'Kultur og Borgerservice'!E10</f>
        <v>12114216</v>
      </c>
    </row>
    <row r="126" spans="2:5" ht="15">
      <c r="B126" s="131" t="s">
        <v>102</v>
      </c>
      <c r="C126" s="116">
        <f>SUM('Social og Beskæftigelse'!F5:F8)+SUM('Social og Beskæftigelse'!F10:F13)</f>
        <v>4904.9765900000002</v>
      </c>
      <c r="D126" s="116">
        <f>SUM('Social og Beskæftigelse'!E5:E8)+(10*'Social og Beskæftigelse'!E11)+'Social og Beskæftigelse'!E10</f>
        <v>4548262</v>
      </c>
    </row>
    <row r="127" spans="2:5" ht="15">
      <c r="B127" s="131" t="s">
        <v>103</v>
      </c>
      <c r="C127" s="116">
        <f>SUM('Sundhed og Omsorg'!F5:F8)+SUM('Sundhed og Omsorg'!F10:F13)</f>
        <v>12562.672569999999</v>
      </c>
      <c r="D127" s="116">
        <f>SUM('Sundhed og Omsorg'!E5:E8)+(10*'Sundhed og Omsorg'!E11)+'Sundhed og Omsorg'!E10</f>
        <v>12749826</v>
      </c>
    </row>
    <row r="128" spans="2:5" ht="15">
      <c r="B128" s="131" t="s">
        <v>113</v>
      </c>
      <c r="C128" s="116">
        <f>'Teknik og Miljø'!F8+'Teknik og Miljø'!F10+'Teknik og Miljø'!F11-'AffaldVarme Århus'!F11</f>
        <v>5830.3353150000003</v>
      </c>
      <c r="D128" s="116">
        <f>'Teknik og Miljø'!E8+'Teknik og Miljø'!E10+(10*'Teknik og Miljø'!F11)-(10*'AffaldVarme Århus'!F11)</f>
        <v>9265458</v>
      </c>
    </row>
    <row r="129" spans="2:4" ht="15">
      <c r="B129" s="131" t="s">
        <v>116</v>
      </c>
      <c r="C129" s="118">
        <f>SUM(C123:C128)</f>
        <v>53614.053874999998</v>
      </c>
      <c r="D129" s="118">
        <f>SUM(D123:D128)</f>
        <v>60152466</v>
      </c>
    </row>
    <row r="130" spans="2:4" ht="15">
      <c r="B130" s="131"/>
      <c r="C130" s="116"/>
    </row>
    <row r="133" spans="2:4" ht="15">
      <c r="B133" s="64" t="s">
        <v>408</v>
      </c>
      <c r="C133" s="64">
        <v>2010</v>
      </c>
      <c r="D133" s="64">
        <v>2009</v>
      </c>
    </row>
    <row r="134" spans="2:4" ht="15">
      <c r="B134" s="131" t="s">
        <v>99</v>
      </c>
      <c r="C134" s="116">
        <f>D123</f>
        <v>0</v>
      </c>
      <c r="D134" s="116">
        <v>24390</v>
      </c>
    </row>
    <row r="135" spans="2:4" ht="15">
      <c r="B135" s="131" t="s">
        <v>100</v>
      </c>
      <c r="C135" s="116">
        <f t="shared" ref="C135:C139" si="2">D124</f>
        <v>21474704</v>
      </c>
      <c r="D135" s="116">
        <v>94853943</v>
      </c>
    </row>
    <row r="136" spans="2:4" ht="15">
      <c r="B136" s="131" t="s">
        <v>101</v>
      </c>
      <c r="C136" s="116">
        <f t="shared" si="2"/>
        <v>12114216</v>
      </c>
      <c r="D136" s="116">
        <v>37167421</v>
      </c>
    </row>
    <row r="137" spans="2:4" ht="15">
      <c r="B137" s="131" t="s">
        <v>102</v>
      </c>
      <c r="C137" s="116">
        <f t="shared" si="2"/>
        <v>4548262</v>
      </c>
      <c r="D137" s="116">
        <v>21446993</v>
      </c>
    </row>
    <row r="138" spans="2:4" ht="15">
      <c r="B138" s="131" t="s">
        <v>103</v>
      </c>
      <c r="C138" s="116">
        <f t="shared" si="2"/>
        <v>12749826</v>
      </c>
      <c r="D138" s="116">
        <v>55548219</v>
      </c>
    </row>
    <row r="139" spans="2:4" ht="15">
      <c r="B139" s="131" t="s">
        <v>113</v>
      </c>
      <c r="C139" s="116">
        <f t="shared" si="2"/>
        <v>9265458</v>
      </c>
      <c r="D139" s="116">
        <v>24682759</v>
      </c>
    </row>
    <row r="140" spans="2:4" ht="15">
      <c r="B140" s="131" t="s">
        <v>116</v>
      </c>
      <c r="C140" s="118">
        <f>D129</f>
        <v>60152466</v>
      </c>
      <c r="D140" s="118">
        <v>233723725</v>
      </c>
    </row>
    <row r="141" spans="2:4" ht="15">
      <c r="B141" s="131"/>
      <c r="C141" s="116"/>
      <c r="D141" s="118"/>
    </row>
    <row r="142" spans="2:4" ht="15">
      <c r="D142" s="118"/>
    </row>
    <row r="143" spans="2:4" ht="15">
      <c r="D143" s="118"/>
    </row>
    <row r="144" spans="2:4" ht="15">
      <c r="B144" s="134" t="s">
        <v>404</v>
      </c>
      <c r="C144" s="134" t="s">
        <v>402</v>
      </c>
      <c r="D144" s="118"/>
    </row>
    <row r="145" spans="2:4" ht="15">
      <c r="B145" s="135" t="s">
        <v>405</v>
      </c>
      <c r="C145" s="136">
        <v>40200</v>
      </c>
      <c r="D145" s="118"/>
    </row>
    <row r="146" spans="2:4" ht="15">
      <c r="B146" s="135" t="s">
        <v>406</v>
      </c>
      <c r="C146" s="136">
        <v>83505911</v>
      </c>
    </row>
    <row r="147" spans="2:4" ht="15">
      <c r="B147" s="135" t="s">
        <v>407</v>
      </c>
      <c r="C147" s="136">
        <v>41756698</v>
      </c>
    </row>
    <row r="148" spans="2:4" ht="15">
      <c r="B148" s="135" t="s">
        <v>116</v>
      </c>
      <c r="C148" s="137">
        <v>229526996</v>
      </c>
    </row>
  </sheetData>
  <sheetProtection password="DA0D" sheet="1" objects="1" scenarios="1"/>
  <mergeCells count="1">
    <mergeCell ref="A16:A23"/>
  </mergeCells>
  <pageMargins left="0.7" right="0.7" top="0.75" bottom="0.75" header="0.3" footer="0.3"/>
  <pageSetup paperSize="9" orientation="landscape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127"/>
  <sheetViews>
    <sheetView showGridLines="0" topLeftCell="A7" zoomScale="115" zoomScaleNormal="115" workbookViewId="0">
      <selection activeCell="C16" sqref="C16"/>
    </sheetView>
  </sheetViews>
  <sheetFormatPr defaultRowHeight="14.25"/>
  <cols>
    <col min="1" max="1" width="28.875" customWidth="1"/>
    <col min="2" max="2" width="21.375" customWidth="1"/>
    <col min="3" max="3" width="20.75" customWidth="1"/>
    <col min="4" max="4" width="16.125" customWidth="1"/>
    <col min="5" max="5" width="9.25" customWidth="1"/>
    <col min="8" max="8" width="14.5" customWidth="1"/>
  </cols>
  <sheetData>
    <row r="2" spans="1:19" ht="15">
      <c r="A2" s="1" t="s">
        <v>250</v>
      </c>
      <c r="B2" s="68" t="s">
        <v>24</v>
      </c>
      <c r="C2" s="83">
        <v>2011</v>
      </c>
    </row>
    <row r="3" spans="1:19">
      <c r="C3" s="87"/>
    </row>
    <row r="4" spans="1:19" ht="28.5">
      <c r="A4" s="4" t="s">
        <v>12</v>
      </c>
      <c r="B4" s="4" t="s">
        <v>13</v>
      </c>
      <c r="C4" s="88" t="s">
        <v>251</v>
      </c>
      <c r="D4" s="57" t="s">
        <v>252</v>
      </c>
      <c r="E4" s="187" t="s">
        <v>249</v>
      </c>
      <c r="F4" s="188"/>
      <c r="G4" s="188"/>
      <c r="H4" s="189"/>
    </row>
    <row r="5" spans="1:19" ht="49.5" customHeight="1">
      <c r="A5" s="47" t="s">
        <v>58</v>
      </c>
      <c r="B5" s="48" t="s">
        <v>14</v>
      </c>
      <c r="C5" s="89">
        <v>2.3E-3</v>
      </c>
      <c r="D5" s="38" t="s">
        <v>15</v>
      </c>
      <c r="E5" s="187" t="s">
        <v>16</v>
      </c>
      <c r="F5" s="188"/>
      <c r="G5" s="188"/>
      <c r="H5" s="189"/>
    </row>
    <row r="6" spans="1:19" ht="15">
      <c r="A6" s="47" t="s">
        <v>59</v>
      </c>
      <c r="B6" s="48" t="s">
        <v>14</v>
      </c>
      <c r="C6" s="89">
        <v>2.65E-3</v>
      </c>
      <c r="D6" s="38">
        <v>2</v>
      </c>
      <c r="E6" s="187" t="s">
        <v>17</v>
      </c>
      <c r="F6" s="188"/>
      <c r="G6" s="188"/>
      <c r="H6" s="189"/>
      <c r="J6" s="175" t="s">
        <v>334</v>
      </c>
      <c r="K6" s="176"/>
      <c r="L6" s="176"/>
      <c r="M6" s="176"/>
      <c r="N6" s="177"/>
      <c r="O6" s="69"/>
      <c r="P6" s="69"/>
      <c r="Q6" s="69"/>
      <c r="R6" s="69"/>
      <c r="S6" s="69"/>
    </row>
    <row r="7" spans="1:19" ht="15">
      <c r="A7" s="47" t="s">
        <v>60</v>
      </c>
      <c r="B7" s="48" t="s">
        <v>14</v>
      </c>
      <c r="C7" s="89">
        <v>2.65E-3</v>
      </c>
      <c r="D7" s="38">
        <v>4</v>
      </c>
      <c r="E7" s="187"/>
      <c r="F7" s="188"/>
      <c r="G7" s="188"/>
      <c r="H7" s="189"/>
      <c r="J7" s="158"/>
      <c r="K7" s="172"/>
      <c r="L7" s="172"/>
      <c r="M7" s="172"/>
      <c r="N7" s="151"/>
      <c r="O7" s="69"/>
      <c r="P7" s="69"/>
      <c r="Q7" s="69"/>
      <c r="R7" s="69"/>
      <c r="S7" s="69"/>
    </row>
    <row r="8" spans="1:19" ht="27.75" customHeight="1">
      <c r="A8" s="47" t="s">
        <v>61</v>
      </c>
      <c r="B8" s="48" t="s">
        <v>14</v>
      </c>
      <c r="C8" s="89">
        <v>2.66E-3</v>
      </c>
      <c r="D8" s="38">
        <v>2</v>
      </c>
      <c r="E8" s="187" t="s">
        <v>18</v>
      </c>
      <c r="F8" s="188"/>
      <c r="G8" s="188"/>
      <c r="H8" s="189"/>
      <c r="J8" s="158"/>
      <c r="K8" s="172"/>
      <c r="L8" s="172"/>
      <c r="M8" s="172"/>
      <c r="N8" s="151"/>
      <c r="O8" s="69"/>
      <c r="P8" s="69"/>
      <c r="Q8" s="69"/>
      <c r="R8" s="69"/>
      <c r="S8" s="69"/>
    </row>
    <row r="9" spans="1:19" ht="15">
      <c r="A9" s="47" t="s">
        <v>67</v>
      </c>
      <c r="B9" s="48" t="s">
        <v>14</v>
      </c>
      <c r="C9" s="89">
        <v>2.2484879999999999E-3</v>
      </c>
      <c r="D9" s="38"/>
      <c r="E9" s="187"/>
      <c r="F9" s="188"/>
      <c r="G9" s="188"/>
      <c r="H9" s="189"/>
      <c r="J9" s="158"/>
      <c r="K9" s="172"/>
      <c r="L9" s="172"/>
      <c r="M9" s="172"/>
      <c r="N9" s="151"/>
      <c r="O9" s="69"/>
      <c r="P9" s="69"/>
      <c r="Q9" s="69"/>
      <c r="R9" s="69"/>
      <c r="S9" s="69"/>
    </row>
    <row r="10" spans="1:19" ht="15">
      <c r="A10" s="47" t="s">
        <v>65</v>
      </c>
      <c r="B10" s="48" t="s">
        <v>14</v>
      </c>
      <c r="C10" s="89">
        <v>2E-3</v>
      </c>
      <c r="D10" s="38"/>
      <c r="E10" s="187"/>
      <c r="F10" s="188"/>
      <c r="G10" s="188"/>
      <c r="H10" s="189"/>
      <c r="J10" s="158"/>
      <c r="K10" s="172"/>
      <c r="L10" s="172"/>
      <c r="M10" s="172"/>
      <c r="N10" s="151"/>
      <c r="O10" s="69"/>
      <c r="P10" s="69"/>
      <c r="Q10" s="69"/>
      <c r="R10" s="69"/>
      <c r="S10" s="69"/>
    </row>
    <row r="11" spans="1:19" ht="15">
      <c r="A11" s="47" t="s">
        <v>68</v>
      </c>
      <c r="B11" s="48" t="s">
        <v>14</v>
      </c>
      <c r="C11" s="100">
        <f>C16</f>
        <v>4.4499999999999997E-4</v>
      </c>
      <c r="D11" s="38"/>
      <c r="E11" s="187"/>
      <c r="F11" s="188"/>
      <c r="G11" s="188"/>
      <c r="H11" s="189"/>
      <c r="J11" s="173"/>
      <c r="K11" s="174"/>
      <c r="L11" s="174"/>
      <c r="M11" s="174"/>
      <c r="N11" s="157"/>
      <c r="O11" s="69"/>
      <c r="P11" s="69"/>
      <c r="Q11" s="69"/>
      <c r="R11" s="69"/>
      <c r="S11" s="69"/>
    </row>
    <row r="12" spans="1:19" ht="15">
      <c r="A12" s="47" t="s">
        <v>62</v>
      </c>
      <c r="B12" s="48" t="s">
        <v>14</v>
      </c>
      <c r="C12" s="89">
        <v>2.1100000000000001E-4</v>
      </c>
      <c r="D12" s="38">
        <v>1</v>
      </c>
      <c r="E12" s="187" t="s">
        <v>17</v>
      </c>
      <c r="F12" s="188"/>
      <c r="G12" s="188"/>
      <c r="H12" s="189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1:19" ht="15">
      <c r="A13" s="47" t="s">
        <v>63</v>
      </c>
      <c r="B13" s="48" t="s">
        <v>14</v>
      </c>
      <c r="C13" s="100">
        <f>C12</f>
        <v>2.1100000000000001E-4</v>
      </c>
      <c r="D13" s="38"/>
      <c r="E13" s="187"/>
      <c r="F13" s="188"/>
      <c r="G13" s="188"/>
      <c r="H13" s="18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1:19" ht="15">
      <c r="A14" s="47" t="s">
        <v>64</v>
      </c>
      <c r="B14" s="48" t="s">
        <v>14</v>
      </c>
      <c r="C14" s="100">
        <f>C12</f>
        <v>2.1100000000000001E-4</v>
      </c>
      <c r="D14" s="38"/>
      <c r="E14" s="187"/>
      <c r="F14" s="188"/>
      <c r="G14" s="188"/>
      <c r="H14" s="189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1:19" ht="15">
      <c r="A15" s="47" t="s">
        <v>66</v>
      </c>
      <c r="B15" s="48" t="s">
        <v>14</v>
      </c>
      <c r="C15" s="89">
        <v>8.5300000000000003E-4</v>
      </c>
      <c r="D15" s="38">
        <v>1</v>
      </c>
      <c r="E15" s="187" t="s">
        <v>17</v>
      </c>
      <c r="F15" s="188"/>
      <c r="G15" s="188"/>
      <c r="H15" s="189"/>
      <c r="I15" s="87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 ht="49.5" customHeight="1">
      <c r="A16" s="47" t="s">
        <v>19</v>
      </c>
      <c r="B16" s="48" t="s">
        <v>14</v>
      </c>
      <c r="C16" s="89">
        <v>4.4499999999999997E-4</v>
      </c>
      <c r="D16" s="38">
        <v>5</v>
      </c>
      <c r="E16" s="187" t="s">
        <v>413</v>
      </c>
      <c r="F16" s="188"/>
      <c r="G16" s="188"/>
      <c r="H16" s="18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1:19" ht="19.5" customHeight="1">
      <c r="A17" s="47" t="s">
        <v>49</v>
      </c>
      <c r="B17" s="48" t="s">
        <v>14</v>
      </c>
      <c r="C17" s="89">
        <v>1.54E-4</v>
      </c>
      <c r="D17" s="38">
        <v>6</v>
      </c>
      <c r="E17" s="187" t="s">
        <v>347</v>
      </c>
      <c r="F17" s="188"/>
      <c r="G17" s="188"/>
      <c r="H17" s="18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1:19" ht="15">
      <c r="A18" s="47" t="s">
        <v>71</v>
      </c>
      <c r="B18" s="48" t="s">
        <v>14</v>
      </c>
      <c r="C18" s="100">
        <f>C14*C24</f>
        <v>6.1159420289855072E-5</v>
      </c>
      <c r="D18" s="38"/>
      <c r="E18" s="187"/>
      <c r="F18" s="188"/>
      <c r="G18" s="188"/>
      <c r="H18" s="189"/>
    </row>
    <row r="19" spans="1:19" ht="15">
      <c r="A19" s="47" t="s">
        <v>70</v>
      </c>
      <c r="B19" s="48" t="s">
        <v>14</v>
      </c>
      <c r="C19" s="100">
        <f>C22*C12</f>
        <v>1.0177964800000001E-5</v>
      </c>
      <c r="D19" s="38"/>
      <c r="E19" s="187"/>
      <c r="F19" s="188"/>
      <c r="G19" s="188"/>
      <c r="H19" s="189"/>
    </row>
    <row r="20" spans="1:19" ht="15">
      <c r="A20" s="47" t="s">
        <v>74</v>
      </c>
      <c r="B20" s="48" t="s">
        <v>14</v>
      </c>
      <c r="C20" s="100">
        <f>C14</f>
        <v>2.1100000000000001E-4</v>
      </c>
      <c r="D20" s="38"/>
      <c r="E20" s="187"/>
      <c r="F20" s="188"/>
      <c r="G20" s="188"/>
      <c r="H20" s="189"/>
    </row>
    <row r="21" spans="1:19" ht="15">
      <c r="A21" s="47" t="s">
        <v>69</v>
      </c>
      <c r="B21" s="48" t="s">
        <v>14</v>
      </c>
      <c r="C21" s="100">
        <f>C23*C13</f>
        <v>6.1159420289855072E-5</v>
      </c>
      <c r="D21" s="38"/>
      <c r="E21" s="187"/>
      <c r="F21" s="188"/>
      <c r="G21" s="188"/>
      <c r="H21" s="189"/>
    </row>
    <row r="22" spans="1:19" ht="28.5" customHeight="1">
      <c r="A22" s="47" t="s">
        <v>20</v>
      </c>
      <c r="B22" s="48" t="s">
        <v>21</v>
      </c>
      <c r="C22" s="89">
        <v>4.8236800000000003E-2</v>
      </c>
      <c r="D22" s="38">
        <v>3</v>
      </c>
      <c r="E22" s="187" t="s">
        <v>328</v>
      </c>
      <c r="F22" s="188"/>
      <c r="G22" s="188"/>
      <c r="H22" s="189"/>
    </row>
    <row r="23" spans="1:19" ht="15">
      <c r="A23" s="47" t="s">
        <v>22</v>
      </c>
      <c r="B23" s="48" t="s">
        <v>23</v>
      </c>
      <c r="C23" s="89">
        <f>1/3.45</f>
        <v>0.28985507246376813</v>
      </c>
      <c r="D23" s="38">
        <v>7</v>
      </c>
      <c r="E23" s="187" t="s">
        <v>412</v>
      </c>
      <c r="F23" s="188"/>
      <c r="G23" s="188"/>
      <c r="H23" s="189"/>
    </row>
    <row r="24" spans="1:19" ht="15">
      <c r="A24" s="47" t="s">
        <v>72</v>
      </c>
      <c r="B24" s="48" t="s">
        <v>73</v>
      </c>
      <c r="C24" s="89">
        <f>1/3.45</f>
        <v>0.28985507246376813</v>
      </c>
      <c r="D24" s="38"/>
      <c r="E24" s="187"/>
      <c r="F24" s="188"/>
      <c r="G24" s="188"/>
      <c r="H24" s="189"/>
    </row>
    <row r="25" spans="1:19" ht="15">
      <c r="A25" s="47" t="s">
        <v>332</v>
      </c>
      <c r="B25" s="48" t="s">
        <v>14</v>
      </c>
      <c r="C25" s="89">
        <v>0.44</v>
      </c>
      <c r="D25" s="4"/>
      <c r="E25" s="186"/>
      <c r="F25" s="183"/>
      <c r="G25" s="183"/>
      <c r="H25" s="184"/>
    </row>
    <row r="26" spans="1:19" ht="15">
      <c r="A26" s="1"/>
      <c r="B26" s="40"/>
    </row>
    <row r="27" spans="1:19">
      <c r="B27" s="40"/>
    </row>
    <row r="28" spans="1:19" ht="15">
      <c r="A28" s="1" t="s">
        <v>268</v>
      </c>
    </row>
    <row r="30" spans="1:19" ht="25.5">
      <c r="A30" s="47" t="s">
        <v>269</v>
      </c>
      <c r="B30" s="48" t="s">
        <v>258</v>
      </c>
      <c r="C30" s="45">
        <f>Samlet!E29 *1000</f>
        <v>40000</v>
      </c>
      <c r="D30" s="46" t="s">
        <v>263</v>
      </c>
      <c r="F30" s="60" t="s">
        <v>247</v>
      </c>
    </row>
    <row r="31" spans="1:19" ht="15">
      <c r="A31" s="47" t="s">
        <v>266</v>
      </c>
      <c r="B31" s="48" t="s">
        <v>259</v>
      </c>
      <c r="C31" s="89">
        <v>0.3</v>
      </c>
      <c r="D31" s="46" t="s">
        <v>265</v>
      </c>
    </row>
    <row r="32" spans="1:19" ht="15">
      <c r="A32" s="47" t="s">
        <v>225</v>
      </c>
      <c r="B32" s="48" t="s">
        <v>201</v>
      </c>
      <c r="C32" s="89">
        <v>1.5713999999999999</v>
      </c>
      <c r="D32" s="46" t="s">
        <v>212</v>
      </c>
    </row>
    <row r="33" spans="1:6" ht="15">
      <c r="A33" s="47" t="s">
        <v>226</v>
      </c>
      <c r="B33" s="48" t="s">
        <v>200</v>
      </c>
      <c r="C33" s="89">
        <v>7.4999999999999997E-3</v>
      </c>
      <c r="D33" s="46" t="s">
        <v>227</v>
      </c>
      <c r="F33" t="s">
        <v>244</v>
      </c>
    </row>
    <row r="34" spans="1:6" ht="26.25">
      <c r="A34" s="47" t="s">
        <v>267</v>
      </c>
      <c r="B34" s="48" t="s">
        <v>260</v>
      </c>
      <c r="C34" s="89">
        <v>0.01</v>
      </c>
      <c r="D34" s="46" t="s">
        <v>227</v>
      </c>
    </row>
    <row r="35" spans="1:6" ht="15">
      <c r="A35" s="47" t="s">
        <v>217</v>
      </c>
      <c r="B35" s="59" t="s">
        <v>206</v>
      </c>
      <c r="C35" s="89">
        <v>296</v>
      </c>
      <c r="D35" s="51" t="s">
        <v>212</v>
      </c>
    </row>
    <row r="36" spans="1:6">
      <c r="A36" s="47" t="s">
        <v>264</v>
      </c>
      <c r="B36" s="48" t="s">
        <v>257</v>
      </c>
      <c r="C36" s="45">
        <f>N_cons_settlement*EF_N2O_mineral_fertilser*N2O_Atomic_weight</f>
        <v>628.55999999999995</v>
      </c>
      <c r="D36" s="46" t="s">
        <v>263</v>
      </c>
    </row>
    <row r="37" spans="1:6" ht="38.25">
      <c r="A37" s="47" t="s">
        <v>262</v>
      </c>
      <c r="B37" s="48" t="s">
        <v>256</v>
      </c>
      <c r="C37" s="45">
        <f>N2O_sett_fert*GWP_N2O+N_cons_settlement*EF_leaching_inorganic_N*EF_N2O_leaching*N2O_Atomic_weight*GWP_N2O</f>
        <v>227915.85599999997</v>
      </c>
      <c r="D37" s="46" t="s">
        <v>261</v>
      </c>
      <c r="F37" s="60" t="s">
        <v>271</v>
      </c>
    </row>
    <row r="38" spans="1:6">
      <c r="B38" s="40"/>
    </row>
    <row r="39" spans="1:6" ht="15">
      <c r="A39" s="1" t="s">
        <v>272</v>
      </c>
      <c r="B39" s="40"/>
    </row>
    <row r="40" spans="1:6">
      <c r="B40" s="40"/>
    </row>
    <row r="41" spans="1:6" ht="25.5">
      <c r="A41" s="47" t="s">
        <v>279</v>
      </c>
      <c r="B41" s="48" t="s">
        <v>277</v>
      </c>
      <c r="C41" s="45">
        <f>Samlet!E31</f>
        <v>0</v>
      </c>
      <c r="D41" s="46" t="s">
        <v>278</v>
      </c>
      <c r="F41" s="60" t="s">
        <v>247</v>
      </c>
    </row>
    <row r="42" spans="1:6" ht="15">
      <c r="A42" s="47" t="s">
        <v>284</v>
      </c>
      <c r="B42" s="51" t="s">
        <v>282</v>
      </c>
      <c r="C42" s="89">
        <v>0.44</v>
      </c>
      <c r="D42" s="46" t="s">
        <v>283</v>
      </c>
    </row>
    <row r="43" spans="1:6" ht="15">
      <c r="A43" s="47" t="s">
        <v>281</v>
      </c>
      <c r="B43" s="48" t="s">
        <v>280</v>
      </c>
      <c r="C43" s="89">
        <v>0.5</v>
      </c>
      <c r="D43" s="46" t="s">
        <v>211</v>
      </c>
      <c r="F43" t="s">
        <v>248</v>
      </c>
    </row>
    <row r="44" spans="1:6" ht="15">
      <c r="A44" s="47" t="s">
        <v>276</v>
      </c>
      <c r="B44" s="48" t="s">
        <v>275</v>
      </c>
      <c r="C44" s="89">
        <v>0.7</v>
      </c>
      <c r="D44" s="46" t="s">
        <v>212</v>
      </c>
    </row>
    <row r="45" spans="1:6" ht="25.5">
      <c r="A45" s="47" t="s">
        <v>274</v>
      </c>
      <c r="B45" s="48" t="s">
        <v>273</v>
      </c>
      <c r="C45" s="45">
        <f>Lime_cons_settlement*Lime_purity_sett*CO2_lime_leached*EF_limestone</f>
        <v>0</v>
      </c>
      <c r="D45" s="46" t="s">
        <v>218</v>
      </c>
      <c r="F45" t="s">
        <v>285</v>
      </c>
    </row>
    <row r="46" spans="1:6">
      <c r="A46" s="36"/>
      <c r="B46" s="40"/>
      <c r="C46" s="41"/>
      <c r="D46" s="39"/>
    </row>
    <row r="47" spans="1:6" ht="15">
      <c r="A47" s="1" t="s">
        <v>309</v>
      </c>
      <c r="B47" s="40"/>
      <c r="C47" s="41"/>
      <c r="D47" s="39"/>
    </row>
    <row r="48" spans="1:6">
      <c r="A48" s="36"/>
      <c r="B48" s="40"/>
      <c r="C48" s="41"/>
      <c r="D48" s="39"/>
    </row>
    <row r="49" spans="1:6">
      <c r="A49" s="47" t="s">
        <v>293</v>
      </c>
      <c r="B49" s="48" t="s">
        <v>292</v>
      </c>
      <c r="C49" s="45">
        <f>Samlet!E30</f>
        <v>0</v>
      </c>
      <c r="D49" s="46" t="s">
        <v>55</v>
      </c>
      <c r="F49" s="60" t="s">
        <v>270</v>
      </c>
    </row>
    <row r="50" spans="1:6" ht="15">
      <c r="A50" s="47" t="s">
        <v>308</v>
      </c>
      <c r="B50" s="48" t="s">
        <v>307</v>
      </c>
      <c r="C50" s="89">
        <v>0.01</v>
      </c>
      <c r="D50" s="46" t="s">
        <v>227</v>
      </c>
    </row>
    <row r="51" spans="1:6" ht="15">
      <c r="A51" s="47" t="s">
        <v>225</v>
      </c>
      <c r="B51" s="48" t="s">
        <v>201</v>
      </c>
      <c r="C51" s="89">
        <v>1.5713999999999999</v>
      </c>
      <c r="D51" s="46" t="s">
        <v>212</v>
      </c>
    </row>
    <row r="52" spans="1:6" ht="15">
      <c r="A52" s="47" t="s">
        <v>302</v>
      </c>
      <c r="B52" s="48" t="s">
        <v>294</v>
      </c>
      <c r="C52" s="89">
        <v>200</v>
      </c>
      <c r="D52" s="46" t="s">
        <v>299</v>
      </c>
    </row>
    <row r="53" spans="1:6" ht="15">
      <c r="A53" s="47" t="s">
        <v>303</v>
      </c>
      <c r="B53" s="48" t="s">
        <v>295</v>
      </c>
      <c r="C53" s="89">
        <v>0.5</v>
      </c>
      <c r="D53" s="46" t="s">
        <v>211</v>
      </c>
    </row>
    <row r="54" spans="1:6" ht="15">
      <c r="A54" s="47" t="s">
        <v>304</v>
      </c>
      <c r="B54" s="48" t="s">
        <v>296</v>
      </c>
      <c r="C54" s="89">
        <v>0.02</v>
      </c>
      <c r="D54" s="46" t="s">
        <v>211</v>
      </c>
      <c r="F54" t="s">
        <v>248</v>
      </c>
    </row>
    <row r="55" spans="1:6" ht="15">
      <c r="A55" s="47" t="s">
        <v>305</v>
      </c>
      <c r="B55" s="48" t="s">
        <v>297</v>
      </c>
      <c r="C55" s="89">
        <v>0.57999999999999996</v>
      </c>
      <c r="D55" s="46" t="s">
        <v>300</v>
      </c>
    </row>
    <row r="56" spans="1:6" ht="15">
      <c r="A56" s="47" t="s">
        <v>306</v>
      </c>
      <c r="B56" s="48" t="s">
        <v>298</v>
      </c>
      <c r="C56" s="89">
        <v>1E-4</v>
      </c>
      <c r="D56" s="46" t="s">
        <v>301</v>
      </c>
    </row>
    <row r="57" spans="1:6" ht="15">
      <c r="A57" s="47" t="s">
        <v>217</v>
      </c>
      <c r="B57" s="59" t="s">
        <v>206</v>
      </c>
      <c r="C57" s="89">
        <v>296</v>
      </c>
      <c r="D57" s="51" t="s">
        <v>212</v>
      </c>
    </row>
    <row r="58" spans="1:6" ht="15">
      <c r="A58" s="44" t="s">
        <v>224</v>
      </c>
      <c r="B58" s="48" t="s">
        <v>199</v>
      </c>
      <c r="C58" s="89">
        <f>44/12</f>
        <v>3.6666666666666665</v>
      </c>
      <c r="D58" s="46" t="s">
        <v>212</v>
      </c>
    </row>
    <row r="59" spans="1:6">
      <c r="A59" s="47" t="s">
        <v>291</v>
      </c>
      <c r="B59" s="48" t="s">
        <v>290</v>
      </c>
      <c r="C59" s="45">
        <f>(SP_municipality_m3)*Spagnum_density*Spagnum_dry_matter*Spagnum_C_fraction*(1-Spagnum_ash_content)*C_CO2_conversion</f>
        <v>0</v>
      </c>
      <c r="D59" s="46" t="s">
        <v>210</v>
      </c>
    </row>
    <row r="60" spans="1:6">
      <c r="A60" s="47" t="s">
        <v>289</v>
      </c>
      <c r="B60" s="48" t="s">
        <v>288</v>
      </c>
      <c r="C60" s="45">
        <f>(SP_municipality_m3)*Spagnum_density*Spagnum_dry_matter*(1-Spagnum_ash_content)*Spagnum_N_fraction*EF_N2O_other_nitrogen*N2O_Atomic_weight</f>
        <v>0</v>
      </c>
      <c r="D60" s="46" t="s">
        <v>219</v>
      </c>
      <c r="F60" t="s">
        <v>285</v>
      </c>
    </row>
    <row r="61" spans="1:6">
      <c r="A61" s="47" t="s">
        <v>287</v>
      </c>
      <c r="B61" s="48" t="s">
        <v>286</v>
      </c>
      <c r="C61" s="45">
        <f>CO2_SP+N2O_SP*GWP_N2O</f>
        <v>0</v>
      </c>
      <c r="D61" s="46" t="s">
        <v>221</v>
      </c>
    </row>
    <row r="63" spans="1:6" ht="15">
      <c r="A63" s="1" t="s">
        <v>180</v>
      </c>
    </row>
    <row r="65" spans="1:6">
      <c r="A65" s="47" t="s">
        <v>181</v>
      </c>
      <c r="B65" s="48" t="s">
        <v>189</v>
      </c>
      <c r="C65" s="45">
        <f>'Natur og Miljø'!E31</f>
        <v>0</v>
      </c>
      <c r="D65" s="46" t="s">
        <v>45</v>
      </c>
    </row>
    <row r="66" spans="1:6">
      <c r="A66" s="47" t="s">
        <v>182</v>
      </c>
      <c r="B66" s="48" t="s">
        <v>190</v>
      </c>
      <c r="C66" s="45">
        <f>'Natur og Miljø'!E32</f>
        <v>220</v>
      </c>
      <c r="D66" s="46" t="s">
        <v>45</v>
      </c>
    </row>
    <row r="67" spans="1:6" ht="25.5">
      <c r="A67" s="47" t="s">
        <v>88</v>
      </c>
      <c r="B67" s="48" t="s">
        <v>191</v>
      </c>
      <c r="C67" s="45">
        <f>'Natur og Miljø'!E33</f>
        <v>253</v>
      </c>
      <c r="D67" s="46" t="s">
        <v>45</v>
      </c>
      <c r="F67" t="s">
        <v>247</v>
      </c>
    </row>
    <row r="68" spans="1:6">
      <c r="A68" s="47" t="s">
        <v>89</v>
      </c>
      <c r="B68" s="48" t="s">
        <v>192</v>
      </c>
      <c r="C68" s="45">
        <f>'Natur og Miljø'!E34</f>
        <v>146</v>
      </c>
      <c r="D68" s="46" t="s">
        <v>45</v>
      </c>
    </row>
    <row r="69" spans="1:6" ht="25.5">
      <c r="A69" s="47" t="s">
        <v>183</v>
      </c>
      <c r="B69" s="48" t="s">
        <v>193</v>
      </c>
      <c r="C69" s="45">
        <f>'Natur og Miljø'!E35</f>
        <v>204</v>
      </c>
      <c r="D69" s="46" t="s">
        <v>45</v>
      </c>
    </row>
    <row r="70" spans="1:6" ht="15">
      <c r="A70" s="47" t="s">
        <v>184</v>
      </c>
      <c r="B70" s="48" t="s">
        <v>194</v>
      </c>
      <c r="C70" s="89">
        <v>20</v>
      </c>
      <c r="D70" s="46" t="s">
        <v>222</v>
      </c>
    </row>
    <row r="71" spans="1:6" ht="15">
      <c r="A71" s="47" t="s">
        <v>185</v>
      </c>
      <c r="B71" s="48" t="s">
        <v>195</v>
      </c>
      <c r="C71" s="89">
        <v>2</v>
      </c>
      <c r="D71" s="46" t="s">
        <v>222</v>
      </c>
    </row>
    <row r="72" spans="1:6" ht="15">
      <c r="A72" s="47" t="s">
        <v>186</v>
      </c>
      <c r="B72" s="50" t="s">
        <v>196</v>
      </c>
      <c r="C72" s="89">
        <v>3500</v>
      </c>
      <c r="D72" s="46" t="s">
        <v>223</v>
      </c>
    </row>
    <row r="73" spans="1:6" ht="15" customHeight="1">
      <c r="A73" s="47" t="s">
        <v>187</v>
      </c>
      <c r="B73" s="50" t="s">
        <v>197</v>
      </c>
      <c r="C73" s="89">
        <v>500</v>
      </c>
      <c r="D73" s="46" t="s">
        <v>223</v>
      </c>
    </row>
    <row r="74" spans="1:6" ht="15">
      <c r="A74" s="47" t="s">
        <v>188</v>
      </c>
      <c r="B74" s="48" t="s">
        <v>198</v>
      </c>
      <c r="C74" s="89">
        <v>269</v>
      </c>
      <c r="D74" s="46" t="s">
        <v>233</v>
      </c>
    </row>
    <row r="75" spans="1:6" ht="15">
      <c r="A75" s="44" t="s">
        <v>224</v>
      </c>
      <c r="B75" s="48" t="s">
        <v>199</v>
      </c>
      <c r="C75" s="89">
        <f>44/12</f>
        <v>3.6666666666666665</v>
      </c>
      <c r="D75" s="46" t="s">
        <v>212</v>
      </c>
      <c r="F75" t="s">
        <v>248</v>
      </c>
    </row>
    <row r="76" spans="1:6" ht="15">
      <c r="A76" s="47" t="s">
        <v>230</v>
      </c>
      <c r="B76" s="48" t="s">
        <v>202</v>
      </c>
      <c r="C76" s="89">
        <v>15</v>
      </c>
      <c r="D76" s="46" t="s">
        <v>231</v>
      </c>
    </row>
    <row r="77" spans="1:6" ht="15">
      <c r="A77" s="47" t="s">
        <v>228</v>
      </c>
      <c r="B77" s="48" t="s">
        <v>203</v>
      </c>
      <c r="C77" s="89">
        <v>0.01</v>
      </c>
      <c r="D77" s="46" t="s">
        <v>229</v>
      </c>
    </row>
    <row r="78" spans="1:6" ht="15">
      <c r="A78" s="47" t="s">
        <v>226</v>
      </c>
      <c r="B78" s="48" t="s">
        <v>200</v>
      </c>
      <c r="C78" s="89">
        <f>IF(        ISERROR(FIND("2006:",$P78,1)),      $P78,   VALUE(MID($P78,FIND("2006:",$P78,1)+5,15))          )</f>
        <v>0</v>
      </c>
      <c r="D78" s="46" t="s">
        <v>227</v>
      </c>
    </row>
    <row r="79" spans="1:6" ht="15">
      <c r="A79" s="47" t="s">
        <v>225</v>
      </c>
      <c r="B79" s="48" t="s">
        <v>201</v>
      </c>
      <c r="C79" s="89">
        <f>IF(        ISERROR(FIND("2006:",$P79,1)),      $P79,   VALUE(MID($P79,FIND("2006:",$P79,1)+5,15))          )</f>
        <v>0</v>
      </c>
      <c r="D79" s="46" t="s">
        <v>212</v>
      </c>
    </row>
    <row r="80" spans="1:6" ht="15">
      <c r="A80" s="47" t="s">
        <v>217</v>
      </c>
      <c r="B80" s="48" t="s">
        <v>206</v>
      </c>
      <c r="C80" s="89">
        <v>296</v>
      </c>
      <c r="D80" s="51" t="s">
        <v>212</v>
      </c>
    </row>
    <row r="81" spans="1:6" ht="15">
      <c r="A81" s="47" t="s">
        <v>232</v>
      </c>
      <c r="B81" s="48" t="s">
        <v>207</v>
      </c>
      <c r="C81" s="89">
        <v>23</v>
      </c>
      <c r="D81" s="51" t="s">
        <v>212</v>
      </c>
    </row>
    <row r="82" spans="1:6">
      <c r="A82" s="47" t="s">
        <v>213</v>
      </c>
      <c r="B82" s="48" t="s">
        <v>204</v>
      </c>
      <c r="C82" s="45">
        <f>(-Wet_org_soil_ha *Wet_org_soil_EF -(Wet_agr_ha -Wet_agr_lake)*Wet_agr_om_buildup +(Wet_lake_after_ha -Wet_lake_before_ha )*Wet_agr_om_buildup )*C_CO2_conversion</f>
        <v>-2410833.333333333</v>
      </c>
      <c r="D82" s="46" t="s">
        <v>218</v>
      </c>
    </row>
    <row r="83" spans="1:6">
      <c r="A83" s="47" t="s">
        <v>214</v>
      </c>
      <c r="B83" s="48" t="s">
        <v>205</v>
      </c>
      <c r="C83" s="45">
        <f>((-Wet_org_soil_ha*Wet_org_soil_EF)/C_N_ratio*EF_N2O_org_soils)+(Wet_nitrogen_rem_total*EF_N2O_leaching*N2O_Atomic_weight/1000)</f>
        <v>-475.99682970049997</v>
      </c>
      <c r="D83" s="46" t="s">
        <v>219</v>
      </c>
      <c r="F83" t="s">
        <v>253</v>
      </c>
    </row>
    <row r="84" spans="1:6">
      <c r="A84" s="47" t="s">
        <v>215</v>
      </c>
      <c r="B84" s="48" t="s">
        <v>208</v>
      </c>
      <c r="C84" s="45">
        <f>((Wet_agr_ha-Wet_agr_lake+Wet_lake_before_ha-Wet_lake_after_ha)*Wet_CH4_soil_ha+(Wet_lake_before_ha-Wet_lake_after_ha)*Wet_CH4_lake_ha)/1000</f>
        <v>-2.7</v>
      </c>
      <c r="D84" s="46" t="s">
        <v>220</v>
      </c>
    </row>
    <row r="85" spans="1:6">
      <c r="A85" s="47" t="s">
        <v>216</v>
      </c>
      <c r="B85" s="48" t="s">
        <v>234</v>
      </c>
      <c r="C85" s="45">
        <f>CO2_wet+N2O_wet*GWP_N2O+CH4_wet*GWP_CH4</f>
        <v>-2551790.4949246813</v>
      </c>
      <c r="D85" s="46" t="s">
        <v>221</v>
      </c>
    </row>
    <row r="87" spans="1:6" ht="15">
      <c r="A87" s="56" t="s">
        <v>209</v>
      </c>
    </row>
    <row r="89" spans="1:6" ht="12.75" customHeight="1">
      <c r="A89" s="52" t="s">
        <v>209</v>
      </c>
      <c r="B89" s="52"/>
      <c r="C89" s="52" t="s">
        <v>246</v>
      </c>
      <c r="D89" s="52" t="s">
        <v>76</v>
      </c>
    </row>
    <row r="90" spans="1:6" ht="20.25" customHeight="1">
      <c r="A90" s="44" t="s">
        <v>95</v>
      </c>
      <c r="B90" s="49"/>
      <c r="C90" s="45">
        <f>'Natur og Miljø'!E37</f>
        <v>0</v>
      </c>
      <c r="D90" s="46" t="s">
        <v>45</v>
      </c>
    </row>
    <row r="91" spans="1:6" ht="22.5">
      <c r="A91" s="44" t="s">
        <v>92</v>
      </c>
      <c r="B91" s="49"/>
      <c r="C91" s="45">
        <f>'Natur og Miljø'!E38</f>
        <v>724</v>
      </c>
      <c r="D91" s="46" t="s">
        <v>45</v>
      </c>
      <c r="F91" t="s">
        <v>247</v>
      </c>
    </row>
    <row r="92" spans="1:6" ht="22.5">
      <c r="A92" s="44" t="s">
        <v>94</v>
      </c>
      <c r="B92" s="49"/>
      <c r="C92" s="45">
        <f>'Natur og Miljø'!E39</f>
        <v>0</v>
      </c>
      <c r="D92" s="46" t="s">
        <v>45</v>
      </c>
    </row>
    <row r="93" spans="1:6" ht="22.5">
      <c r="A93" s="44" t="s">
        <v>93</v>
      </c>
      <c r="B93" s="49"/>
      <c r="C93" s="45">
        <f>'Natur og Miljø'!E40</f>
        <v>0</v>
      </c>
      <c r="D93" s="46" t="s">
        <v>45</v>
      </c>
    </row>
    <row r="94" spans="1:6">
      <c r="A94" s="53" t="s">
        <v>235</v>
      </c>
      <c r="B94" s="54" t="s">
        <v>236</v>
      </c>
      <c r="C94" s="55" t="s">
        <v>241</v>
      </c>
      <c r="D94" s="54" t="s">
        <v>76</v>
      </c>
    </row>
    <row r="95" spans="1:6" ht="23.25">
      <c r="A95" s="43" t="s">
        <v>237</v>
      </c>
      <c r="B95" s="44" t="s">
        <v>238</v>
      </c>
      <c r="C95" s="89">
        <v>-31.9</v>
      </c>
      <c r="D95" s="46" t="s">
        <v>240</v>
      </c>
    </row>
    <row r="96" spans="1:6" ht="23.25">
      <c r="A96" s="43" t="s">
        <v>239</v>
      </c>
      <c r="B96" s="44" t="s">
        <v>238</v>
      </c>
      <c r="C96" s="89">
        <v>-17.5</v>
      </c>
      <c r="D96" s="46" t="s">
        <v>240</v>
      </c>
      <c r="F96" t="s">
        <v>248</v>
      </c>
    </row>
    <row r="97" spans="1:6" ht="23.25">
      <c r="A97" s="43" t="s">
        <v>242</v>
      </c>
      <c r="B97" s="44" t="s">
        <v>238</v>
      </c>
      <c r="C97" s="89">
        <v>-31.2</v>
      </c>
      <c r="D97" s="46" t="s">
        <v>240</v>
      </c>
    </row>
    <row r="98" spans="1:6" ht="23.25">
      <c r="A98" s="43" t="s">
        <v>243</v>
      </c>
      <c r="B98" s="44" t="s">
        <v>238</v>
      </c>
      <c r="C98" s="89">
        <v>-16.8</v>
      </c>
      <c r="D98" s="46" t="s">
        <v>240</v>
      </c>
    </row>
    <row r="99" spans="1:6">
      <c r="A99" s="52" t="s">
        <v>209</v>
      </c>
      <c r="B99" s="52"/>
      <c r="C99" s="52" t="s">
        <v>241</v>
      </c>
      <c r="D99" s="52" t="s">
        <v>76</v>
      </c>
    </row>
    <row r="100" spans="1:6">
      <c r="A100" s="44" t="s">
        <v>95</v>
      </c>
      <c r="B100" s="4"/>
      <c r="C100" s="45">
        <f>C90*C95</f>
        <v>0</v>
      </c>
      <c r="D100" s="46" t="s">
        <v>245</v>
      </c>
    </row>
    <row r="101" spans="1:6" ht="22.5">
      <c r="A101" s="44" t="s">
        <v>92</v>
      </c>
      <c r="B101" s="4"/>
      <c r="C101" s="45">
        <f>C91*C96</f>
        <v>-12670</v>
      </c>
      <c r="D101" s="46" t="s">
        <v>245</v>
      </c>
      <c r="F101" t="s">
        <v>255</v>
      </c>
    </row>
    <row r="102" spans="1:6" ht="22.5">
      <c r="A102" s="44" t="s">
        <v>94</v>
      </c>
      <c r="B102" s="4"/>
      <c r="C102" s="45">
        <f>C92*C97</f>
        <v>0</v>
      </c>
      <c r="D102" s="46" t="s">
        <v>245</v>
      </c>
    </row>
    <row r="103" spans="1:6" ht="22.5">
      <c r="A103" s="44" t="s">
        <v>93</v>
      </c>
      <c r="B103" s="4"/>
      <c r="C103" s="45">
        <f>C93*C98</f>
        <v>0</v>
      </c>
      <c r="D103" s="46" t="s">
        <v>245</v>
      </c>
    </row>
    <row r="104" spans="1:6">
      <c r="A104" s="44" t="s">
        <v>254</v>
      </c>
      <c r="B104" s="4"/>
      <c r="C104" s="45">
        <f>SUM(C100:C103)</f>
        <v>-12670</v>
      </c>
      <c r="D104" s="46" t="s">
        <v>245</v>
      </c>
    </row>
    <row r="105" spans="1:6" ht="15">
      <c r="A105" s="1"/>
      <c r="B105" s="35"/>
      <c r="C105" s="37"/>
      <c r="D105" s="39"/>
    </row>
    <row r="106" spans="1:6" ht="15">
      <c r="A106" s="1" t="s">
        <v>81</v>
      </c>
      <c r="C106" s="37"/>
      <c r="D106" s="39"/>
    </row>
    <row r="107" spans="1:6">
      <c r="A107">
        <v>1</v>
      </c>
      <c r="B107" t="s">
        <v>82</v>
      </c>
      <c r="C107" s="37"/>
      <c r="D107" s="39"/>
    </row>
    <row r="108" spans="1:6">
      <c r="A108">
        <v>2</v>
      </c>
      <c r="B108" t="s">
        <v>83</v>
      </c>
      <c r="C108" s="37"/>
      <c r="D108" s="39"/>
    </row>
    <row r="109" spans="1:6">
      <c r="A109">
        <v>3</v>
      </c>
      <c r="B109" t="s">
        <v>0</v>
      </c>
      <c r="C109" s="41"/>
      <c r="D109" s="39"/>
    </row>
    <row r="110" spans="1:6">
      <c r="A110">
        <v>4</v>
      </c>
      <c r="B110" t="s">
        <v>1</v>
      </c>
      <c r="C110" s="37"/>
      <c r="D110" s="39"/>
    </row>
    <row r="111" spans="1:6">
      <c r="A111">
        <v>5</v>
      </c>
      <c r="B111" t="s">
        <v>2</v>
      </c>
      <c r="C111" s="37"/>
      <c r="D111" s="39"/>
    </row>
    <row r="112" spans="1:6">
      <c r="A112">
        <v>6</v>
      </c>
      <c r="B112" t="s">
        <v>327</v>
      </c>
      <c r="C112" s="37"/>
      <c r="D112" s="39"/>
    </row>
    <row r="113" spans="1:4">
      <c r="A113">
        <v>7</v>
      </c>
      <c r="B113" t="s">
        <v>3</v>
      </c>
      <c r="C113" s="37"/>
      <c r="D113" s="39"/>
    </row>
    <row r="114" spans="1:4">
      <c r="A114">
        <v>8</v>
      </c>
      <c r="B114" t="s">
        <v>4</v>
      </c>
      <c r="C114" s="37"/>
      <c r="D114" s="39"/>
    </row>
    <row r="115" spans="1:4">
      <c r="A115">
        <v>9</v>
      </c>
      <c r="B115" t="s">
        <v>5</v>
      </c>
      <c r="C115" s="37"/>
      <c r="D115" s="42"/>
    </row>
    <row r="116" spans="1:4">
      <c r="A116">
        <v>10</v>
      </c>
      <c r="B116" t="s">
        <v>6</v>
      </c>
      <c r="C116" s="37"/>
      <c r="D116" s="39"/>
    </row>
    <row r="117" spans="1:4">
      <c r="A117">
        <v>11</v>
      </c>
      <c r="B117" t="s">
        <v>7</v>
      </c>
      <c r="C117" s="41"/>
      <c r="D117" s="39"/>
    </row>
    <row r="118" spans="1:4">
      <c r="A118">
        <v>12</v>
      </c>
      <c r="B118" t="s">
        <v>8</v>
      </c>
      <c r="C118" s="37"/>
      <c r="D118" s="39"/>
    </row>
    <row r="119" spans="1:4">
      <c r="A119">
        <v>13</v>
      </c>
      <c r="B119" t="s">
        <v>9</v>
      </c>
      <c r="C119" s="37"/>
      <c r="D119" s="39"/>
    </row>
    <row r="120" spans="1:4">
      <c r="A120">
        <v>14</v>
      </c>
      <c r="B120" t="s">
        <v>10</v>
      </c>
      <c r="C120" s="37"/>
      <c r="D120" s="39"/>
    </row>
    <row r="121" spans="1:4">
      <c r="A121">
        <v>15</v>
      </c>
      <c r="B121" t="s">
        <v>11</v>
      </c>
      <c r="C121" s="37"/>
      <c r="D121" s="39"/>
    </row>
    <row r="122" spans="1:4">
      <c r="C122" s="37"/>
      <c r="D122" s="39"/>
    </row>
    <row r="123" spans="1:4">
      <c r="C123" s="37"/>
      <c r="D123" s="39"/>
    </row>
    <row r="124" spans="1:4">
      <c r="A124" s="36"/>
      <c r="B124" s="35"/>
      <c r="C124" s="37"/>
      <c r="D124" s="39"/>
    </row>
    <row r="125" spans="1:4">
      <c r="A125" s="36"/>
      <c r="B125" s="35"/>
      <c r="C125" s="37"/>
      <c r="D125" s="39"/>
    </row>
    <row r="126" spans="1:4">
      <c r="A126" s="36"/>
      <c r="B126" s="35"/>
      <c r="C126" s="37"/>
      <c r="D126" s="39"/>
    </row>
    <row r="127" spans="1:4">
      <c r="A127" s="36"/>
      <c r="B127" s="35"/>
      <c r="C127" s="37"/>
      <c r="D127" s="39"/>
    </row>
  </sheetData>
  <mergeCells count="23">
    <mergeCell ref="J6:N11"/>
    <mergeCell ref="E21:H21"/>
    <mergeCell ref="E11:H11"/>
    <mergeCell ref="E12:H12"/>
    <mergeCell ref="E13:H13"/>
    <mergeCell ref="E14:H14"/>
    <mergeCell ref="E8:H8"/>
    <mergeCell ref="E9:H9"/>
    <mergeCell ref="E25:H25"/>
    <mergeCell ref="E23:H23"/>
    <mergeCell ref="E4:H4"/>
    <mergeCell ref="E17:H17"/>
    <mergeCell ref="E18:H18"/>
    <mergeCell ref="E19:H19"/>
    <mergeCell ref="E10:H10"/>
    <mergeCell ref="E5:H5"/>
    <mergeCell ref="E6:H6"/>
    <mergeCell ref="E7:H7"/>
    <mergeCell ref="E24:H24"/>
    <mergeCell ref="E15:H15"/>
    <mergeCell ref="E16:H16"/>
    <mergeCell ref="E22:H22"/>
    <mergeCell ref="E20:H20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G9" sqref="G9"/>
    </sheetView>
  </sheetViews>
  <sheetFormatPr defaultRowHeight="14.25"/>
  <cols>
    <col min="1" max="3" width="24" customWidth="1"/>
    <col min="4" max="4" width="35.25" customWidth="1"/>
    <col min="5" max="5" width="9.875" customWidth="1"/>
    <col min="6" max="6" width="13.75" bestFit="1" customWidth="1"/>
  </cols>
  <sheetData>
    <row r="1" spans="1:6" ht="15">
      <c r="A1" s="1" t="s">
        <v>354</v>
      </c>
      <c r="B1" s="1"/>
      <c r="C1" s="1"/>
    </row>
    <row r="2" spans="1:6" ht="15">
      <c r="A2" s="1" t="s">
        <v>134</v>
      </c>
      <c r="B2" s="1"/>
      <c r="C2" s="1"/>
    </row>
    <row r="4" spans="1:6" ht="15">
      <c r="A4" s="1" t="s">
        <v>365</v>
      </c>
      <c r="B4" s="1"/>
      <c r="C4" s="1"/>
      <c r="D4" s="1"/>
    </row>
    <row r="5" spans="1:6">
      <c r="D5" s="31"/>
    </row>
    <row r="6" spans="1:6" ht="15">
      <c r="A6" s="104" t="s">
        <v>356</v>
      </c>
      <c r="B6" s="104" t="s">
        <v>359</v>
      </c>
      <c r="C6" s="104" t="s">
        <v>357</v>
      </c>
      <c r="D6" s="105" t="s">
        <v>362</v>
      </c>
      <c r="E6" s="104" t="s">
        <v>135</v>
      </c>
      <c r="F6" s="104" t="s">
        <v>136</v>
      </c>
    </row>
    <row r="7" spans="1:6" ht="28.5">
      <c r="A7" s="111" t="s">
        <v>137</v>
      </c>
      <c r="B7" s="111"/>
      <c r="C7" s="112" t="s">
        <v>366</v>
      </c>
      <c r="D7" s="112" t="s">
        <v>363</v>
      </c>
      <c r="E7" s="112"/>
      <c r="F7" s="113" t="s">
        <v>348</v>
      </c>
    </row>
    <row r="8" spans="1:6">
      <c r="A8" s="111" t="s">
        <v>364</v>
      </c>
      <c r="B8" s="111" t="s">
        <v>360</v>
      </c>
      <c r="C8" s="111" t="s">
        <v>358</v>
      </c>
      <c r="D8" s="111" t="s">
        <v>367</v>
      </c>
      <c r="E8" s="112">
        <v>89471301</v>
      </c>
      <c r="F8" s="113" t="s">
        <v>361</v>
      </c>
    </row>
    <row r="9" spans="1:6" ht="32.25" customHeight="1">
      <c r="A9" t="s">
        <v>368</v>
      </c>
      <c r="B9" t="s">
        <v>360</v>
      </c>
      <c r="C9" s="31" t="s">
        <v>138</v>
      </c>
      <c r="E9" s="31">
        <v>89471075</v>
      </c>
      <c r="F9" s="32"/>
    </row>
    <row r="10" spans="1:6" ht="28.5">
      <c r="A10" t="s">
        <v>139</v>
      </c>
      <c r="B10" t="s">
        <v>369</v>
      </c>
      <c r="D10" s="33" t="s">
        <v>140</v>
      </c>
      <c r="E10" s="31"/>
    </row>
    <row r="11" spans="1:6" ht="28.5">
      <c r="A11" t="s">
        <v>141</v>
      </c>
      <c r="B11" t="s">
        <v>369</v>
      </c>
      <c r="D11" s="31" t="s">
        <v>142</v>
      </c>
      <c r="E11" s="31">
        <v>29209447</v>
      </c>
      <c r="F11" s="32" t="s">
        <v>143</v>
      </c>
    </row>
    <row r="12" spans="1:6" ht="28.5">
      <c r="A12" t="s">
        <v>144</v>
      </c>
      <c r="B12" t="s">
        <v>369</v>
      </c>
      <c r="D12" s="31" t="s">
        <v>142</v>
      </c>
      <c r="E12" s="31" t="s">
        <v>145</v>
      </c>
    </row>
    <row r="13" spans="1:6">
      <c r="A13" t="s">
        <v>146</v>
      </c>
      <c r="B13" t="s">
        <v>370</v>
      </c>
      <c r="D13" s="31"/>
      <c r="E13" s="31">
        <v>89401909</v>
      </c>
    </row>
    <row r="14" spans="1:6" ht="28.5">
      <c r="A14" t="s">
        <v>147</v>
      </c>
      <c r="B14" t="s">
        <v>370</v>
      </c>
      <c r="D14" s="31"/>
      <c r="E14" s="31" t="s">
        <v>148</v>
      </c>
      <c r="F14" s="32" t="s">
        <v>149</v>
      </c>
    </row>
    <row r="15" spans="1:6" ht="28.5">
      <c r="A15" t="s">
        <v>150</v>
      </c>
      <c r="B15" t="s">
        <v>370</v>
      </c>
      <c r="D15" s="31"/>
      <c r="E15" s="31" t="s">
        <v>151</v>
      </c>
    </row>
    <row r="16" spans="1:6" ht="28.5">
      <c r="A16" t="s">
        <v>152</v>
      </c>
      <c r="B16" t="s">
        <v>370</v>
      </c>
      <c r="D16" s="31"/>
      <c r="E16" s="31" t="s">
        <v>153</v>
      </c>
      <c r="F16" s="32" t="s">
        <v>154</v>
      </c>
    </row>
    <row r="17" spans="1:6" ht="28.5">
      <c r="A17" t="s">
        <v>155</v>
      </c>
      <c r="D17" s="31" t="s">
        <v>156</v>
      </c>
      <c r="E17" s="31"/>
    </row>
    <row r="18" spans="1:6">
      <c r="A18" t="s">
        <v>157</v>
      </c>
      <c r="B18" t="s">
        <v>371</v>
      </c>
      <c r="C18" t="s">
        <v>372</v>
      </c>
      <c r="D18" s="31" t="s">
        <v>373</v>
      </c>
      <c r="E18" s="31">
        <v>89404444</v>
      </c>
    </row>
    <row r="19" spans="1:6" ht="28.5">
      <c r="A19" t="s">
        <v>374</v>
      </c>
      <c r="B19" s="31" t="s">
        <v>375</v>
      </c>
      <c r="D19" s="31" t="s">
        <v>376</v>
      </c>
      <c r="E19" s="31">
        <v>89401569</v>
      </c>
      <c r="F19" s="32" t="s">
        <v>377</v>
      </c>
    </row>
    <row r="20" spans="1:6" ht="28.5">
      <c r="A20" s="31" t="s">
        <v>378</v>
      </c>
      <c r="B20" s="31" t="s">
        <v>375</v>
      </c>
      <c r="D20" s="31" t="s">
        <v>376</v>
      </c>
      <c r="E20" s="31">
        <v>89401566</v>
      </c>
      <c r="F20" s="34" t="s">
        <v>379</v>
      </c>
    </row>
    <row r="21" spans="1:6">
      <c r="A21" t="s">
        <v>159</v>
      </c>
      <c r="C21" s="31" t="s">
        <v>160</v>
      </c>
      <c r="E21" s="31"/>
    </row>
    <row r="22" spans="1:6" ht="42.75">
      <c r="A22" t="s">
        <v>380</v>
      </c>
      <c r="C22" s="31" t="s">
        <v>161</v>
      </c>
      <c r="D22" s="31" t="s">
        <v>381</v>
      </c>
      <c r="E22" s="31" t="s">
        <v>162</v>
      </c>
      <c r="F22" s="32" t="s">
        <v>163</v>
      </c>
    </row>
    <row r="23" spans="1:6">
      <c r="A23" t="s">
        <v>164</v>
      </c>
      <c r="C23" s="31" t="s">
        <v>382</v>
      </c>
      <c r="D23" s="31" t="s">
        <v>165</v>
      </c>
      <c r="E23" s="31">
        <v>89404434</v>
      </c>
    </row>
    <row r="24" spans="1:6">
      <c r="A24" t="s">
        <v>166</v>
      </c>
      <c r="B24" t="s">
        <v>383</v>
      </c>
      <c r="D24" s="31"/>
      <c r="E24" s="31"/>
    </row>
    <row r="25" spans="1:6">
      <c r="A25" t="s">
        <v>167</v>
      </c>
      <c r="B25" s="31" t="s">
        <v>104</v>
      </c>
      <c r="D25" s="31" t="s">
        <v>384</v>
      </c>
      <c r="E25" s="31">
        <v>20605269</v>
      </c>
    </row>
    <row r="26" spans="1:6">
      <c r="A26" t="s">
        <v>349</v>
      </c>
      <c r="B26" s="31" t="s">
        <v>104</v>
      </c>
      <c r="D26" s="31" t="s">
        <v>385</v>
      </c>
      <c r="E26" s="31">
        <v>40625207</v>
      </c>
      <c r="F26" s="32" t="s">
        <v>350</v>
      </c>
    </row>
    <row r="27" spans="1:6">
      <c r="A27" t="s">
        <v>168</v>
      </c>
      <c r="D27" s="31" t="s">
        <v>169</v>
      </c>
      <c r="E27" s="31">
        <v>89406529</v>
      </c>
    </row>
    <row r="28" spans="1:6">
      <c r="A28" t="s">
        <v>170</v>
      </c>
      <c r="D28" s="31" t="s">
        <v>171</v>
      </c>
      <c r="E28" s="31">
        <v>89406530</v>
      </c>
    </row>
    <row r="29" spans="1:6">
      <c r="A29" t="s">
        <v>172</v>
      </c>
      <c r="D29" s="31" t="s">
        <v>158</v>
      </c>
      <c r="E29" s="31">
        <v>89402404</v>
      </c>
    </row>
    <row r="30" spans="1:6" ht="28.5">
      <c r="A30" t="s">
        <v>173</v>
      </c>
      <c r="D30" s="31" t="s">
        <v>158</v>
      </c>
      <c r="F30" s="34" t="s">
        <v>174</v>
      </c>
    </row>
    <row r="31" spans="1:6">
      <c r="A31" t="s">
        <v>175</v>
      </c>
      <c r="C31" t="s">
        <v>386</v>
      </c>
      <c r="D31" s="31" t="s">
        <v>387</v>
      </c>
      <c r="E31" s="31">
        <v>72409900</v>
      </c>
      <c r="F31" s="32" t="s">
        <v>351</v>
      </c>
    </row>
    <row r="32" spans="1:6">
      <c r="A32" t="s">
        <v>352</v>
      </c>
      <c r="C32" t="s">
        <v>386</v>
      </c>
      <c r="D32" s="31" t="s">
        <v>388</v>
      </c>
      <c r="E32" s="31">
        <v>41916061</v>
      </c>
      <c r="F32" s="32" t="s">
        <v>353</v>
      </c>
    </row>
    <row r="33" spans="4:5">
      <c r="D33" s="31"/>
      <c r="E33" s="31"/>
    </row>
    <row r="34" spans="4:5">
      <c r="D34" s="31"/>
      <c r="E34" s="31"/>
    </row>
    <row r="35" spans="4:5">
      <c r="D35" s="31"/>
      <c r="E35" s="31"/>
    </row>
    <row r="36" spans="4:5">
      <c r="D36" s="31"/>
    </row>
    <row r="37" spans="4:5">
      <c r="D37" s="31"/>
    </row>
    <row r="38" spans="4:5">
      <c r="D38" s="31"/>
    </row>
  </sheetData>
  <sheetProtection password="DA0D" sheet="1" objects="1" scenarios="1"/>
  <phoneticPr fontId="4" type="noConversion"/>
  <hyperlinks>
    <hyperlink ref="F11" r:id="rId1"/>
    <hyperlink ref="F14" r:id="rId2"/>
    <hyperlink ref="F16" r:id="rId3"/>
    <hyperlink ref="F22" r:id="rId4"/>
    <hyperlink ref="F30" r:id="rId5"/>
    <hyperlink ref="F7" r:id="rId6"/>
    <hyperlink ref="F32" r:id="rId7"/>
    <hyperlink ref="F31" r:id="rId8"/>
    <hyperlink ref="F26" r:id="rId9"/>
    <hyperlink ref="F8" r:id="rId10"/>
    <hyperlink ref="F20" r:id="rId11"/>
    <hyperlink ref="F19" r:id="rId12"/>
  </hyperlinks>
  <pageMargins left="0.7" right="0.7" top="0.75" bottom="0.75" header="0.3" footer="0.3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showGridLines="0" workbookViewId="0">
      <selection activeCell="F11" sqref="F11"/>
    </sheetView>
  </sheetViews>
  <sheetFormatPr defaultRowHeight="14.25"/>
  <cols>
    <col min="1" max="1" width="30.75" bestFit="1" customWidth="1"/>
    <col min="2" max="2" width="26.25" customWidth="1"/>
    <col min="3" max="3" width="13.875" customWidth="1"/>
    <col min="4" max="4" width="12.375" hidden="1" customWidth="1"/>
    <col min="5" max="5" width="14.625" customWidth="1"/>
    <col min="6" max="7" width="11.75" customWidth="1"/>
  </cols>
  <sheetData>
    <row r="1" spans="1:15" ht="57">
      <c r="A1" s="143" t="s">
        <v>120</v>
      </c>
      <c r="B1" s="144"/>
      <c r="C1" s="11" t="s">
        <v>76</v>
      </c>
      <c r="D1" s="6"/>
      <c r="E1" s="12" t="s">
        <v>77</v>
      </c>
      <c r="F1" s="7" t="s">
        <v>36</v>
      </c>
    </row>
    <row r="2" spans="1:15" ht="15">
      <c r="A2" s="14" t="s">
        <v>78</v>
      </c>
      <c r="B2" s="145" t="s">
        <v>24</v>
      </c>
      <c r="C2" s="146"/>
      <c r="D2" s="147"/>
      <c r="E2" s="4">
        <f>Konversionsfaktorer!C2</f>
        <v>2011</v>
      </c>
      <c r="F2" s="4"/>
    </row>
    <row r="3" spans="1:15">
      <c r="A3" s="9"/>
      <c r="B3" s="145" t="s">
        <v>79</v>
      </c>
      <c r="C3" s="146"/>
      <c r="D3" s="147"/>
      <c r="E3" s="4" t="str">
        <f ca="1">MID(CELL("filename",E3),FIND("]",CELL("filename",E3))+1,99)</f>
        <v>Børn og Unge</v>
      </c>
      <c r="F3" s="4"/>
    </row>
    <row r="4" spans="1:15">
      <c r="A4" s="6"/>
      <c r="B4" s="6"/>
      <c r="C4" s="6"/>
      <c r="D4" s="6"/>
      <c r="E4" s="6"/>
      <c r="F4" s="24"/>
    </row>
    <row r="5" spans="1:15" ht="15">
      <c r="A5" s="14" t="s">
        <v>25</v>
      </c>
      <c r="B5" s="4" t="s">
        <v>26</v>
      </c>
      <c r="C5" s="4" t="s">
        <v>48</v>
      </c>
      <c r="D5" s="4" t="str">
        <f>C5</f>
        <v>kWh (el)</v>
      </c>
      <c r="E5" s="101"/>
      <c r="F5" s="61">
        <f>E5*INDEX(Konversionsfaktorer!C$5:C$21,MATCH(D5,Konversionsfaktorer!A$5:A$21,0))</f>
        <v>0</v>
      </c>
      <c r="H5" s="70" t="s">
        <v>315</v>
      </c>
      <c r="I5" s="71"/>
      <c r="J5" s="71"/>
      <c r="K5" s="71"/>
      <c r="L5" s="71"/>
      <c r="M5" s="71"/>
      <c r="N5" s="71"/>
      <c r="O5" s="72"/>
    </row>
    <row r="6" spans="1:15" ht="15" customHeight="1">
      <c r="A6" s="9"/>
      <c r="B6" s="4" t="s">
        <v>28</v>
      </c>
      <c r="C6" s="4" t="s">
        <v>48</v>
      </c>
      <c r="D6" s="4" t="str">
        <f>C6</f>
        <v>kWh (el)</v>
      </c>
      <c r="E6" s="101"/>
      <c r="F6" s="61">
        <f>E6*INDEX(Konversionsfaktorer!C$5:C$21,MATCH(D6,Konversionsfaktorer!A$5:A$21,0))</f>
        <v>0</v>
      </c>
      <c r="H6" s="73"/>
      <c r="I6" s="74"/>
      <c r="J6" s="74"/>
      <c r="K6" s="74"/>
      <c r="L6" s="74"/>
      <c r="M6" s="74"/>
      <c r="N6" s="74"/>
      <c r="O6" s="24"/>
    </row>
    <row r="7" spans="1:15" ht="15">
      <c r="A7" s="9"/>
      <c r="B7" s="4" t="s">
        <v>98</v>
      </c>
      <c r="C7" s="4" t="s">
        <v>48</v>
      </c>
      <c r="D7" s="4" t="str">
        <f>C7</f>
        <v>kWh (el)</v>
      </c>
      <c r="E7" s="102"/>
      <c r="F7" s="61">
        <f>E7*INDEX(Konversionsfaktorer!C$5:C$21,MATCH(D7,Konversionsfaktorer!A$5:A$21,0))</f>
        <v>0</v>
      </c>
      <c r="H7" s="73" t="s">
        <v>316</v>
      </c>
      <c r="I7" s="74"/>
      <c r="J7" s="74"/>
      <c r="K7" s="74"/>
      <c r="L7" s="74"/>
      <c r="M7" s="74"/>
      <c r="N7" s="74"/>
      <c r="O7" s="24"/>
    </row>
    <row r="8" spans="1:15" ht="15">
      <c r="A8" s="10"/>
      <c r="B8" s="4" t="s">
        <v>34</v>
      </c>
      <c r="C8" s="4" t="s">
        <v>48</v>
      </c>
      <c r="D8" s="4" t="str">
        <f>C8</f>
        <v>kWh (el)</v>
      </c>
      <c r="E8" s="101">
        <f>1088436+2294+2674237+926281+1212849+56369+2201066+13313172</f>
        <v>21474704</v>
      </c>
      <c r="F8" s="61">
        <f>E8*INDEX(Konversionsfaktorer!C$5:C$21,MATCH(D8,Konversionsfaktorer!A$5:A$21,0))</f>
        <v>9556.2432799999988</v>
      </c>
      <c r="H8" s="73"/>
      <c r="I8" s="74"/>
      <c r="J8" s="74"/>
      <c r="K8" s="74"/>
      <c r="L8" s="74"/>
      <c r="M8" s="74"/>
      <c r="N8" s="74"/>
      <c r="O8" s="24"/>
    </row>
    <row r="9" spans="1:15" ht="15">
      <c r="A9" s="8"/>
      <c r="B9" s="8"/>
      <c r="C9" s="6"/>
      <c r="D9" s="6"/>
      <c r="E9" s="103"/>
      <c r="F9" s="62"/>
      <c r="H9" s="149" t="s">
        <v>318</v>
      </c>
      <c r="I9" s="150"/>
      <c r="J9" s="150"/>
      <c r="K9" s="150"/>
      <c r="L9" s="150"/>
      <c r="M9" s="150"/>
      <c r="N9" s="150"/>
      <c r="O9" s="151"/>
    </row>
    <row r="10" spans="1:15" ht="15">
      <c r="A10" s="14" t="s">
        <v>33</v>
      </c>
      <c r="B10" s="4" t="s">
        <v>29</v>
      </c>
      <c r="C10" s="4" t="s">
        <v>49</v>
      </c>
      <c r="D10" s="4" t="str">
        <f>C10</f>
        <v>kWh (fv)</v>
      </c>
      <c r="E10" s="101"/>
      <c r="F10" s="61">
        <v>11502</v>
      </c>
      <c r="H10" s="149"/>
      <c r="I10" s="150"/>
      <c r="J10" s="150"/>
      <c r="K10" s="150"/>
      <c r="L10" s="150"/>
      <c r="M10" s="150"/>
      <c r="N10" s="150"/>
      <c r="O10" s="151"/>
    </row>
    <row r="11" spans="1:15" ht="15">
      <c r="A11" s="9"/>
      <c r="B11" s="4" t="s">
        <v>35</v>
      </c>
      <c r="C11" s="4" t="s">
        <v>37</v>
      </c>
      <c r="D11" s="4" t="str">
        <f>B11&amp;" - "&amp;C11</f>
        <v>Fyringsolie - liter</v>
      </c>
      <c r="E11" s="101"/>
      <c r="F11" s="61">
        <f>E11*INDEX(Konversionsfaktorer!C$5:C$21,MATCH(D11,Konversionsfaktorer!A$5:A$21,0))</f>
        <v>0</v>
      </c>
      <c r="H11" s="149"/>
      <c r="I11" s="150"/>
      <c r="J11" s="150"/>
      <c r="K11" s="150"/>
      <c r="L11" s="150"/>
      <c r="M11" s="150"/>
      <c r="N11" s="150"/>
      <c r="O11" s="151"/>
    </row>
    <row r="12" spans="1:15" ht="15">
      <c r="A12" s="9"/>
      <c r="B12" s="4" t="s">
        <v>54</v>
      </c>
      <c r="C12" s="4" t="s">
        <v>55</v>
      </c>
      <c r="D12" s="4" t="str">
        <f>B12&amp;" - "&amp;C12</f>
        <v>Naturgas - m3</v>
      </c>
      <c r="E12" s="101"/>
      <c r="F12" s="61">
        <f>E12*INDEX(Konversionsfaktorer!C$5:C$21,MATCH(D12,Konversionsfaktorer!A$5:A$21,0))</f>
        <v>0</v>
      </c>
      <c r="H12" s="149"/>
      <c r="I12" s="150"/>
      <c r="J12" s="150"/>
      <c r="K12" s="150"/>
      <c r="L12" s="150"/>
      <c r="M12" s="150"/>
      <c r="N12" s="150"/>
      <c r="O12" s="151"/>
    </row>
    <row r="13" spans="1:15" ht="15">
      <c r="A13" s="10"/>
      <c r="B13" s="4" t="s">
        <v>25</v>
      </c>
      <c r="C13" s="4" t="s">
        <v>48</v>
      </c>
      <c r="D13" s="4" t="str">
        <f>C13</f>
        <v>kWh (el)</v>
      </c>
      <c r="E13" s="101"/>
      <c r="F13" s="61">
        <f>E13*INDEX(Konversionsfaktorer!C$5:C$21,MATCH(D13,Konversionsfaktorer!A$5:A$21,0))</f>
        <v>0</v>
      </c>
      <c r="H13" s="152" t="s">
        <v>319</v>
      </c>
      <c r="I13" s="153"/>
      <c r="J13" s="153"/>
      <c r="K13" s="153"/>
      <c r="L13" s="153"/>
      <c r="M13" s="153"/>
      <c r="N13" s="153"/>
      <c r="O13" s="154"/>
    </row>
    <row r="14" spans="1:15" ht="15">
      <c r="A14" s="8"/>
      <c r="B14" s="8"/>
      <c r="C14" s="6"/>
      <c r="D14" s="6"/>
      <c r="E14" s="103"/>
      <c r="F14" s="62"/>
      <c r="H14" s="149"/>
      <c r="I14" s="150"/>
      <c r="J14" s="150"/>
      <c r="K14" s="150"/>
      <c r="L14" s="150"/>
      <c r="M14" s="150"/>
      <c r="N14" s="150"/>
      <c r="O14" s="154"/>
    </row>
    <row r="15" spans="1:15" ht="15">
      <c r="A15" s="15" t="s">
        <v>31</v>
      </c>
      <c r="B15" s="4" t="s">
        <v>27</v>
      </c>
      <c r="C15" s="83" t="s">
        <v>47</v>
      </c>
      <c r="D15" s="4" t="str">
        <f t="shared" ref="D15:D22" si="0">B15&amp;" - "&amp;C15</f>
        <v>Elbiler - km</v>
      </c>
      <c r="E15" s="101"/>
      <c r="F15" s="61">
        <f>E15*INDEX(Konversionsfaktorer!C$5:C$21,MATCH(D15,Konversionsfaktorer!A$5:A$21,0))</f>
        <v>0</v>
      </c>
      <c r="H15" s="149"/>
      <c r="I15" s="150"/>
      <c r="J15" s="150"/>
      <c r="K15" s="150"/>
      <c r="L15" s="150"/>
      <c r="M15" s="150"/>
      <c r="N15" s="150"/>
      <c r="O15" s="154"/>
    </row>
    <row r="16" spans="1:15" ht="15">
      <c r="A16" s="9"/>
      <c r="B16" s="4" t="s">
        <v>38</v>
      </c>
      <c r="C16" s="4" t="s">
        <v>47</v>
      </c>
      <c r="D16" s="4" t="str">
        <f t="shared" si="0"/>
        <v>Medarbejderkørsel - km</v>
      </c>
      <c r="E16" s="101"/>
      <c r="F16" s="61">
        <f>E16*INDEX(Konversionsfaktorer!C$5:C$21,MATCH(D16,Konversionsfaktorer!A$5:A$21,0))</f>
        <v>0</v>
      </c>
      <c r="H16" s="149"/>
      <c r="I16" s="150"/>
      <c r="J16" s="150"/>
      <c r="K16" s="150"/>
      <c r="L16" s="150"/>
      <c r="M16" s="150"/>
      <c r="N16" s="150"/>
      <c r="O16" s="154"/>
    </row>
    <row r="17" spans="1:15" ht="15">
      <c r="A17" s="9"/>
      <c r="B17" s="4" t="s">
        <v>57</v>
      </c>
      <c r="C17" s="4" t="s">
        <v>47</v>
      </c>
      <c r="D17" s="4" t="str">
        <f t="shared" si="0"/>
        <v>Anden kørsel - km</v>
      </c>
      <c r="E17" s="101"/>
      <c r="F17" s="61">
        <f>E17*INDEX(Konversionsfaktorer!C$5:C$21,MATCH(D17,Konversionsfaktorer!A$5:A$21,0))</f>
        <v>0</v>
      </c>
      <c r="H17" s="149"/>
      <c r="I17" s="150"/>
      <c r="J17" s="150"/>
      <c r="K17" s="150"/>
      <c r="L17" s="150"/>
      <c r="M17" s="150"/>
      <c r="N17" s="150"/>
      <c r="O17" s="154"/>
    </row>
    <row r="18" spans="1:15" ht="15">
      <c r="A18" s="9"/>
      <c r="B18" s="4" t="s">
        <v>57</v>
      </c>
      <c r="C18" s="4" t="s">
        <v>56</v>
      </c>
      <c r="D18" s="4" t="str">
        <f t="shared" si="0"/>
        <v>Anden kørsel - kr</v>
      </c>
      <c r="E18" s="101">
        <v>2124811</v>
      </c>
      <c r="F18" s="61">
        <f>E18*INDEX(Konversionsfaktorer!C$5:C$21,MATCH(D18,Konversionsfaktorer!A$5:A$21,0))</f>
        <v>129.95220898550724</v>
      </c>
      <c r="H18" s="149"/>
      <c r="I18" s="150"/>
      <c r="J18" s="150"/>
      <c r="K18" s="150"/>
      <c r="L18" s="150"/>
      <c r="M18" s="150"/>
      <c r="N18" s="150"/>
      <c r="O18" s="154"/>
    </row>
    <row r="19" spans="1:15" ht="15">
      <c r="A19" s="9"/>
      <c r="B19" s="4" t="s">
        <v>46</v>
      </c>
      <c r="C19" s="4" t="s">
        <v>47</v>
      </c>
      <c r="D19" s="4" t="str">
        <f t="shared" si="0"/>
        <v>Hjemmehjælpen - km</v>
      </c>
      <c r="E19" s="102"/>
      <c r="F19" s="61">
        <f>E19*INDEX(Konversionsfaktorer!C$5:C$21,MATCH(D19,Konversionsfaktorer!A$5:A$21,0))</f>
        <v>0</v>
      </c>
      <c r="H19" s="149"/>
      <c r="I19" s="150"/>
      <c r="J19" s="150"/>
      <c r="K19" s="150"/>
      <c r="L19" s="150"/>
      <c r="M19" s="150"/>
      <c r="N19" s="150"/>
      <c r="O19" s="154"/>
    </row>
    <row r="20" spans="1:15" ht="15">
      <c r="A20" s="9"/>
      <c r="B20" s="4" t="s">
        <v>30</v>
      </c>
      <c r="C20" s="4" t="s">
        <v>37</v>
      </c>
      <c r="D20" s="4" t="str">
        <f t="shared" si="0"/>
        <v>Diesel - liter</v>
      </c>
      <c r="E20" s="101">
        <f>923522+1599</f>
        <v>925121</v>
      </c>
      <c r="F20" s="61">
        <f>E20*INDEX(Konversionsfaktorer!C$5:C$21,MATCH(D20,Konversionsfaktorer!A$5:A$21,0))</f>
        <v>2451.5706500000001</v>
      </c>
      <c r="H20" s="149" t="s">
        <v>317</v>
      </c>
      <c r="I20" s="150"/>
      <c r="J20" s="150"/>
      <c r="K20" s="150"/>
      <c r="L20" s="150"/>
      <c r="M20" s="150"/>
      <c r="N20" s="150"/>
      <c r="O20" s="151"/>
    </row>
    <row r="21" spans="1:15" ht="15">
      <c r="A21" s="9"/>
      <c r="B21" s="4" t="s">
        <v>32</v>
      </c>
      <c r="C21" s="4" t="s">
        <v>37</v>
      </c>
      <c r="D21" s="4" t="str">
        <f t="shared" si="0"/>
        <v>Benzin - liter</v>
      </c>
      <c r="E21" s="101">
        <f>28452+823</f>
        <v>29275</v>
      </c>
      <c r="F21" s="61">
        <f>E21*INDEX(Konversionsfaktorer!C$5:C$21,MATCH(D21,Konversionsfaktorer!A$5:A$21,0))</f>
        <v>67.332499999999996</v>
      </c>
      <c r="H21" s="149"/>
      <c r="I21" s="150"/>
      <c r="J21" s="150"/>
      <c r="K21" s="150"/>
      <c r="L21" s="150"/>
      <c r="M21" s="150"/>
      <c r="N21" s="150"/>
      <c r="O21" s="151"/>
    </row>
    <row r="22" spans="1:15" ht="15">
      <c r="A22" s="9"/>
      <c r="B22" s="4" t="s">
        <v>39</v>
      </c>
      <c r="C22" s="83" t="s">
        <v>56</v>
      </c>
      <c r="D22" s="4" t="str">
        <f t="shared" si="0"/>
        <v>Taxa - kr</v>
      </c>
      <c r="E22" s="101">
        <v>36745276</v>
      </c>
      <c r="F22" s="61">
        <f>E22*INDEX(Konversionsfaktorer!C$5:C$21,MATCH(D22,Konversionsfaktorer!A$5:A$21,0))</f>
        <v>373.99212569428482</v>
      </c>
      <c r="H22" s="155"/>
      <c r="I22" s="156"/>
      <c r="J22" s="156"/>
      <c r="K22" s="156"/>
      <c r="L22" s="156"/>
      <c r="M22" s="156"/>
      <c r="N22" s="156"/>
      <c r="O22" s="157"/>
    </row>
    <row r="23" spans="1:15" ht="15">
      <c r="A23" s="9"/>
      <c r="B23" s="4" t="s">
        <v>40</v>
      </c>
      <c r="C23" s="4" t="s">
        <v>314</v>
      </c>
      <c r="D23" s="4"/>
      <c r="E23" s="101"/>
      <c r="F23" s="101">
        <v>29.417999999999999</v>
      </c>
    </row>
    <row r="24" spans="1:15" ht="15">
      <c r="A24" s="9"/>
      <c r="B24" s="4" t="s">
        <v>41</v>
      </c>
      <c r="C24" s="4" t="s">
        <v>314</v>
      </c>
      <c r="D24" s="4"/>
      <c r="E24" s="101"/>
      <c r="F24" s="101">
        <v>0.32700000000000001</v>
      </c>
    </row>
    <row r="25" spans="1:15" s="2" customFormat="1" ht="15">
      <c r="A25" s="10"/>
      <c r="B25" s="4" t="s">
        <v>42</v>
      </c>
      <c r="C25" s="4" t="s">
        <v>314</v>
      </c>
      <c r="D25" s="4"/>
      <c r="E25" s="101"/>
      <c r="F25" s="83"/>
      <c r="G25"/>
    </row>
    <row r="26" spans="1:15" ht="15">
      <c r="A26" s="8"/>
      <c r="B26" s="8"/>
      <c r="C26" s="6"/>
      <c r="D26" s="6"/>
      <c r="E26" s="6"/>
      <c r="F26" s="25"/>
    </row>
    <row r="27" spans="1:15" ht="42.75">
      <c r="A27" s="2"/>
      <c r="B27" s="2"/>
      <c r="C27" s="3" t="s">
        <v>411</v>
      </c>
      <c r="D27" s="3"/>
      <c r="E27" s="3" t="s">
        <v>410</v>
      </c>
      <c r="F27" s="3" t="s">
        <v>50</v>
      </c>
      <c r="G27" s="3" t="s">
        <v>51</v>
      </c>
    </row>
    <row r="28" spans="1:15">
      <c r="C28" s="140">
        <v>24557</v>
      </c>
      <c r="D28" s="114"/>
      <c r="E28" s="114">
        <f>C28*0.94</f>
        <v>23083.579999999998</v>
      </c>
      <c r="F28" s="114">
        <f>SUM(F5:F26)</f>
        <v>24110.835764679792</v>
      </c>
      <c r="G28" s="114">
        <f>(E28-F28)/E28*100+100</f>
        <v>95.549842075276914</v>
      </c>
    </row>
    <row r="29" spans="1:15" ht="18.75">
      <c r="C29" s="148" t="s">
        <v>53</v>
      </c>
      <c r="D29" s="148"/>
      <c r="E29" s="148"/>
      <c r="F29" s="148"/>
      <c r="G29" s="4" t="s">
        <v>52</v>
      </c>
    </row>
  </sheetData>
  <mergeCells count="7">
    <mergeCell ref="A1:B1"/>
    <mergeCell ref="B2:D2"/>
    <mergeCell ref="B3:D3"/>
    <mergeCell ref="C29:F29"/>
    <mergeCell ref="H9:O12"/>
    <mergeCell ref="H13:O19"/>
    <mergeCell ref="H20:O22"/>
  </mergeCells>
  <phoneticPr fontId="4" type="noConversion"/>
  <dataValidations count="2">
    <dataValidation type="list" allowBlank="1" showInputMessage="1" showErrorMessage="1" sqref="C15">
      <formula1>"kWh (el),km"</formula1>
    </dataValidation>
    <dataValidation type="list" allowBlank="1" showInputMessage="1" showErrorMessage="1" sqref="C22">
      <formula1>"kr,km"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showGridLines="0" workbookViewId="0">
      <selection activeCell="E8" sqref="E8"/>
    </sheetView>
  </sheetViews>
  <sheetFormatPr defaultRowHeight="14.25"/>
  <cols>
    <col min="1" max="1" width="30.75" bestFit="1" customWidth="1"/>
    <col min="2" max="2" width="26.25" customWidth="1"/>
    <col min="3" max="3" width="13.75" customWidth="1"/>
    <col min="4" max="4" width="12.375" hidden="1" customWidth="1"/>
    <col min="5" max="5" width="11.875" customWidth="1"/>
    <col min="6" max="7" width="11.75" customWidth="1"/>
  </cols>
  <sheetData>
    <row r="1" spans="1:17" ht="57">
      <c r="A1" s="143" t="s">
        <v>121</v>
      </c>
      <c r="B1" s="144"/>
      <c r="C1" s="11" t="s">
        <v>76</v>
      </c>
      <c r="D1" s="6"/>
      <c r="E1" s="12" t="s">
        <v>77</v>
      </c>
      <c r="F1" s="7" t="s">
        <v>36</v>
      </c>
    </row>
    <row r="2" spans="1:17" ht="15">
      <c r="A2" s="14" t="s">
        <v>78</v>
      </c>
      <c r="B2" s="145" t="s">
        <v>24</v>
      </c>
      <c r="C2" s="146"/>
      <c r="D2" s="147"/>
      <c r="E2" s="4">
        <f>Konversionsfaktorer!C2</f>
        <v>2011</v>
      </c>
      <c r="F2" s="4"/>
    </row>
    <row r="3" spans="1:17">
      <c r="A3" s="9"/>
      <c r="B3" s="145" t="s">
        <v>79</v>
      </c>
      <c r="C3" s="146"/>
      <c r="D3" s="147"/>
      <c r="E3" s="4" t="str">
        <f ca="1">MID(CELL("filename",E3),FIND("]",CELL("filename",E3))+1,99)</f>
        <v>Kultur og Borgerservice</v>
      </c>
      <c r="F3" s="4"/>
    </row>
    <row r="4" spans="1:17">
      <c r="A4" s="6"/>
      <c r="B4" s="6"/>
      <c r="C4" s="6"/>
      <c r="D4" s="6"/>
      <c r="E4" s="6"/>
      <c r="F4" s="24"/>
    </row>
    <row r="5" spans="1:17" ht="15">
      <c r="A5" s="14" t="s">
        <v>25</v>
      </c>
      <c r="B5" s="4" t="s">
        <v>26</v>
      </c>
      <c r="C5" s="4" t="s">
        <v>48</v>
      </c>
      <c r="D5" s="4" t="str">
        <f>C5</f>
        <v>kWh (el)</v>
      </c>
      <c r="E5" s="101"/>
      <c r="F5" s="61">
        <f>E5*INDEX(Konversionsfaktorer!C$5:C$21,MATCH(D5,Konversionsfaktorer!A$5:A$21,0))</f>
        <v>0</v>
      </c>
      <c r="H5" s="70" t="s">
        <v>315</v>
      </c>
      <c r="I5" s="71"/>
      <c r="J5" s="71"/>
      <c r="K5" s="71"/>
      <c r="L5" s="71"/>
      <c r="M5" s="71"/>
      <c r="N5" s="71"/>
      <c r="O5" s="72"/>
    </row>
    <row r="6" spans="1:17" ht="15">
      <c r="A6" s="9"/>
      <c r="B6" s="4" t="s">
        <v>28</v>
      </c>
      <c r="C6" s="4" t="s">
        <v>48</v>
      </c>
      <c r="D6" s="4" t="str">
        <f>C6</f>
        <v>kWh (el)</v>
      </c>
      <c r="E6" s="101"/>
      <c r="F6" s="61">
        <f>E6*INDEX(Konversionsfaktorer!C$5:C$21,MATCH(D6,Konversionsfaktorer!A$5:A$21,0))</f>
        <v>0</v>
      </c>
      <c r="H6" s="73"/>
      <c r="I6" s="74"/>
      <c r="J6" s="74"/>
      <c r="K6" s="74"/>
      <c r="L6" s="74"/>
      <c r="M6" s="74"/>
      <c r="N6" s="74"/>
      <c r="O6" s="24"/>
      <c r="P6" s="69"/>
      <c r="Q6" s="69"/>
    </row>
    <row r="7" spans="1:17" ht="15">
      <c r="A7" s="9"/>
      <c r="B7" s="4" t="s">
        <v>98</v>
      </c>
      <c r="C7" s="4" t="s">
        <v>48</v>
      </c>
      <c r="D7" s="4" t="str">
        <f>C7</f>
        <v>kWh (el)</v>
      </c>
      <c r="E7" s="102"/>
      <c r="F7" s="61">
        <f>E7*INDEX(Konversionsfaktorer!C$5:C$21,MATCH(D7,Konversionsfaktorer!A$5:A$21,0))</f>
        <v>0</v>
      </c>
      <c r="H7" s="73" t="s">
        <v>316</v>
      </c>
      <c r="I7" s="74"/>
      <c r="J7" s="74"/>
      <c r="K7" s="74"/>
      <c r="L7" s="74"/>
      <c r="M7" s="74"/>
      <c r="N7" s="74"/>
      <c r="O7" s="24"/>
      <c r="P7" s="69"/>
      <c r="Q7" s="69"/>
    </row>
    <row r="8" spans="1:17" ht="15">
      <c r="A8" s="10"/>
      <c r="B8" s="4" t="s">
        <v>34</v>
      </c>
      <c r="C8" s="4" t="s">
        <v>48</v>
      </c>
      <c r="D8" s="4" t="str">
        <f>C8</f>
        <v>kWh (el)</v>
      </c>
      <c r="E8" s="101">
        <f>1065039+1071527+89073+5061100+2331934+2495543</f>
        <v>12114216</v>
      </c>
      <c r="F8" s="61">
        <f>E8*INDEX(Konversionsfaktorer!C$5:C$21,MATCH(D8,Konversionsfaktorer!A$5:A$21,0))</f>
        <v>5390.8261199999997</v>
      </c>
      <c r="H8" s="73"/>
      <c r="I8" s="74"/>
      <c r="J8" s="74"/>
      <c r="K8" s="74"/>
      <c r="L8" s="74"/>
      <c r="M8" s="74"/>
      <c r="N8" s="74"/>
      <c r="O8" s="24"/>
      <c r="P8" s="69"/>
      <c r="Q8" s="69"/>
    </row>
    <row r="9" spans="1:17" ht="15">
      <c r="A9" s="8"/>
      <c r="B9" s="8"/>
      <c r="C9" s="6"/>
      <c r="D9" s="6"/>
      <c r="E9" s="103"/>
      <c r="F9" s="62"/>
      <c r="H9" s="149" t="s">
        <v>318</v>
      </c>
      <c r="I9" s="150"/>
      <c r="J9" s="150"/>
      <c r="K9" s="150"/>
      <c r="L9" s="150"/>
      <c r="M9" s="150"/>
      <c r="N9" s="150"/>
      <c r="O9" s="151"/>
      <c r="P9" s="69"/>
      <c r="Q9" s="69"/>
    </row>
    <row r="10" spans="1:17" ht="15">
      <c r="A10" s="14" t="s">
        <v>33</v>
      </c>
      <c r="B10" s="4" t="s">
        <v>29</v>
      </c>
      <c r="C10" s="4" t="s">
        <v>49</v>
      </c>
      <c r="D10" s="4" t="str">
        <f>C10</f>
        <v>kWh (fv)</v>
      </c>
      <c r="E10" s="101"/>
      <c r="F10" s="61">
        <v>3867</v>
      </c>
      <c r="H10" s="149"/>
      <c r="I10" s="150"/>
      <c r="J10" s="150"/>
      <c r="K10" s="150"/>
      <c r="L10" s="150"/>
      <c r="M10" s="150"/>
      <c r="N10" s="150"/>
      <c r="O10" s="151"/>
      <c r="P10" s="69"/>
      <c r="Q10" s="69"/>
    </row>
    <row r="11" spans="1:17" ht="15">
      <c r="A11" s="9"/>
      <c r="B11" s="4" t="s">
        <v>35</v>
      </c>
      <c r="C11" s="4" t="s">
        <v>37</v>
      </c>
      <c r="D11" s="4" t="str">
        <f>B11&amp;" - "&amp;C11</f>
        <v>Fyringsolie - liter</v>
      </c>
      <c r="E11" s="101"/>
      <c r="F11" s="61">
        <f>E11*INDEX(Konversionsfaktorer!C$5:C$21,MATCH(D11,Konversionsfaktorer!A$5:A$21,0))</f>
        <v>0</v>
      </c>
      <c r="H11" s="149"/>
      <c r="I11" s="150"/>
      <c r="J11" s="150"/>
      <c r="K11" s="150"/>
      <c r="L11" s="150"/>
      <c r="M11" s="150"/>
      <c r="N11" s="150"/>
      <c r="O11" s="151"/>
      <c r="P11" s="69"/>
      <c r="Q11" s="69"/>
    </row>
    <row r="12" spans="1:17" ht="15">
      <c r="A12" s="9"/>
      <c r="B12" s="4" t="s">
        <v>54</v>
      </c>
      <c r="C12" s="4" t="s">
        <v>55</v>
      </c>
      <c r="D12" s="4" t="str">
        <f>B12&amp;" - "&amp;C12</f>
        <v>Naturgas - m3</v>
      </c>
      <c r="E12" s="101"/>
      <c r="F12" s="61">
        <f>E12*INDEX(Konversionsfaktorer!C$5:C$21,MATCH(D12,Konversionsfaktorer!A$5:A$21,0))</f>
        <v>0</v>
      </c>
      <c r="H12" s="149"/>
      <c r="I12" s="150"/>
      <c r="J12" s="150"/>
      <c r="K12" s="150"/>
      <c r="L12" s="150"/>
      <c r="M12" s="150"/>
      <c r="N12" s="150"/>
      <c r="O12" s="151"/>
      <c r="P12" s="69"/>
      <c r="Q12" s="69"/>
    </row>
    <row r="13" spans="1:17" ht="15">
      <c r="A13" s="10"/>
      <c r="B13" s="4" t="s">
        <v>25</v>
      </c>
      <c r="C13" s="4" t="s">
        <v>48</v>
      </c>
      <c r="D13" s="4" t="str">
        <f>C13</f>
        <v>kWh (el)</v>
      </c>
      <c r="E13" s="101"/>
      <c r="F13" s="61">
        <f>E13*INDEX(Konversionsfaktorer!C$5:C$21,MATCH(D13,Konversionsfaktorer!A$5:A$21,0))</f>
        <v>0</v>
      </c>
      <c r="H13" s="152" t="s">
        <v>319</v>
      </c>
      <c r="I13" s="153"/>
      <c r="J13" s="153"/>
      <c r="K13" s="153"/>
      <c r="L13" s="153"/>
      <c r="M13" s="153"/>
      <c r="N13" s="153"/>
      <c r="O13" s="154"/>
      <c r="P13" s="69"/>
      <c r="Q13" s="69"/>
    </row>
    <row r="14" spans="1:17" ht="15">
      <c r="A14" s="8"/>
      <c r="B14" s="8"/>
      <c r="C14" s="6"/>
      <c r="D14" s="6"/>
      <c r="E14" s="103"/>
      <c r="F14" s="62"/>
      <c r="H14" s="149"/>
      <c r="I14" s="150"/>
      <c r="J14" s="150"/>
      <c r="K14" s="150"/>
      <c r="L14" s="150"/>
      <c r="M14" s="150"/>
      <c r="N14" s="150"/>
      <c r="O14" s="154"/>
      <c r="P14" s="69"/>
      <c r="Q14" s="69"/>
    </row>
    <row r="15" spans="1:17" ht="15">
      <c r="A15" s="15" t="s">
        <v>31</v>
      </c>
      <c r="B15" s="4" t="s">
        <v>27</v>
      </c>
      <c r="C15" s="83" t="s">
        <v>47</v>
      </c>
      <c r="D15" s="4" t="str">
        <f t="shared" ref="D15:D22" si="0">B15&amp;" - "&amp;C15</f>
        <v>Elbiler - km</v>
      </c>
      <c r="E15" s="101"/>
      <c r="F15" s="61">
        <f>E15*INDEX(Konversionsfaktorer!C$5:C$21,MATCH(D15,Konversionsfaktorer!A$5:A$21,0))</f>
        <v>0</v>
      </c>
      <c r="H15" s="149"/>
      <c r="I15" s="150"/>
      <c r="J15" s="150"/>
      <c r="K15" s="150"/>
      <c r="L15" s="150"/>
      <c r="M15" s="150"/>
      <c r="N15" s="150"/>
      <c r="O15" s="154"/>
      <c r="P15" s="69"/>
      <c r="Q15" s="69"/>
    </row>
    <row r="16" spans="1:17" ht="15">
      <c r="A16" s="9"/>
      <c r="B16" s="4" t="s">
        <v>38</v>
      </c>
      <c r="C16" s="4" t="s">
        <v>47</v>
      </c>
      <c r="D16" s="4" t="str">
        <f t="shared" si="0"/>
        <v>Medarbejderkørsel - km</v>
      </c>
      <c r="E16" s="101"/>
      <c r="F16" s="61">
        <f>E16*INDEX(Konversionsfaktorer!C$5:C$21,MATCH(D16,Konversionsfaktorer!A$5:A$21,0))</f>
        <v>0</v>
      </c>
      <c r="H16" s="149"/>
      <c r="I16" s="150"/>
      <c r="J16" s="150"/>
      <c r="K16" s="150"/>
      <c r="L16" s="150"/>
      <c r="M16" s="150"/>
      <c r="N16" s="150"/>
      <c r="O16" s="154"/>
      <c r="P16" s="69"/>
      <c r="Q16" s="69"/>
    </row>
    <row r="17" spans="1:17" ht="15">
      <c r="A17" s="9"/>
      <c r="B17" s="4" t="s">
        <v>57</v>
      </c>
      <c r="C17" s="4" t="s">
        <v>47</v>
      </c>
      <c r="D17" s="4" t="str">
        <f t="shared" si="0"/>
        <v>Anden kørsel - km</v>
      </c>
      <c r="E17" s="101"/>
      <c r="F17" s="61">
        <f>E17*INDEX(Konversionsfaktorer!C$5:C$21,MATCH(D17,Konversionsfaktorer!A$5:A$21,0))</f>
        <v>0</v>
      </c>
      <c r="H17" s="149"/>
      <c r="I17" s="150"/>
      <c r="J17" s="150"/>
      <c r="K17" s="150"/>
      <c r="L17" s="150"/>
      <c r="M17" s="150"/>
      <c r="N17" s="150"/>
      <c r="O17" s="154"/>
      <c r="P17" s="69"/>
      <c r="Q17" s="69"/>
    </row>
    <row r="18" spans="1:17" ht="15">
      <c r="A18" s="9"/>
      <c r="B18" s="4" t="s">
        <v>57</v>
      </c>
      <c r="C18" s="4" t="s">
        <v>56</v>
      </c>
      <c r="D18" s="4" t="str">
        <f t="shared" si="0"/>
        <v>Anden kørsel - kr</v>
      </c>
      <c r="E18" s="101">
        <v>648900</v>
      </c>
      <c r="F18" s="61">
        <f>E18*INDEX(Konversionsfaktorer!C$5:C$21,MATCH(D18,Konversionsfaktorer!A$5:A$21,0))</f>
        <v>39.686347826086958</v>
      </c>
      <c r="H18" s="149"/>
      <c r="I18" s="150"/>
      <c r="J18" s="150"/>
      <c r="K18" s="150"/>
      <c r="L18" s="150"/>
      <c r="M18" s="150"/>
      <c r="N18" s="150"/>
      <c r="O18" s="154"/>
    </row>
    <row r="19" spans="1:17" ht="15">
      <c r="A19" s="9"/>
      <c r="B19" s="4" t="s">
        <v>46</v>
      </c>
      <c r="C19" s="4" t="s">
        <v>47</v>
      </c>
      <c r="D19" s="4" t="str">
        <f t="shared" si="0"/>
        <v>Hjemmehjælpen - km</v>
      </c>
      <c r="E19" s="102"/>
      <c r="F19" s="61">
        <f>E19*INDEX(Konversionsfaktorer!C$5:C$21,MATCH(D19,Konversionsfaktorer!A$5:A$21,0))</f>
        <v>0</v>
      </c>
      <c r="H19" s="149"/>
      <c r="I19" s="150"/>
      <c r="J19" s="150"/>
      <c r="K19" s="150"/>
      <c r="L19" s="150"/>
      <c r="M19" s="150"/>
      <c r="N19" s="150"/>
      <c r="O19" s="154"/>
    </row>
    <row r="20" spans="1:17" ht="15">
      <c r="A20" s="9"/>
      <c r="B20" s="4" t="s">
        <v>30</v>
      </c>
      <c r="C20" s="4" t="s">
        <v>37</v>
      </c>
      <c r="D20" s="4" t="str">
        <f t="shared" si="0"/>
        <v>Diesel - liter</v>
      </c>
      <c r="E20" s="101">
        <f>66701+4802+27126</f>
        <v>98629</v>
      </c>
      <c r="F20" s="61">
        <f>E20*INDEX(Konversionsfaktorer!C$5:C$21,MATCH(D20,Konversionsfaktorer!A$5:A$21,0))</f>
        <v>261.36685</v>
      </c>
      <c r="H20" s="149" t="s">
        <v>317</v>
      </c>
      <c r="I20" s="150"/>
      <c r="J20" s="150"/>
      <c r="K20" s="150"/>
      <c r="L20" s="150"/>
      <c r="M20" s="150"/>
      <c r="N20" s="150"/>
      <c r="O20" s="151"/>
    </row>
    <row r="21" spans="1:17" ht="15">
      <c r="A21" s="9"/>
      <c r="B21" s="4" t="s">
        <v>32</v>
      </c>
      <c r="C21" s="4" t="s">
        <v>37</v>
      </c>
      <c r="D21" s="4" t="str">
        <f t="shared" si="0"/>
        <v>Benzin - liter</v>
      </c>
      <c r="E21" s="101">
        <f>388+1000</f>
        <v>1388</v>
      </c>
      <c r="F21" s="61">
        <f>E21*INDEX(Konversionsfaktorer!C$5:C$21,MATCH(D21,Konversionsfaktorer!A$5:A$21,0))</f>
        <v>3.1924000000000001</v>
      </c>
      <c r="H21" s="149"/>
      <c r="I21" s="150"/>
      <c r="J21" s="150"/>
      <c r="K21" s="150"/>
      <c r="L21" s="150"/>
      <c r="M21" s="150"/>
      <c r="N21" s="150"/>
      <c r="O21" s="151"/>
    </row>
    <row r="22" spans="1:17" ht="15">
      <c r="A22" s="9"/>
      <c r="B22" s="4" t="s">
        <v>39</v>
      </c>
      <c r="C22" s="83" t="s">
        <v>56</v>
      </c>
      <c r="D22" s="4" t="str">
        <f t="shared" si="0"/>
        <v>Taxa - kr</v>
      </c>
      <c r="E22" s="101">
        <v>112029</v>
      </c>
      <c r="F22" s="61">
        <f>E22*INDEX(Konversionsfaktorer!C$5:C$21,MATCH(D22,Konversionsfaktorer!A$5:A$21,0))</f>
        <v>1.1402272185792002</v>
      </c>
      <c r="H22" s="155"/>
      <c r="I22" s="156"/>
      <c r="J22" s="156"/>
      <c r="K22" s="156"/>
      <c r="L22" s="156"/>
      <c r="M22" s="156"/>
      <c r="N22" s="156"/>
      <c r="O22" s="157"/>
    </row>
    <row r="23" spans="1:17" ht="15">
      <c r="A23" s="9"/>
      <c r="B23" s="4" t="s">
        <v>40</v>
      </c>
      <c r="C23" s="4" t="s">
        <v>314</v>
      </c>
      <c r="D23" s="4"/>
      <c r="E23" s="101"/>
      <c r="F23" s="101">
        <v>1.671</v>
      </c>
    </row>
    <row r="24" spans="1:17" ht="15">
      <c r="A24" s="9"/>
      <c r="B24" s="4" t="s">
        <v>41</v>
      </c>
      <c r="C24" s="4" t="s">
        <v>314</v>
      </c>
      <c r="D24" s="4"/>
      <c r="E24" s="101"/>
      <c r="F24" s="101">
        <v>0.32300000000000001</v>
      </c>
    </row>
    <row r="25" spans="1:17" s="2" customFormat="1" ht="15">
      <c r="A25" s="10"/>
      <c r="B25" s="4" t="s">
        <v>42</v>
      </c>
      <c r="C25" s="4" t="s">
        <v>314</v>
      </c>
      <c r="D25" s="4"/>
      <c r="E25" s="101"/>
      <c r="F25" s="83"/>
      <c r="G25"/>
    </row>
    <row r="26" spans="1:17" ht="15">
      <c r="A26" s="8"/>
      <c r="B26" s="8"/>
      <c r="C26" s="6"/>
      <c r="D26" s="6"/>
      <c r="E26" s="6"/>
      <c r="F26" s="25"/>
    </row>
    <row r="27" spans="1:17" ht="57">
      <c r="A27" s="2"/>
      <c r="B27" s="2"/>
      <c r="C27" s="3" t="s">
        <v>411</v>
      </c>
      <c r="D27" s="3"/>
      <c r="E27" s="3" t="s">
        <v>410</v>
      </c>
      <c r="F27" s="3" t="s">
        <v>50</v>
      </c>
      <c r="G27" s="3" t="s">
        <v>51</v>
      </c>
    </row>
    <row r="28" spans="1:17">
      <c r="C28" s="140">
        <v>10406</v>
      </c>
      <c r="D28" s="114"/>
      <c r="E28" s="114">
        <f>C28*0.94</f>
        <v>9781.64</v>
      </c>
      <c r="F28" s="114">
        <f>SUM(F5:F26)</f>
        <v>9565.2059450446668</v>
      </c>
      <c r="G28" s="114">
        <f>(E28-F28)/E28*100+100</f>
        <v>102.21265610833493</v>
      </c>
    </row>
    <row r="29" spans="1:17" ht="18.75">
      <c r="C29" s="148" t="s">
        <v>53</v>
      </c>
      <c r="D29" s="148"/>
      <c r="E29" s="148"/>
      <c r="F29" s="148"/>
      <c r="G29" s="4" t="s">
        <v>52</v>
      </c>
    </row>
  </sheetData>
  <mergeCells count="7">
    <mergeCell ref="C29:F29"/>
    <mergeCell ref="H9:O12"/>
    <mergeCell ref="H13:O19"/>
    <mergeCell ref="H20:O22"/>
    <mergeCell ref="A1:B1"/>
    <mergeCell ref="B2:D2"/>
    <mergeCell ref="B3:D3"/>
  </mergeCells>
  <phoneticPr fontId="4" type="noConversion"/>
  <dataValidations count="2">
    <dataValidation type="list" allowBlank="1" showInputMessage="1" showErrorMessage="1" sqref="C15">
      <formula1>"kWh (el),km"</formula1>
    </dataValidation>
    <dataValidation type="list" allowBlank="1" showInputMessage="1" showErrorMessage="1" sqref="C22">
      <formula1>"kr,km"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showGridLines="0" workbookViewId="0">
      <selection sqref="A1:B1"/>
    </sheetView>
  </sheetViews>
  <sheetFormatPr defaultRowHeight="14.25"/>
  <cols>
    <col min="1" max="1" width="30.75" bestFit="1" customWidth="1"/>
    <col min="2" max="2" width="26.25" customWidth="1"/>
    <col min="3" max="3" width="13.875" customWidth="1"/>
    <col min="4" max="4" width="12.375" hidden="1" customWidth="1"/>
    <col min="5" max="5" width="11.875" customWidth="1"/>
    <col min="6" max="7" width="11.75" customWidth="1"/>
  </cols>
  <sheetData>
    <row r="1" spans="1:15" ht="57">
      <c r="A1" s="143" t="s">
        <v>122</v>
      </c>
      <c r="B1" s="144"/>
      <c r="C1" s="11" t="s">
        <v>76</v>
      </c>
      <c r="D1" s="6"/>
      <c r="E1" s="12" t="s">
        <v>77</v>
      </c>
      <c r="F1" s="7" t="s">
        <v>36</v>
      </c>
    </row>
    <row r="2" spans="1:15" ht="15">
      <c r="A2" s="14" t="s">
        <v>78</v>
      </c>
      <c r="B2" s="145" t="s">
        <v>24</v>
      </c>
      <c r="C2" s="146"/>
      <c r="D2" s="147"/>
      <c r="E2" s="4">
        <f>Konversionsfaktorer!C2</f>
        <v>2011</v>
      </c>
      <c r="F2" s="4"/>
    </row>
    <row r="3" spans="1:15">
      <c r="A3" s="9"/>
      <c r="B3" s="145" t="s">
        <v>79</v>
      </c>
      <c r="C3" s="146"/>
      <c r="D3" s="147"/>
      <c r="E3" s="4" t="str">
        <f ca="1">MID(CELL("filename",E3),FIND("]",CELL("filename",E3))+1,99)</f>
        <v>Social og Beskæftigelse</v>
      </c>
      <c r="F3" s="4"/>
    </row>
    <row r="4" spans="1:15">
      <c r="A4" s="6"/>
      <c r="B4" s="6"/>
      <c r="C4" s="6"/>
      <c r="D4" s="6"/>
      <c r="E4" s="6"/>
      <c r="F4" s="24"/>
    </row>
    <row r="5" spans="1:15" ht="15">
      <c r="A5" s="14" t="s">
        <v>25</v>
      </c>
      <c r="B5" s="4" t="s">
        <v>26</v>
      </c>
      <c r="C5" s="4" t="s">
        <v>48</v>
      </c>
      <c r="D5" s="4" t="str">
        <f>C5</f>
        <v>kWh (el)</v>
      </c>
      <c r="E5" s="101"/>
      <c r="F5" s="61">
        <f>E5*INDEX(Konversionsfaktorer!C$5:C$21,MATCH(D5,Konversionsfaktorer!A$5:A$21,0))</f>
        <v>0</v>
      </c>
      <c r="H5" s="70" t="s">
        <v>315</v>
      </c>
      <c r="I5" s="71"/>
      <c r="J5" s="71"/>
      <c r="K5" s="71"/>
      <c r="L5" s="71"/>
      <c r="M5" s="71"/>
      <c r="N5" s="71"/>
      <c r="O5" s="72"/>
    </row>
    <row r="6" spans="1:15" ht="15">
      <c r="A6" s="9"/>
      <c r="B6" s="4" t="s">
        <v>28</v>
      </c>
      <c r="C6" s="4" t="s">
        <v>48</v>
      </c>
      <c r="D6" s="4" t="str">
        <f>C6</f>
        <v>kWh (el)</v>
      </c>
      <c r="E6" s="101"/>
      <c r="F6" s="61">
        <f>E6*INDEX(Konversionsfaktorer!C$5:C$21,MATCH(D6,Konversionsfaktorer!A$5:A$21,0))</f>
        <v>0</v>
      </c>
      <c r="H6" s="73"/>
      <c r="I6" s="74"/>
      <c r="J6" s="74"/>
      <c r="K6" s="74"/>
      <c r="L6" s="74"/>
      <c r="M6" s="74"/>
      <c r="N6" s="74"/>
      <c r="O6" s="24"/>
    </row>
    <row r="7" spans="1:15" ht="15">
      <c r="A7" s="9"/>
      <c r="B7" s="4" t="s">
        <v>98</v>
      </c>
      <c r="C7" s="4" t="s">
        <v>48</v>
      </c>
      <c r="D7" s="4" t="str">
        <f>C7</f>
        <v>kWh (el)</v>
      </c>
      <c r="E7" s="102"/>
      <c r="F7" s="61">
        <f>E7*INDEX(Konversionsfaktorer!C$5:C$21,MATCH(D7,Konversionsfaktorer!A$5:A$21,0))</f>
        <v>0</v>
      </c>
      <c r="H7" s="73" t="s">
        <v>316</v>
      </c>
      <c r="I7" s="74"/>
      <c r="J7" s="74"/>
      <c r="K7" s="74"/>
      <c r="L7" s="74"/>
      <c r="M7" s="74"/>
      <c r="N7" s="74"/>
      <c r="O7" s="24"/>
    </row>
    <row r="8" spans="1:15" ht="15" customHeight="1">
      <c r="A8" s="10"/>
      <c r="B8" s="4" t="s">
        <v>34</v>
      </c>
      <c r="C8" s="4" t="s">
        <v>48</v>
      </c>
      <c r="D8" s="4" t="str">
        <f>C8</f>
        <v>kWh (el)</v>
      </c>
      <c r="E8" s="101">
        <f>700383+79596+1335473+39616+111495+1082344+1199355</f>
        <v>4548262</v>
      </c>
      <c r="F8" s="61">
        <f>E8*INDEX(Konversionsfaktorer!C$5:C$21,MATCH(D8,Konversionsfaktorer!A$5:A$21,0))</f>
        <v>2023.97659</v>
      </c>
      <c r="H8" s="73"/>
      <c r="I8" s="74"/>
      <c r="J8" s="74"/>
      <c r="K8" s="74"/>
      <c r="L8" s="74"/>
      <c r="M8" s="74"/>
      <c r="N8" s="74"/>
      <c r="O8" s="24"/>
    </row>
    <row r="9" spans="1:15" ht="15">
      <c r="A9" s="8"/>
      <c r="B9" s="8"/>
      <c r="C9" s="6"/>
      <c r="D9" s="6"/>
      <c r="E9" s="103"/>
      <c r="F9" s="62"/>
      <c r="H9" s="149" t="s">
        <v>318</v>
      </c>
      <c r="I9" s="150"/>
      <c r="J9" s="150"/>
      <c r="K9" s="150"/>
      <c r="L9" s="150"/>
      <c r="M9" s="150"/>
      <c r="N9" s="150"/>
      <c r="O9" s="151"/>
    </row>
    <row r="10" spans="1:15" ht="15">
      <c r="A10" s="14" t="s">
        <v>33</v>
      </c>
      <c r="B10" s="4" t="s">
        <v>29</v>
      </c>
      <c r="C10" s="4" t="s">
        <v>49</v>
      </c>
      <c r="D10" s="4" t="str">
        <f>C10</f>
        <v>kWh (fv)</v>
      </c>
      <c r="E10" s="101"/>
      <c r="F10" s="61">
        <v>2881</v>
      </c>
      <c r="H10" s="149"/>
      <c r="I10" s="150"/>
      <c r="J10" s="150"/>
      <c r="K10" s="150"/>
      <c r="L10" s="150"/>
      <c r="M10" s="150"/>
      <c r="N10" s="150"/>
      <c r="O10" s="151"/>
    </row>
    <row r="11" spans="1:15" ht="15">
      <c r="A11" s="9"/>
      <c r="B11" s="4" t="s">
        <v>35</v>
      </c>
      <c r="C11" s="4" t="s">
        <v>37</v>
      </c>
      <c r="D11" s="4" t="str">
        <f>B11&amp;" - "&amp;C11</f>
        <v>Fyringsolie - liter</v>
      </c>
      <c r="E11" s="101"/>
      <c r="F11" s="61">
        <f>E11*INDEX(Konversionsfaktorer!C$5:C$21,MATCH(D11,Konversionsfaktorer!A$5:A$21,0))</f>
        <v>0</v>
      </c>
      <c r="H11" s="149"/>
      <c r="I11" s="150"/>
      <c r="J11" s="150"/>
      <c r="K11" s="150"/>
      <c r="L11" s="150"/>
      <c r="M11" s="150"/>
      <c r="N11" s="150"/>
      <c r="O11" s="151"/>
    </row>
    <row r="12" spans="1:15" ht="15">
      <c r="A12" s="9"/>
      <c r="B12" s="4" t="s">
        <v>54</v>
      </c>
      <c r="C12" s="4" t="s">
        <v>55</v>
      </c>
      <c r="D12" s="4" t="str">
        <f>B12&amp;" - "&amp;C12</f>
        <v>Naturgas - m3</v>
      </c>
      <c r="E12" s="101"/>
      <c r="F12" s="61">
        <f>E12*INDEX(Konversionsfaktorer!C$5:C$21,MATCH(D12,Konversionsfaktorer!A$5:A$21,0))</f>
        <v>0</v>
      </c>
      <c r="H12" s="149"/>
      <c r="I12" s="150"/>
      <c r="J12" s="150"/>
      <c r="K12" s="150"/>
      <c r="L12" s="150"/>
      <c r="M12" s="150"/>
      <c r="N12" s="150"/>
      <c r="O12" s="151"/>
    </row>
    <row r="13" spans="1:15" ht="15">
      <c r="A13" s="10"/>
      <c r="B13" s="4" t="s">
        <v>25</v>
      </c>
      <c r="C13" s="4" t="s">
        <v>48</v>
      </c>
      <c r="D13" s="4" t="str">
        <f>C13</f>
        <v>kWh (el)</v>
      </c>
      <c r="E13" s="101"/>
      <c r="F13" s="61">
        <f>E13*INDEX(Konversionsfaktorer!C$5:C$21,MATCH(D13,Konversionsfaktorer!A$5:A$21,0))</f>
        <v>0</v>
      </c>
      <c r="H13" s="152" t="s">
        <v>319</v>
      </c>
      <c r="I13" s="153"/>
      <c r="J13" s="153"/>
      <c r="K13" s="153"/>
      <c r="L13" s="153"/>
      <c r="M13" s="153"/>
      <c r="N13" s="153"/>
      <c r="O13" s="154"/>
    </row>
    <row r="14" spans="1:15" ht="15">
      <c r="A14" s="8"/>
      <c r="B14" s="8"/>
      <c r="C14" s="6"/>
      <c r="D14" s="6"/>
      <c r="E14" s="103"/>
      <c r="F14" s="62"/>
      <c r="H14" s="149"/>
      <c r="I14" s="150"/>
      <c r="J14" s="150"/>
      <c r="K14" s="150"/>
      <c r="L14" s="150"/>
      <c r="M14" s="150"/>
      <c r="N14" s="150"/>
      <c r="O14" s="154"/>
    </row>
    <row r="15" spans="1:15" ht="15">
      <c r="A15" s="15" t="s">
        <v>31</v>
      </c>
      <c r="B15" s="4" t="s">
        <v>27</v>
      </c>
      <c r="C15" s="83" t="s">
        <v>47</v>
      </c>
      <c r="D15" s="4" t="str">
        <f t="shared" ref="D15:D22" si="0">B15&amp;" - "&amp;C15</f>
        <v>Elbiler - km</v>
      </c>
      <c r="E15" s="101"/>
      <c r="F15" s="61">
        <f>E15*INDEX(Konversionsfaktorer!C$5:C$21,MATCH(D15,Konversionsfaktorer!A$5:A$21,0))</f>
        <v>0</v>
      </c>
      <c r="H15" s="149"/>
      <c r="I15" s="150"/>
      <c r="J15" s="150"/>
      <c r="K15" s="150"/>
      <c r="L15" s="150"/>
      <c r="M15" s="150"/>
      <c r="N15" s="150"/>
      <c r="O15" s="154"/>
    </row>
    <row r="16" spans="1:15" ht="15">
      <c r="A16" s="9"/>
      <c r="B16" s="4" t="s">
        <v>38</v>
      </c>
      <c r="C16" s="4" t="s">
        <v>47</v>
      </c>
      <c r="D16" s="4" t="str">
        <f t="shared" si="0"/>
        <v>Medarbejderkørsel - km</v>
      </c>
      <c r="E16" s="101"/>
      <c r="F16" s="61">
        <f>E16*INDEX(Konversionsfaktorer!C$5:C$21,MATCH(D16,Konversionsfaktorer!A$5:A$21,0))</f>
        <v>0</v>
      </c>
      <c r="H16" s="149"/>
      <c r="I16" s="150"/>
      <c r="J16" s="150"/>
      <c r="K16" s="150"/>
      <c r="L16" s="150"/>
      <c r="M16" s="150"/>
      <c r="N16" s="150"/>
      <c r="O16" s="154"/>
    </row>
    <row r="17" spans="1:15" ht="15">
      <c r="A17" s="9"/>
      <c r="B17" s="4" t="s">
        <v>57</v>
      </c>
      <c r="C17" s="4" t="s">
        <v>47</v>
      </c>
      <c r="D17" s="4" t="str">
        <f t="shared" si="0"/>
        <v>Anden kørsel - km</v>
      </c>
      <c r="E17" s="101"/>
      <c r="F17" s="61">
        <f>E17*INDEX(Konversionsfaktorer!C$5:C$21,MATCH(D17,Konversionsfaktorer!A$5:A$21,0))</f>
        <v>0</v>
      </c>
      <c r="H17" s="149"/>
      <c r="I17" s="150"/>
      <c r="J17" s="150"/>
      <c r="K17" s="150"/>
      <c r="L17" s="150"/>
      <c r="M17" s="150"/>
      <c r="N17" s="150"/>
      <c r="O17" s="154"/>
    </row>
    <row r="18" spans="1:15" ht="15">
      <c r="A18" s="9"/>
      <c r="B18" s="4" t="s">
        <v>57</v>
      </c>
      <c r="C18" s="4" t="s">
        <v>56</v>
      </c>
      <c r="D18" s="4" t="str">
        <f t="shared" si="0"/>
        <v>Anden kørsel - kr</v>
      </c>
      <c r="E18" s="101">
        <v>7523473</v>
      </c>
      <c r="F18" s="61">
        <f>E18*INDEX(Konversionsfaktorer!C$5:C$21,MATCH(D18,Konversionsfaktorer!A$5:A$21,0))</f>
        <v>460.1312472463768</v>
      </c>
      <c r="H18" s="149"/>
      <c r="I18" s="150"/>
      <c r="J18" s="150"/>
      <c r="K18" s="150"/>
      <c r="L18" s="150"/>
      <c r="M18" s="150"/>
      <c r="N18" s="150"/>
      <c r="O18" s="154"/>
    </row>
    <row r="19" spans="1:15" ht="15">
      <c r="A19" s="9"/>
      <c r="B19" s="4" t="s">
        <v>46</v>
      </c>
      <c r="C19" s="4" t="s">
        <v>47</v>
      </c>
      <c r="D19" s="4" t="str">
        <f t="shared" si="0"/>
        <v>Hjemmehjælpen - km</v>
      </c>
      <c r="E19" s="102"/>
      <c r="F19" s="61">
        <f>E19*INDEX(Konversionsfaktorer!C$5:C$21,MATCH(D19,Konversionsfaktorer!A$5:A$21,0))</f>
        <v>0</v>
      </c>
      <c r="H19" s="149"/>
      <c r="I19" s="150"/>
      <c r="J19" s="150"/>
      <c r="K19" s="150"/>
      <c r="L19" s="150"/>
      <c r="M19" s="150"/>
      <c r="N19" s="150"/>
      <c r="O19" s="154"/>
    </row>
    <row r="20" spans="1:15" ht="15">
      <c r="A20" s="9"/>
      <c r="B20" s="4" t="s">
        <v>30</v>
      </c>
      <c r="C20" s="4" t="s">
        <v>37</v>
      </c>
      <c r="D20" s="4" t="str">
        <f t="shared" si="0"/>
        <v>Diesel - liter</v>
      </c>
      <c r="E20" s="101">
        <f>970755+14142+2380</f>
        <v>987277</v>
      </c>
      <c r="F20" s="61">
        <f>E20*INDEX(Konversionsfaktorer!C$5:C$21,MATCH(D20,Konversionsfaktorer!A$5:A$21,0))</f>
        <v>2616.2840500000002</v>
      </c>
      <c r="H20" s="149" t="s">
        <v>317</v>
      </c>
      <c r="I20" s="150"/>
      <c r="J20" s="150"/>
      <c r="K20" s="150"/>
      <c r="L20" s="150"/>
      <c r="M20" s="150"/>
      <c r="N20" s="150"/>
      <c r="O20" s="151"/>
    </row>
    <row r="21" spans="1:15" ht="15">
      <c r="A21" s="9"/>
      <c r="B21" s="4" t="s">
        <v>32</v>
      </c>
      <c r="C21" s="4" t="s">
        <v>37</v>
      </c>
      <c r="D21" s="4" t="str">
        <f t="shared" si="0"/>
        <v>Benzin - liter</v>
      </c>
      <c r="E21" s="101">
        <f>31430+110+1368</f>
        <v>32908</v>
      </c>
      <c r="F21" s="61">
        <f>E21*INDEX(Konversionsfaktorer!C$5:C$21,MATCH(D21,Konversionsfaktorer!A$5:A$21,0))</f>
        <v>75.688400000000001</v>
      </c>
      <c r="H21" s="149"/>
      <c r="I21" s="150"/>
      <c r="J21" s="150"/>
      <c r="K21" s="150"/>
      <c r="L21" s="150"/>
      <c r="M21" s="150"/>
      <c r="N21" s="150"/>
      <c r="O21" s="151"/>
    </row>
    <row r="22" spans="1:15" ht="15">
      <c r="A22" s="9"/>
      <c r="B22" s="4" t="s">
        <v>39</v>
      </c>
      <c r="C22" s="83" t="s">
        <v>56</v>
      </c>
      <c r="D22" s="4" t="str">
        <f t="shared" si="0"/>
        <v>Taxa - kr</v>
      </c>
      <c r="E22" s="101">
        <v>3194626</v>
      </c>
      <c r="F22" s="61">
        <f>E22*INDEX(Konversionsfaktorer!C$5:C$21,MATCH(D22,Konversionsfaktorer!A$5:A$21,0))</f>
        <v>32.5147909771648</v>
      </c>
      <c r="H22" s="155"/>
      <c r="I22" s="156"/>
      <c r="J22" s="156"/>
      <c r="K22" s="156"/>
      <c r="L22" s="156"/>
      <c r="M22" s="156"/>
      <c r="N22" s="156"/>
      <c r="O22" s="157"/>
    </row>
    <row r="23" spans="1:15" ht="15">
      <c r="A23" s="9"/>
      <c r="B23" s="4" t="s">
        <v>40</v>
      </c>
      <c r="C23" s="4" t="s">
        <v>314</v>
      </c>
      <c r="D23" s="4"/>
      <c r="E23" s="101"/>
      <c r="F23" s="101">
        <v>2.0699999999999998</v>
      </c>
    </row>
    <row r="24" spans="1:15" ht="15">
      <c r="A24" s="9"/>
      <c r="B24" s="4" t="s">
        <v>41</v>
      </c>
      <c r="C24" s="4" t="s">
        <v>314</v>
      </c>
      <c r="D24" s="4"/>
      <c r="E24" s="101"/>
      <c r="F24" s="101">
        <v>0.71799999999999997</v>
      </c>
    </row>
    <row r="25" spans="1:15" ht="15">
      <c r="A25" s="10"/>
      <c r="B25" s="4" t="s">
        <v>42</v>
      </c>
      <c r="C25" s="4" t="s">
        <v>314</v>
      </c>
      <c r="D25" s="4"/>
      <c r="E25" s="101"/>
      <c r="F25" s="83"/>
    </row>
    <row r="26" spans="1:15" s="2" customFormat="1" ht="15">
      <c r="A26" s="8"/>
      <c r="B26" s="8"/>
      <c r="C26" s="6"/>
      <c r="D26" s="6"/>
      <c r="E26" s="6"/>
      <c r="F26" s="25"/>
      <c r="G26"/>
    </row>
    <row r="27" spans="1:15" ht="57">
      <c r="A27" s="2"/>
      <c r="B27" s="2"/>
      <c r="C27" s="3" t="s">
        <v>411</v>
      </c>
      <c r="D27" s="3"/>
      <c r="E27" s="3" t="s">
        <v>410</v>
      </c>
      <c r="F27" s="3" t="s">
        <v>50</v>
      </c>
      <c r="G27" s="3" t="s">
        <v>51</v>
      </c>
    </row>
    <row r="28" spans="1:15">
      <c r="C28" s="140">
        <v>6352</v>
      </c>
      <c r="D28" s="114"/>
      <c r="E28" s="114">
        <f>C28*0.94</f>
        <v>5970.88</v>
      </c>
      <c r="F28" s="114">
        <f>SUM(F5:F26)</f>
        <v>8092.3830782235418</v>
      </c>
      <c r="G28" s="114">
        <f>(E28-F28)/E28*100+100</f>
        <v>64.46917241305232</v>
      </c>
    </row>
    <row r="29" spans="1:15" ht="18.75">
      <c r="C29" s="148" t="s">
        <v>53</v>
      </c>
      <c r="D29" s="148"/>
      <c r="E29" s="148"/>
      <c r="F29" s="148"/>
      <c r="G29" s="4" t="s">
        <v>52</v>
      </c>
    </row>
  </sheetData>
  <mergeCells count="7">
    <mergeCell ref="A1:B1"/>
    <mergeCell ref="B2:D2"/>
    <mergeCell ref="B3:D3"/>
    <mergeCell ref="C29:F29"/>
    <mergeCell ref="H9:O12"/>
    <mergeCell ref="H13:O19"/>
    <mergeCell ref="H20:O22"/>
  </mergeCells>
  <phoneticPr fontId="4" type="noConversion"/>
  <dataValidations count="2">
    <dataValidation type="list" allowBlank="1" showInputMessage="1" showErrorMessage="1" sqref="C15">
      <formula1>"kWh (el),km"</formula1>
    </dataValidation>
    <dataValidation type="list" allowBlank="1" showInputMessage="1" showErrorMessage="1" sqref="C22">
      <formula1>"kr,km"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showGridLines="0" workbookViewId="0">
      <selection sqref="A1:B1"/>
    </sheetView>
  </sheetViews>
  <sheetFormatPr defaultRowHeight="14.25"/>
  <cols>
    <col min="1" max="1" width="30.75" bestFit="1" customWidth="1"/>
    <col min="2" max="2" width="26.25" customWidth="1"/>
    <col min="3" max="3" width="12.875" customWidth="1"/>
    <col min="4" max="4" width="12.375" hidden="1" customWidth="1"/>
    <col min="5" max="5" width="11.875" customWidth="1"/>
    <col min="6" max="7" width="11.75" customWidth="1"/>
  </cols>
  <sheetData>
    <row r="1" spans="1:15" ht="57">
      <c r="A1" s="143" t="s">
        <v>123</v>
      </c>
      <c r="B1" s="144"/>
      <c r="C1" s="11" t="s">
        <v>76</v>
      </c>
      <c r="D1" s="6"/>
      <c r="E1" s="12" t="s">
        <v>77</v>
      </c>
      <c r="F1" s="7" t="s">
        <v>36</v>
      </c>
    </row>
    <row r="2" spans="1:15" ht="15">
      <c r="A2" s="14" t="s">
        <v>78</v>
      </c>
      <c r="B2" s="145" t="s">
        <v>24</v>
      </c>
      <c r="C2" s="146"/>
      <c r="D2" s="147"/>
      <c r="E2" s="4">
        <f>Konversionsfaktorer!C2</f>
        <v>2011</v>
      </c>
      <c r="F2" s="4"/>
    </row>
    <row r="3" spans="1:15">
      <c r="A3" s="9"/>
      <c r="B3" s="145" t="s">
        <v>79</v>
      </c>
      <c r="C3" s="146"/>
      <c r="D3" s="147"/>
      <c r="E3" s="4" t="str">
        <f ca="1">MID(CELL("filename",E3),FIND("]",CELL("filename",E3))+1,99)</f>
        <v>Sundhed og Omsorg</v>
      </c>
      <c r="F3" s="4"/>
    </row>
    <row r="4" spans="1:15">
      <c r="A4" s="6"/>
      <c r="B4" s="6"/>
      <c r="C4" s="6"/>
      <c r="D4" s="6"/>
      <c r="E4" s="6"/>
      <c r="F4" s="24"/>
    </row>
    <row r="5" spans="1:15" ht="15">
      <c r="A5" s="14" t="s">
        <v>25</v>
      </c>
      <c r="B5" s="4" t="s">
        <v>26</v>
      </c>
      <c r="C5" s="4" t="s">
        <v>48</v>
      </c>
      <c r="D5" s="4" t="str">
        <f>C5</f>
        <v>kWh (el)</v>
      </c>
      <c r="E5" s="101"/>
      <c r="F5" s="61">
        <f>E5*INDEX(Konversionsfaktorer!C$5:C$21,MATCH(D5,Konversionsfaktorer!A$5:A$21,0))</f>
        <v>0</v>
      </c>
      <c r="H5" s="70" t="s">
        <v>315</v>
      </c>
      <c r="I5" s="71"/>
      <c r="J5" s="71"/>
      <c r="K5" s="71"/>
      <c r="L5" s="71"/>
      <c r="M5" s="71"/>
      <c r="N5" s="71"/>
      <c r="O5" s="72"/>
    </row>
    <row r="6" spans="1:15" ht="15">
      <c r="A6" s="9"/>
      <c r="B6" s="4" t="s">
        <v>28</v>
      </c>
      <c r="C6" s="4" t="s">
        <v>48</v>
      </c>
      <c r="D6" s="4" t="str">
        <f>C6</f>
        <v>kWh (el)</v>
      </c>
      <c r="E6" s="101"/>
      <c r="F6" s="61">
        <f>E6*INDEX(Konversionsfaktorer!C$5:C$21,MATCH(D6,Konversionsfaktorer!A$5:A$21,0))</f>
        <v>0</v>
      </c>
      <c r="H6" s="73"/>
      <c r="I6" s="74"/>
      <c r="J6" s="74"/>
      <c r="K6" s="74"/>
      <c r="L6" s="74"/>
      <c r="M6" s="74"/>
      <c r="N6" s="74"/>
      <c r="O6" s="24"/>
    </row>
    <row r="7" spans="1:15" ht="15">
      <c r="A7" s="9"/>
      <c r="B7" s="4" t="s">
        <v>98</v>
      </c>
      <c r="C7" s="4" t="s">
        <v>48</v>
      </c>
      <c r="D7" s="4" t="str">
        <f>C7</f>
        <v>kWh (el)</v>
      </c>
      <c r="E7" s="102"/>
      <c r="F7" s="61">
        <f>E7*INDEX(Konversionsfaktorer!C$5:C$21,MATCH(D7,Konversionsfaktorer!A$5:A$21,0))</f>
        <v>0</v>
      </c>
      <c r="H7" s="73" t="s">
        <v>316</v>
      </c>
      <c r="I7" s="74"/>
      <c r="J7" s="74"/>
      <c r="K7" s="74"/>
      <c r="L7" s="74"/>
      <c r="M7" s="74"/>
      <c r="N7" s="74"/>
      <c r="O7" s="24"/>
    </row>
    <row r="8" spans="1:15" ht="15" customHeight="1">
      <c r="A8" s="10"/>
      <c r="B8" s="4" t="s">
        <v>34</v>
      </c>
      <c r="C8" s="4" t="s">
        <v>48</v>
      </c>
      <c r="D8" s="4" t="str">
        <f>C8</f>
        <v>kWh (el)</v>
      </c>
      <c r="E8" s="101">
        <f>502072+122010+7673747+4259106+192891</f>
        <v>12749826</v>
      </c>
      <c r="F8" s="61">
        <f>E8*INDEX(Konversionsfaktorer!C$5:C$21,MATCH(D8,Konversionsfaktorer!A$5:A$21,0))</f>
        <v>5673.6725699999997</v>
      </c>
      <c r="H8" s="73"/>
      <c r="I8" s="74"/>
      <c r="J8" s="74"/>
      <c r="K8" s="74"/>
      <c r="L8" s="74"/>
      <c r="M8" s="74"/>
      <c r="N8" s="74"/>
      <c r="O8" s="24"/>
    </row>
    <row r="9" spans="1:15" ht="15">
      <c r="A9" s="8"/>
      <c r="B9" s="8"/>
      <c r="C9" s="6"/>
      <c r="D9" s="6"/>
      <c r="E9" s="103"/>
      <c r="F9" s="62"/>
      <c r="H9" s="149" t="s">
        <v>318</v>
      </c>
      <c r="I9" s="150"/>
      <c r="J9" s="150"/>
      <c r="K9" s="150"/>
      <c r="L9" s="150"/>
      <c r="M9" s="150"/>
      <c r="N9" s="150"/>
      <c r="O9" s="151"/>
    </row>
    <row r="10" spans="1:15" ht="15">
      <c r="A10" s="14" t="s">
        <v>33</v>
      </c>
      <c r="B10" s="4" t="s">
        <v>29</v>
      </c>
      <c r="C10" s="4" t="s">
        <v>49</v>
      </c>
      <c r="D10" s="4" t="str">
        <f>C10</f>
        <v>kWh (fv)</v>
      </c>
      <c r="E10" s="101"/>
      <c r="F10" s="61">
        <v>6889</v>
      </c>
      <c r="H10" s="149"/>
      <c r="I10" s="150"/>
      <c r="J10" s="150"/>
      <c r="K10" s="150"/>
      <c r="L10" s="150"/>
      <c r="M10" s="150"/>
      <c r="N10" s="150"/>
      <c r="O10" s="151"/>
    </row>
    <row r="11" spans="1:15" ht="15">
      <c r="A11" s="9"/>
      <c r="B11" s="4" t="s">
        <v>35</v>
      </c>
      <c r="C11" s="4" t="s">
        <v>37</v>
      </c>
      <c r="D11" s="4" t="str">
        <f>B11&amp;" - "&amp;C11</f>
        <v>Fyringsolie - liter</v>
      </c>
      <c r="E11" s="101"/>
      <c r="F11" s="61">
        <f>E11*INDEX(Konversionsfaktorer!C$5:C$21,MATCH(D11,Konversionsfaktorer!A$5:A$21,0))</f>
        <v>0</v>
      </c>
      <c r="H11" s="149"/>
      <c r="I11" s="150"/>
      <c r="J11" s="150"/>
      <c r="K11" s="150"/>
      <c r="L11" s="150"/>
      <c r="M11" s="150"/>
      <c r="N11" s="150"/>
      <c r="O11" s="151"/>
    </row>
    <row r="12" spans="1:15" ht="15">
      <c r="A12" s="9"/>
      <c r="B12" s="4" t="s">
        <v>54</v>
      </c>
      <c r="C12" s="4" t="s">
        <v>55</v>
      </c>
      <c r="D12" s="4" t="str">
        <f>B12&amp;" - "&amp;C12</f>
        <v>Naturgas - m3</v>
      </c>
      <c r="E12" s="101"/>
      <c r="F12" s="61">
        <f>E12*INDEX(Konversionsfaktorer!C$5:C$21,MATCH(D12,Konversionsfaktorer!A$5:A$21,0))</f>
        <v>0</v>
      </c>
      <c r="H12" s="149"/>
      <c r="I12" s="150"/>
      <c r="J12" s="150"/>
      <c r="K12" s="150"/>
      <c r="L12" s="150"/>
      <c r="M12" s="150"/>
      <c r="N12" s="150"/>
      <c r="O12" s="151"/>
    </row>
    <row r="13" spans="1:15" ht="15">
      <c r="A13" s="10"/>
      <c r="B13" s="4" t="s">
        <v>25</v>
      </c>
      <c r="C13" s="4" t="s">
        <v>48</v>
      </c>
      <c r="D13" s="4" t="str">
        <f>C13</f>
        <v>kWh (el)</v>
      </c>
      <c r="E13" s="101"/>
      <c r="F13" s="61">
        <f>E13*INDEX(Konversionsfaktorer!C$5:C$21,MATCH(D13,Konversionsfaktorer!A$5:A$21,0))</f>
        <v>0</v>
      </c>
      <c r="H13" s="152" t="s">
        <v>319</v>
      </c>
      <c r="I13" s="153"/>
      <c r="J13" s="153"/>
      <c r="K13" s="153"/>
      <c r="L13" s="153"/>
      <c r="M13" s="153"/>
      <c r="N13" s="153"/>
      <c r="O13" s="154"/>
    </row>
    <row r="14" spans="1:15" ht="15">
      <c r="A14" s="8"/>
      <c r="B14" s="8"/>
      <c r="C14" s="6"/>
      <c r="D14" s="6"/>
      <c r="E14" s="103"/>
      <c r="F14" s="62"/>
      <c r="H14" s="149"/>
      <c r="I14" s="150"/>
      <c r="J14" s="150"/>
      <c r="K14" s="150"/>
      <c r="L14" s="150"/>
      <c r="M14" s="150"/>
      <c r="N14" s="150"/>
      <c r="O14" s="154"/>
    </row>
    <row r="15" spans="1:15" ht="15">
      <c r="A15" s="15" t="s">
        <v>31</v>
      </c>
      <c r="B15" s="4" t="s">
        <v>27</v>
      </c>
      <c r="C15" s="83" t="s">
        <v>47</v>
      </c>
      <c r="D15" s="4" t="str">
        <f t="shared" ref="D15:D22" si="0">B15&amp;" - "&amp;C15</f>
        <v>Elbiler - km</v>
      </c>
      <c r="E15" s="101"/>
      <c r="F15" s="61">
        <f>E15*INDEX(Konversionsfaktorer!C$5:C$21,MATCH(D15,Konversionsfaktorer!A$5:A$21,0))</f>
        <v>0</v>
      </c>
      <c r="H15" s="149"/>
      <c r="I15" s="150"/>
      <c r="J15" s="150"/>
      <c r="K15" s="150"/>
      <c r="L15" s="150"/>
      <c r="M15" s="150"/>
      <c r="N15" s="150"/>
      <c r="O15" s="154"/>
    </row>
    <row r="16" spans="1:15" ht="15">
      <c r="A16" s="9"/>
      <c r="B16" s="4" t="s">
        <v>38</v>
      </c>
      <c r="C16" s="4" t="s">
        <v>47</v>
      </c>
      <c r="D16" s="4" t="str">
        <f t="shared" si="0"/>
        <v>Medarbejderkørsel - km</v>
      </c>
      <c r="E16" s="101"/>
      <c r="F16" s="61">
        <f>E16*INDEX(Konversionsfaktorer!C$5:C$21,MATCH(D16,Konversionsfaktorer!A$5:A$21,0))</f>
        <v>0</v>
      </c>
      <c r="H16" s="149"/>
      <c r="I16" s="150"/>
      <c r="J16" s="150"/>
      <c r="K16" s="150"/>
      <c r="L16" s="150"/>
      <c r="M16" s="150"/>
      <c r="N16" s="150"/>
      <c r="O16" s="154"/>
    </row>
    <row r="17" spans="1:15" ht="15">
      <c r="A17" s="9"/>
      <c r="B17" s="4" t="s">
        <v>57</v>
      </c>
      <c r="C17" s="4" t="s">
        <v>47</v>
      </c>
      <c r="D17" s="4" t="str">
        <f t="shared" si="0"/>
        <v>Anden kørsel - km</v>
      </c>
      <c r="E17" s="101"/>
      <c r="F17" s="61">
        <f>E17*INDEX(Konversionsfaktorer!C$5:C$21,MATCH(D17,Konversionsfaktorer!A$5:A$21,0))</f>
        <v>0</v>
      </c>
      <c r="H17" s="149"/>
      <c r="I17" s="150"/>
      <c r="J17" s="150"/>
      <c r="K17" s="150"/>
      <c r="L17" s="150"/>
      <c r="M17" s="150"/>
      <c r="N17" s="150"/>
      <c r="O17" s="154"/>
    </row>
    <row r="18" spans="1:15" ht="15">
      <c r="A18" s="9"/>
      <c r="B18" s="4" t="s">
        <v>57</v>
      </c>
      <c r="C18" s="4" t="s">
        <v>56</v>
      </c>
      <c r="D18" s="4" t="str">
        <f t="shared" si="0"/>
        <v>Anden kørsel - kr</v>
      </c>
      <c r="E18" s="101">
        <v>5337109</v>
      </c>
      <c r="F18" s="61">
        <f>E18*INDEX(Konversionsfaktorer!C$5:C$21,MATCH(D18,Konversionsfaktorer!A$5:A$21,0))</f>
        <v>326.41449246376811</v>
      </c>
      <c r="H18" s="149"/>
      <c r="I18" s="150"/>
      <c r="J18" s="150"/>
      <c r="K18" s="150"/>
      <c r="L18" s="150"/>
      <c r="M18" s="150"/>
      <c r="N18" s="150"/>
      <c r="O18" s="154"/>
    </row>
    <row r="19" spans="1:15" ht="15">
      <c r="A19" s="9"/>
      <c r="B19" s="4" t="s">
        <v>46</v>
      </c>
      <c r="C19" s="4" t="s">
        <v>47</v>
      </c>
      <c r="D19" s="4" t="str">
        <f t="shared" si="0"/>
        <v>Hjemmehjælpen - km</v>
      </c>
      <c r="E19" s="101"/>
      <c r="F19" s="61">
        <f>E19*INDEX(Konversionsfaktorer!C$5:C$21,MATCH(D19,Konversionsfaktorer!A$5:A$21,0))</f>
        <v>0</v>
      </c>
      <c r="H19" s="149"/>
      <c r="I19" s="150"/>
      <c r="J19" s="150"/>
      <c r="K19" s="150"/>
      <c r="L19" s="150"/>
      <c r="M19" s="150"/>
      <c r="N19" s="150"/>
      <c r="O19" s="154"/>
    </row>
    <row r="20" spans="1:15" ht="15">
      <c r="A20" s="9"/>
      <c r="B20" s="4" t="s">
        <v>30</v>
      </c>
      <c r="C20" s="4" t="s">
        <v>37</v>
      </c>
      <c r="D20" s="4" t="str">
        <f t="shared" si="0"/>
        <v>Diesel - liter</v>
      </c>
      <c r="E20" s="101">
        <f>44280+239088+1542</f>
        <v>284910</v>
      </c>
      <c r="F20" s="61">
        <f>E20*INDEX(Konversionsfaktorer!C$5:C$21,MATCH(D20,Konversionsfaktorer!A$5:A$21,0))</f>
        <v>755.01149999999996</v>
      </c>
      <c r="H20" s="149" t="s">
        <v>317</v>
      </c>
      <c r="I20" s="150"/>
      <c r="J20" s="150"/>
      <c r="K20" s="150"/>
      <c r="L20" s="150"/>
      <c r="M20" s="150"/>
      <c r="N20" s="150"/>
      <c r="O20" s="151"/>
    </row>
    <row r="21" spans="1:15" ht="15">
      <c r="A21" s="9"/>
      <c r="B21" s="4" t="s">
        <v>32</v>
      </c>
      <c r="C21" s="4" t="s">
        <v>37</v>
      </c>
      <c r="D21" s="4" t="str">
        <f t="shared" si="0"/>
        <v>Benzin - liter</v>
      </c>
      <c r="E21" s="101">
        <f>163390+23925</f>
        <v>187315</v>
      </c>
      <c r="F21" s="61">
        <f>E21*INDEX(Konversionsfaktorer!C$5:C$21,MATCH(D21,Konversionsfaktorer!A$5:A$21,0))</f>
        <v>430.8245</v>
      </c>
      <c r="H21" s="149"/>
      <c r="I21" s="150"/>
      <c r="J21" s="150"/>
      <c r="K21" s="150"/>
      <c r="L21" s="150"/>
      <c r="M21" s="150"/>
      <c r="N21" s="150"/>
      <c r="O21" s="151"/>
    </row>
    <row r="22" spans="1:15" ht="15">
      <c r="A22" s="9"/>
      <c r="B22" s="4" t="s">
        <v>39</v>
      </c>
      <c r="C22" s="83" t="s">
        <v>56</v>
      </c>
      <c r="D22" s="4" t="str">
        <f t="shared" si="0"/>
        <v>Taxa - kr</v>
      </c>
      <c r="E22" s="101">
        <v>3585259</v>
      </c>
      <c r="F22" s="61">
        <f>E22*INDEX(Konversionsfaktorer!C$5:C$21,MATCH(D22,Konversionsfaktorer!A$5:A$21,0))</f>
        <v>36.490639900883203</v>
      </c>
      <c r="H22" s="155"/>
      <c r="I22" s="156"/>
      <c r="J22" s="156"/>
      <c r="K22" s="156"/>
      <c r="L22" s="156"/>
      <c r="M22" s="156"/>
      <c r="N22" s="156"/>
      <c r="O22" s="157"/>
    </row>
    <row r="23" spans="1:15" ht="15">
      <c r="A23" s="9"/>
      <c r="B23" s="4" t="s">
        <v>40</v>
      </c>
      <c r="C23" s="4" t="s">
        <v>314</v>
      </c>
      <c r="D23" s="4"/>
      <c r="E23" s="101"/>
      <c r="F23" s="101">
        <v>3.6379999999999999</v>
      </c>
    </row>
    <row r="24" spans="1:15" ht="15">
      <c r="A24" s="9"/>
      <c r="B24" s="4" t="s">
        <v>41</v>
      </c>
      <c r="C24" s="4" t="s">
        <v>314</v>
      </c>
      <c r="D24" s="4"/>
      <c r="E24" s="101"/>
      <c r="F24" s="101">
        <v>0.252</v>
      </c>
    </row>
    <row r="25" spans="1:15" ht="15">
      <c r="A25" s="10"/>
      <c r="B25" s="4" t="s">
        <v>42</v>
      </c>
      <c r="C25" s="4" t="s">
        <v>314</v>
      </c>
      <c r="D25" s="4"/>
      <c r="E25" s="101"/>
      <c r="F25" s="83"/>
    </row>
    <row r="26" spans="1:15" s="2" customFormat="1" ht="15">
      <c r="A26" s="8"/>
      <c r="B26" s="8"/>
      <c r="C26" s="6"/>
      <c r="D26" s="6"/>
      <c r="E26" s="6"/>
      <c r="F26" s="25"/>
      <c r="G26"/>
    </row>
    <row r="27" spans="1:15" ht="57">
      <c r="A27" s="2"/>
      <c r="B27" s="2"/>
      <c r="C27" s="3" t="s">
        <v>411</v>
      </c>
      <c r="D27" s="3"/>
      <c r="E27" s="3" t="s">
        <v>410</v>
      </c>
      <c r="F27" s="3" t="s">
        <v>50</v>
      </c>
      <c r="G27" s="3" t="s">
        <v>51</v>
      </c>
    </row>
    <row r="28" spans="1:15">
      <c r="C28" s="140">
        <v>15114</v>
      </c>
      <c r="D28" s="114"/>
      <c r="E28" s="114">
        <f>C28*0.94</f>
        <v>14207.16</v>
      </c>
      <c r="F28" s="114">
        <f>SUM(F5:F26)</f>
        <v>14115.303702364652</v>
      </c>
      <c r="G28" s="114">
        <f>(E28-F28)/E28*100+100</f>
        <v>100.64654932889718</v>
      </c>
    </row>
    <row r="29" spans="1:15" ht="18.75">
      <c r="C29" s="148" t="s">
        <v>53</v>
      </c>
      <c r="D29" s="148"/>
      <c r="E29" s="148"/>
      <c r="F29" s="148"/>
      <c r="G29" s="4" t="s">
        <v>52</v>
      </c>
    </row>
  </sheetData>
  <mergeCells count="7">
    <mergeCell ref="A1:B1"/>
    <mergeCell ref="B2:D2"/>
    <mergeCell ref="B3:D3"/>
    <mergeCell ref="C29:F29"/>
    <mergeCell ref="H9:O12"/>
    <mergeCell ref="H13:O19"/>
    <mergeCell ref="H20:O22"/>
  </mergeCells>
  <phoneticPr fontId="4" type="noConversion"/>
  <dataValidations count="2">
    <dataValidation type="list" allowBlank="1" showInputMessage="1" showErrorMessage="1" sqref="C15">
      <formula1>"kWh (el),km"</formula1>
    </dataValidation>
    <dataValidation type="list" allowBlank="1" showInputMessage="1" showErrorMessage="1" sqref="C22">
      <formula1>"kr,km"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6"/>
  <sheetViews>
    <sheetView topLeftCell="A4" workbookViewId="0">
      <selection activeCell="F10" sqref="F10"/>
    </sheetView>
  </sheetViews>
  <sheetFormatPr defaultRowHeight="14.25"/>
  <cols>
    <col min="1" max="1" width="30.75" bestFit="1" customWidth="1"/>
    <col min="2" max="2" width="44.875" customWidth="1"/>
    <col min="3" max="3" width="14" customWidth="1"/>
    <col min="4" max="4" width="12.375" hidden="1" customWidth="1"/>
    <col min="5" max="5" width="11.875" customWidth="1"/>
    <col min="6" max="7" width="11.75" customWidth="1"/>
  </cols>
  <sheetData>
    <row r="1" spans="1:15" ht="57">
      <c r="A1" s="143" t="s">
        <v>344</v>
      </c>
      <c r="B1" s="144"/>
      <c r="C1" s="11" t="s">
        <v>76</v>
      </c>
      <c r="D1" s="6"/>
      <c r="E1" s="12" t="s">
        <v>77</v>
      </c>
      <c r="F1" s="7" t="s">
        <v>36</v>
      </c>
    </row>
    <row r="2" spans="1:15" ht="15">
      <c r="A2" s="14" t="s">
        <v>78</v>
      </c>
      <c r="B2" s="145" t="s">
        <v>24</v>
      </c>
      <c r="C2" s="146"/>
      <c r="D2" s="147"/>
      <c r="E2" s="4">
        <f>Konversionsfaktorer!C2</f>
        <v>2011</v>
      </c>
      <c r="F2" s="4"/>
    </row>
    <row r="3" spans="1:15">
      <c r="A3" s="9"/>
      <c r="B3" s="145" t="s">
        <v>79</v>
      </c>
      <c r="C3" s="146"/>
      <c r="D3" s="147"/>
      <c r="E3" s="4" t="str">
        <f ca="1">MID(CELL("filename",E3),FIND("]",CELL("filename",E3))+1,99)</f>
        <v>Teknik og Miljø</v>
      </c>
      <c r="F3" s="4"/>
    </row>
    <row r="4" spans="1:15">
      <c r="A4" s="6"/>
      <c r="B4" s="6"/>
      <c r="C4" s="6"/>
      <c r="D4" s="6"/>
      <c r="E4" s="6"/>
      <c r="F4" s="20"/>
    </row>
    <row r="5" spans="1:15" ht="15">
      <c r="A5" s="14" t="s">
        <v>25</v>
      </c>
      <c r="B5" s="4" t="s">
        <v>26</v>
      </c>
      <c r="C5" s="4" t="s">
        <v>48</v>
      </c>
      <c r="D5" s="4" t="str">
        <f>C5</f>
        <v>kWh (el)</v>
      </c>
      <c r="E5" s="102">
        <f>'AffaldVarme Århus'!E5+Ejendomsforvaltningen!E5+Fællesadministrationen!E5+'Natur og Miljø'!E5+'Planlægning og Byggeri'!E5+'Trafik og Veje'!E5+'Natur og Vejservice'!E5+'Århus Brandvæsen'!E5</f>
        <v>0</v>
      </c>
      <c r="F5" s="61">
        <f>E5*INDEX(Konversionsfaktorer!C$5:C$21,MATCH(D5,Konversionsfaktorer!A$5:A$21,0))</f>
        <v>0</v>
      </c>
      <c r="H5" s="70" t="s">
        <v>315</v>
      </c>
      <c r="I5" s="71"/>
      <c r="J5" s="71"/>
      <c r="K5" s="71"/>
      <c r="L5" s="71"/>
      <c r="M5" s="71"/>
      <c r="N5" s="71"/>
      <c r="O5" s="72"/>
    </row>
    <row r="6" spans="1:15" ht="15">
      <c r="A6" s="9"/>
      <c r="B6" s="4" t="s">
        <v>28</v>
      </c>
      <c r="C6" s="4" t="s">
        <v>48</v>
      </c>
      <c r="D6" s="4" t="str">
        <f>C6</f>
        <v>kWh (el)</v>
      </c>
      <c r="E6" s="102">
        <f>'AffaldVarme Århus'!E6+Ejendomsforvaltningen!E6+Fællesadministrationen!E6+'Natur og Miljø'!E6+'Planlægning og Byggeri'!E6+'Trafik og Veje'!E6+'Natur og Vejservice'!E6+'Århus Brandvæsen'!E6</f>
        <v>43745020</v>
      </c>
      <c r="F6" s="61">
        <f>E6*INDEX(Konversionsfaktorer!C$5:C$21,MATCH(D6,Konversionsfaktorer!A$5:A$21,0))</f>
        <v>19466.533899999999</v>
      </c>
      <c r="H6" s="73"/>
      <c r="I6" s="74"/>
      <c r="J6" s="74"/>
      <c r="K6" s="74"/>
      <c r="L6" s="74"/>
      <c r="M6" s="74"/>
      <c r="N6" s="74"/>
      <c r="O6" s="24"/>
    </row>
    <row r="7" spans="1:15" ht="15">
      <c r="A7" s="9"/>
      <c r="B7" s="4" t="s">
        <v>98</v>
      </c>
      <c r="C7" s="4" t="s">
        <v>48</v>
      </c>
      <c r="D7" s="4" t="str">
        <f>C7</f>
        <v>kWh (el)</v>
      </c>
      <c r="E7" s="102">
        <f>'AffaldVarme Århus'!E7+Ejendomsforvaltningen!E7+Fællesadministrationen!E7+'Natur og Miljø'!E7+'Planlægning og Byggeri'!E7+'Trafik og Veje'!E7+'Natur og Vejservice'!E7+'Århus Brandvæsen'!E7</f>
        <v>17380854</v>
      </c>
      <c r="F7" s="61">
        <f>E7*INDEX(Konversionsfaktorer!C$5:C$21,MATCH(D7,Konversionsfaktorer!A$5:A$21,0))</f>
        <v>7734.4800299999997</v>
      </c>
      <c r="H7" s="158" t="s">
        <v>345</v>
      </c>
      <c r="I7" s="159"/>
      <c r="J7" s="159"/>
      <c r="K7" s="159"/>
      <c r="L7" s="159"/>
      <c r="M7" s="159"/>
      <c r="N7" s="159"/>
      <c r="O7" s="160"/>
    </row>
    <row r="8" spans="1:15" ht="15" customHeight="1">
      <c r="A8" s="10"/>
      <c r="B8" s="4" t="s">
        <v>34</v>
      </c>
      <c r="C8" s="4" t="s">
        <v>48</v>
      </c>
      <c r="D8" s="4" t="str">
        <f>C8</f>
        <v>kWh (el)</v>
      </c>
      <c r="E8" s="102">
        <f>'AffaldVarme Århus'!E8+Ejendomsforvaltningen!E8+Fællesadministrationen!E8+'Natur og Miljø'!E8+'Planlægning og Byggeri'!E8+'Trafik og Veje'!E8+'Natur og Vejservice'!E8+'Århus Brandvæsen'!E8</f>
        <v>7029967</v>
      </c>
      <c r="F8" s="61">
        <f>E8*INDEX(Konversionsfaktorer!C$5:C$21,MATCH(D8,Konversionsfaktorer!A$5:A$21,0))</f>
        <v>3128.3353149999998</v>
      </c>
      <c r="H8" s="161"/>
      <c r="I8" s="162"/>
      <c r="J8" s="162"/>
      <c r="K8" s="162"/>
      <c r="L8" s="162"/>
      <c r="M8" s="162"/>
      <c r="N8" s="162"/>
      <c r="O8" s="163"/>
    </row>
    <row r="9" spans="1:15" ht="15">
      <c r="A9" s="8"/>
      <c r="B9" s="8"/>
      <c r="C9" s="6"/>
      <c r="D9" s="6"/>
      <c r="E9" s="107"/>
      <c r="F9" s="24"/>
    </row>
    <row r="10" spans="1:15" ht="15">
      <c r="A10" s="14" t="s">
        <v>33</v>
      </c>
      <c r="B10" s="4" t="s">
        <v>29</v>
      </c>
      <c r="C10" s="4" t="s">
        <v>49</v>
      </c>
      <c r="D10" s="4" t="str">
        <f>C10</f>
        <v>kWh (fv)</v>
      </c>
      <c r="E10" s="142">
        <f>'AffaldVarme Århus'!E10+Ejendomsforvaltningen!E10+Fællesadministrationen!E10+'Natur og Miljø'!E10+'Planlægning og Byggeri'!E10+'Trafik og Veje'!E10+'Natur og Vejservice'!E10+'Århus Brandvæsen'!E10</f>
        <v>2235491</v>
      </c>
      <c r="F10" s="61">
        <v>2702</v>
      </c>
    </row>
    <row r="11" spans="1:15" ht="15">
      <c r="A11" s="9"/>
      <c r="B11" s="4" t="s">
        <v>35</v>
      </c>
      <c r="C11" s="4" t="s">
        <v>37</v>
      </c>
      <c r="D11" s="4" t="str">
        <f>B11&amp;" - "&amp;C11</f>
        <v>Fyringsolie - liter</v>
      </c>
      <c r="E11" s="142">
        <f>'AffaldVarme Århus'!E11+Ejendomsforvaltningen!E11+Fællesadministrationen!E11+'Natur og Miljø'!E11+'Planlægning og Byggeri'!E11+'Trafik og Veje'!E11+'Natur og Vejservice'!E11+'Århus Brandvæsen'!E11</f>
        <v>106264</v>
      </c>
      <c r="F11" s="61">
        <f>E11*INDEX(Konversionsfaktorer!C$5:C$21,MATCH(D11,Konversionsfaktorer!A$5:A$21,0))</f>
        <v>282.66224</v>
      </c>
    </row>
    <row r="12" spans="1:15" ht="15">
      <c r="A12" s="9"/>
      <c r="B12" s="4" t="s">
        <v>54</v>
      </c>
      <c r="C12" s="4" t="s">
        <v>55</v>
      </c>
      <c r="D12" s="4" t="str">
        <f>B12&amp;" - "&amp;C12</f>
        <v>Naturgas - m3</v>
      </c>
      <c r="E12" s="102">
        <f>'AffaldVarme Århus'!E12+Ejendomsforvaltningen!E12+Fællesadministrationen!E12+'Natur og Miljø'!E12+'Planlægning og Byggeri'!E12+'Trafik og Veje'!E12+'Natur og Vejservice'!E12+'Århus Brandvæsen'!E12</f>
        <v>0</v>
      </c>
      <c r="F12" s="61">
        <f>E12*INDEX(Konversionsfaktorer!C$5:C$21,MATCH(D12,Konversionsfaktorer!A$5:A$21,0))</f>
        <v>0</v>
      </c>
    </row>
    <row r="13" spans="1:15" ht="15">
      <c r="A13" s="10"/>
      <c r="B13" s="4" t="s">
        <v>25</v>
      </c>
      <c r="C13" s="4" t="s">
        <v>48</v>
      </c>
      <c r="D13" s="4" t="str">
        <f>C13</f>
        <v>kWh (el)</v>
      </c>
      <c r="E13" s="102">
        <f>'AffaldVarme Århus'!E13+Ejendomsforvaltningen!E13+Fællesadministrationen!E13+'Natur og Miljø'!E13+'Planlægning og Byggeri'!E13+'Trafik og Veje'!E13+'Natur og Vejservice'!E13+'Århus Brandvæsen'!E13</f>
        <v>0</v>
      </c>
      <c r="F13" s="61">
        <f>E13*INDEX(Konversionsfaktorer!C$5:C$21,MATCH(D13,Konversionsfaktorer!A$5:A$21,0))</f>
        <v>0</v>
      </c>
    </row>
    <row r="14" spans="1:15" ht="15">
      <c r="A14" s="8"/>
      <c r="B14" s="8"/>
      <c r="C14" s="6"/>
      <c r="D14" s="6"/>
      <c r="E14" s="107"/>
      <c r="F14" s="24"/>
    </row>
    <row r="15" spans="1:15" ht="15">
      <c r="A15" s="15" t="s">
        <v>31</v>
      </c>
      <c r="B15" s="4" t="s">
        <v>27</v>
      </c>
      <c r="C15" s="84" t="s">
        <v>47</v>
      </c>
      <c r="D15" s="4" t="str">
        <f t="shared" ref="D15:D22" si="0">B15&amp;" - "&amp;C15</f>
        <v>Elbiler - km</v>
      </c>
      <c r="E15" s="102">
        <f>'AffaldVarme Århus'!E15+Ejendomsforvaltningen!E15+Fællesadministrationen!E15+'Natur og Miljø'!E15+'Planlægning og Byggeri'!E15+'Trafik og Veje'!E15+'Natur og Vejservice'!E15+'Århus Brandvæsen'!E15</f>
        <v>0</v>
      </c>
      <c r="F15" s="61">
        <f>E15*INDEX(Konversionsfaktorer!C$5:C$21,MATCH(D15,Konversionsfaktorer!A$5:A$21,0))</f>
        <v>0</v>
      </c>
    </row>
    <row r="16" spans="1:15" ht="15">
      <c r="A16" s="9"/>
      <c r="B16" s="4" t="s">
        <v>38</v>
      </c>
      <c r="C16" s="4" t="s">
        <v>47</v>
      </c>
      <c r="D16" s="4" t="str">
        <f t="shared" si="0"/>
        <v>Medarbejderkørsel - km</v>
      </c>
      <c r="E16" s="102">
        <f>'AffaldVarme Århus'!E16+Ejendomsforvaltningen!E16+Fællesadministrationen!E16+'Natur og Miljø'!E16+'Planlægning og Byggeri'!E16+'Trafik og Veje'!E16+'Natur og Vejservice'!E16+'Århus Brandvæsen'!E16</f>
        <v>0</v>
      </c>
      <c r="F16" s="61">
        <f>E16*INDEX(Konversionsfaktorer!C$5:C$21,MATCH(D16,Konversionsfaktorer!A$5:A$21,0))</f>
        <v>0</v>
      </c>
    </row>
    <row r="17" spans="1:6" ht="15">
      <c r="A17" s="9"/>
      <c r="B17" s="4" t="s">
        <v>57</v>
      </c>
      <c r="C17" s="4" t="s">
        <v>47</v>
      </c>
      <c r="D17" s="4" t="str">
        <f t="shared" si="0"/>
        <v>Anden kørsel - km</v>
      </c>
      <c r="E17" s="102">
        <f>'AffaldVarme Århus'!E17+Ejendomsforvaltningen!E17+Fællesadministrationen!E17+'Natur og Miljø'!E17+'Planlægning og Byggeri'!E17+'Trafik og Veje'!E17+'Natur og Vejservice'!E17+'Århus Brandvæsen'!E17</f>
        <v>0</v>
      </c>
      <c r="F17" s="61">
        <f>E17*INDEX(Konversionsfaktorer!C$5:C$21,MATCH(D17,Konversionsfaktorer!A$5:A$21,0))</f>
        <v>0</v>
      </c>
    </row>
    <row r="18" spans="1:6" ht="15">
      <c r="A18" s="9"/>
      <c r="B18" s="4" t="s">
        <v>57</v>
      </c>
      <c r="C18" s="4" t="s">
        <v>56</v>
      </c>
      <c r="D18" s="4" t="str">
        <f t="shared" si="0"/>
        <v>Anden kørsel - kr</v>
      </c>
      <c r="E18" s="102">
        <v>2348920</v>
      </c>
      <c r="F18" s="61">
        <f>E18*INDEX(Konversionsfaktorer!C$5:C$21,MATCH(D18,Konversionsfaktorer!A$5:A$21,0))</f>
        <v>143.65858550724639</v>
      </c>
    </row>
    <row r="19" spans="1:6" ht="15">
      <c r="A19" s="9"/>
      <c r="B19" s="4" t="s">
        <v>46</v>
      </c>
      <c r="C19" s="4" t="s">
        <v>47</v>
      </c>
      <c r="D19" s="4" t="str">
        <f t="shared" si="0"/>
        <v>Hjemmehjælpen - km</v>
      </c>
      <c r="E19" s="102">
        <f>'AffaldVarme Århus'!E19+Ejendomsforvaltningen!E19+Fællesadministrationen!E19+'Natur og Miljø'!E19+'Planlægning og Byggeri'!E19+'Trafik og Veje'!E19+'Natur og Vejservice'!E19+'Århus Brandvæsen'!E19</f>
        <v>0</v>
      </c>
      <c r="F19" s="61">
        <f>E19*INDEX(Konversionsfaktorer!C$5:C$21,MATCH(D19,Konversionsfaktorer!A$5:A$21,0))</f>
        <v>0</v>
      </c>
    </row>
    <row r="20" spans="1:6" ht="15">
      <c r="A20" s="9"/>
      <c r="B20" s="4" t="s">
        <v>30</v>
      </c>
      <c r="C20" s="4" t="s">
        <v>37</v>
      </c>
      <c r="D20" s="4" t="str">
        <f t="shared" si="0"/>
        <v>Diesel - liter</v>
      </c>
      <c r="E20" s="102">
        <f>'AffaldVarme Århus'!E20+Ejendomsforvaltningen!E20+Fællesadministrationen!E20+'Natur og Miljø'!E20+'Planlægning og Byggeri'!E20+'Trafik og Veje'!E20+'Natur og Vejservice'!E20+'Århus Brandvæsen'!E20</f>
        <v>540123</v>
      </c>
      <c r="F20" s="61">
        <f>E20*INDEX(Konversionsfaktorer!C$5:C$21,MATCH(D20,Konversionsfaktorer!A$5:A$21,0))</f>
        <v>1431.3259499999999</v>
      </c>
    </row>
    <row r="21" spans="1:6" ht="15">
      <c r="A21" s="9"/>
      <c r="B21" s="4" t="s">
        <v>32</v>
      </c>
      <c r="C21" s="4" t="s">
        <v>37</v>
      </c>
      <c r="D21" s="4" t="str">
        <f t="shared" si="0"/>
        <v>Benzin - liter</v>
      </c>
      <c r="E21" s="102">
        <f>'AffaldVarme Århus'!E21+Ejendomsforvaltningen!E21+Fællesadministrationen!E21+'Natur og Miljø'!E21+'Planlægning og Byggeri'!E21+'Trafik og Veje'!E21+'Natur og Vejservice'!E21+'Århus Brandvæsen'!E21</f>
        <v>33109</v>
      </c>
      <c r="F21" s="61">
        <f>E21*INDEX(Konversionsfaktorer!C$5:C$21,MATCH(D21,Konversionsfaktorer!A$5:A$21,0))</f>
        <v>76.150700000000001</v>
      </c>
    </row>
    <row r="22" spans="1:6" ht="15">
      <c r="A22" s="9"/>
      <c r="B22" s="4" t="s">
        <v>39</v>
      </c>
      <c r="C22" s="84" t="s">
        <v>56</v>
      </c>
      <c r="D22" s="4" t="str">
        <f t="shared" si="0"/>
        <v>Taxa - kr</v>
      </c>
      <c r="E22" s="139">
        <f>94902+5414</f>
        <v>100316</v>
      </c>
      <c r="F22" s="61">
        <f>E22*INDEX(Konversionsfaktorer!C$5:C$21,MATCH(D22,Konversionsfaktorer!A$5:A$21,0))</f>
        <v>1.0210127168768002</v>
      </c>
    </row>
    <row r="23" spans="1:6" ht="15">
      <c r="A23" s="9"/>
      <c r="B23" s="4" t="s">
        <v>40</v>
      </c>
      <c r="C23" s="4" t="s">
        <v>314</v>
      </c>
      <c r="D23" s="4"/>
      <c r="E23" s="102"/>
      <c r="F23" s="84">
        <v>4.7300000000000004</v>
      </c>
    </row>
    <row r="24" spans="1:6" ht="15">
      <c r="A24" s="9"/>
      <c r="B24" s="4" t="s">
        <v>41</v>
      </c>
      <c r="C24" s="4" t="s">
        <v>314</v>
      </c>
      <c r="D24" s="4"/>
      <c r="E24" s="102">
        <f>'AffaldVarme Århus'!E24+Ejendomsforvaltningen!E24+Fællesadministrationen!E24+'Natur og Miljø'!E24+'Planlægning og Byggeri'!E24+'Trafik og Veje'!E24+'Natur og Vejservice'!E24+'Århus Brandvæsen'!E24</f>
        <v>0</v>
      </c>
      <c r="F24" s="84">
        <v>0.995</v>
      </c>
    </row>
    <row r="25" spans="1:6" ht="15">
      <c r="A25" s="10"/>
      <c r="B25" s="4" t="s">
        <v>42</v>
      </c>
      <c r="C25" s="4" t="s">
        <v>314</v>
      </c>
      <c r="D25" s="4"/>
      <c r="E25" s="102">
        <f>'AffaldVarme Århus'!E25+Ejendomsforvaltningen!E25+Fællesadministrationen!E25+'Natur og Miljø'!E25+'Planlægning og Byggeri'!E25+'Trafik og Veje'!E25+'Natur og Vejservice'!E25+'Århus Brandvæsen'!E25</f>
        <v>0</v>
      </c>
      <c r="F25" s="84">
        <f>'AffaldVarme Århus'!F25+Ejendomsforvaltningen!F25+Fællesadministrationen!F25+'Natur og Miljø'!F25+'Planlægning og Byggeri'!F25+'Trafik og Veje'!F25+'Natur og Vejservice'!F25+'Århus Brandvæsen'!F25</f>
        <v>0</v>
      </c>
    </row>
    <row r="26" spans="1:6" ht="15">
      <c r="A26" s="21"/>
      <c r="B26" s="22"/>
      <c r="C26" s="19"/>
      <c r="D26" s="19"/>
      <c r="E26" s="106"/>
      <c r="F26" s="20"/>
    </row>
    <row r="27" spans="1:6" ht="15">
      <c r="A27" s="79" t="s">
        <v>329</v>
      </c>
      <c r="B27" s="80" t="s">
        <v>330</v>
      </c>
      <c r="C27" s="49" t="s">
        <v>331</v>
      </c>
      <c r="D27" s="49"/>
      <c r="E27" s="102">
        <f>'AffaldVarme Århus'!E27</f>
        <v>1884</v>
      </c>
      <c r="F27" s="49">
        <f>E27*Konversionsfaktorer!C25</f>
        <v>828.96</v>
      </c>
    </row>
    <row r="28" spans="1:6" ht="15">
      <c r="A28" s="21"/>
      <c r="B28" s="22"/>
      <c r="C28" s="19"/>
      <c r="D28" s="19"/>
      <c r="E28" s="108"/>
      <c r="F28" s="20"/>
    </row>
    <row r="29" spans="1:6" ht="15">
      <c r="A29" s="16" t="s">
        <v>43</v>
      </c>
      <c r="B29" s="4" t="s">
        <v>84</v>
      </c>
      <c r="C29" s="4" t="s">
        <v>44</v>
      </c>
      <c r="D29" s="4" t="str">
        <f>B29&amp;" - "&amp;C29</f>
        <v>Forbrug af kunstgødning - Ton</v>
      </c>
      <c r="E29" s="102">
        <f>'Natur og Miljø'!E27</f>
        <v>40</v>
      </c>
      <c r="F29" s="61">
        <f>CO2_sett_min_fer/1000</f>
        <v>227.91585599999996</v>
      </c>
    </row>
    <row r="30" spans="1:6" ht="15">
      <c r="A30" s="26"/>
      <c r="B30" s="4" t="s">
        <v>96</v>
      </c>
      <c r="C30" s="4" t="s">
        <v>44</v>
      </c>
      <c r="D30" s="4"/>
      <c r="E30" s="102">
        <f>'Natur og Miljø'!E28</f>
        <v>0</v>
      </c>
      <c r="F30" s="61">
        <f>CO2_eq_SP/1000</f>
        <v>0</v>
      </c>
    </row>
    <row r="31" spans="1:6" ht="15">
      <c r="A31" s="17"/>
      <c r="B31" s="4" t="s">
        <v>97</v>
      </c>
      <c r="C31" s="4" t="s">
        <v>44</v>
      </c>
      <c r="D31" s="4" t="str">
        <f>B31&amp;" - "&amp;C31</f>
        <v>Forbrug af kalk - Ton</v>
      </c>
      <c r="E31" s="102">
        <f>'Natur og Miljø'!E29</f>
        <v>0</v>
      </c>
      <c r="F31" s="61">
        <f>CO2_lime_sett</f>
        <v>0</v>
      </c>
    </row>
    <row r="32" spans="1:6">
      <c r="A32" s="18"/>
      <c r="B32" s="19"/>
      <c r="C32" s="19"/>
      <c r="D32" s="19"/>
      <c r="E32" s="106"/>
      <c r="F32" s="20"/>
    </row>
    <row r="33" spans="1:7" ht="15">
      <c r="A33" s="15" t="s">
        <v>85</v>
      </c>
      <c r="B33" s="4" t="s">
        <v>86</v>
      </c>
      <c r="C33" s="4" t="s">
        <v>45</v>
      </c>
      <c r="D33" s="4" t="str">
        <f>B33&amp;" - "&amp;C33</f>
        <v>Søareal før etablering af vådomr. - ha</v>
      </c>
      <c r="E33" s="102">
        <f>'Natur og Miljø'!E31</f>
        <v>0</v>
      </c>
      <c r="F33" s="164">
        <f>Konversionsfaktorer!C85/1000</f>
        <v>-2551.7904949246813</v>
      </c>
    </row>
    <row r="34" spans="1:7" ht="15">
      <c r="A34" s="27"/>
      <c r="B34" s="4" t="s">
        <v>87</v>
      </c>
      <c r="C34" s="4" t="s">
        <v>45</v>
      </c>
      <c r="D34" s="4"/>
      <c r="E34" s="102">
        <f>'Natur og Miljø'!E32</f>
        <v>220</v>
      </c>
      <c r="F34" s="165"/>
    </row>
    <row r="35" spans="1:7" ht="15">
      <c r="A35" s="27"/>
      <c r="B35" s="4" t="s">
        <v>88</v>
      </c>
      <c r="C35" s="4" t="s">
        <v>45</v>
      </c>
      <c r="D35" s="4"/>
      <c r="E35" s="102">
        <f>'Natur og Miljø'!E33</f>
        <v>253</v>
      </c>
      <c r="F35" s="165"/>
    </row>
    <row r="36" spans="1:7" ht="15">
      <c r="A36" s="27"/>
      <c r="B36" s="4" t="s">
        <v>89</v>
      </c>
      <c r="C36" s="4" t="s">
        <v>45</v>
      </c>
      <c r="D36" s="4"/>
      <c r="E36" s="102">
        <f>'Natur og Miljø'!E34</f>
        <v>146</v>
      </c>
      <c r="F36" s="165"/>
    </row>
    <row r="37" spans="1:7" ht="15">
      <c r="A37" s="28"/>
      <c r="B37" s="4" t="s">
        <v>90</v>
      </c>
      <c r="C37" s="4" t="s">
        <v>45</v>
      </c>
      <c r="D37" s="4" t="str">
        <f>B37&amp;" - "&amp;C37</f>
        <v>Landbrugsareal på humusjord, JB 11 - ha</v>
      </c>
      <c r="E37" s="102">
        <f>'Natur og Miljø'!E35</f>
        <v>204</v>
      </c>
      <c r="F37" s="166"/>
    </row>
    <row r="38" spans="1:7">
      <c r="A38" s="18"/>
      <c r="B38" s="19"/>
      <c r="C38" s="19"/>
      <c r="D38" s="19"/>
      <c r="E38" s="106"/>
      <c r="F38" s="20"/>
    </row>
    <row r="39" spans="1:7" ht="15">
      <c r="A39" s="15" t="s">
        <v>91</v>
      </c>
      <c r="B39" s="4" t="s">
        <v>95</v>
      </c>
      <c r="C39" s="4" t="s">
        <v>45</v>
      </c>
      <c r="D39" s="4"/>
      <c r="E39" s="102">
        <f>'Natur og Miljø'!E37</f>
        <v>0</v>
      </c>
      <c r="F39" s="167">
        <f>Konversionsfaktorer!C104</f>
        <v>-12670</v>
      </c>
    </row>
    <row r="40" spans="1:7" ht="15">
      <c r="A40" s="28"/>
      <c r="B40" s="4" t="s">
        <v>92</v>
      </c>
      <c r="C40" s="4" t="s">
        <v>45</v>
      </c>
      <c r="D40" s="4"/>
      <c r="E40" s="102">
        <f>'Natur og Miljø'!E38</f>
        <v>724</v>
      </c>
      <c r="F40" s="168"/>
    </row>
    <row r="41" spans="1:7" ht="15">
      <c r="A41" s="28"/>
      <c r="B41" s="4" t="s">
        <v>94</v>
      </c>
      <c r="C41" s="4" t="s">
        <v>45</v>
      </c>
      <c r="D41" s="4"/>
      <c r="E41" s="102">
        <f>'Natur og Miljø'!E39</f>
        <v>0</v>
      </c>
      <c r="F41" s="168"/>
    </row>
    <row r="42" spans="1:7" s="2" customFormat="1" ht="15">
      <c r="A42" s="29"/>
      <c r="B42" s="4" t="s">
        <v>93</v>
      </c>
      <c r="C42" s="4" t="s">
        <v>45</v>
      </c>
      <c r="D42" s="4"/>
      <c r="E42" s="102">
        <f>'Natur og Miljø'!E40</f>
        <v>0</v>
      </c>
      <c r="F42" s="169"/>
      <c r="G42"/>
    </row>
    <row r="43" spans="1:7">
      <c r="A43" s="30"/>
      <c r="B43" s="77"/>
      <c r="C43" s="77"/>
      <c r="D43" s="77"/>
      <c r="E43" s="77"/>
      <c r="F43" s="78"/>
    </row>
    <row r="44" spans="1:7" ht="57">
      <c r="A44" s="2"/>
      <c r="B44" s="2"/>
      <c r="C44" s="3" t="s">
        <v>411</v>
      </c>
      <c r="D44" s="23"/>
      <c r="E44" s="3" t="s">
        <v>410</v>
      </c>
      <c r="F44" s="23" t="s">
        <v>50</v>
      </c>
      <c r="G44" s="3" t="s">
        <v>51</v>
      </c>
    </row>
    <row r="45" spans="1:7">
      <c r="C45" s="141">
        <f>'AffaldVarme Århus'!C30+Ejendomsforvaltningen!C28+Fællesadministrationen!C28+'Natur og Miljø'!C43+'Planlægning og Byggeri'!C28+'Trafik og Veje'!C28+'Natur og Vejservice'!C28+'Århus Brandvæsen'!C28</f>
        <v>30693.1</v>
      </c>
      <c r="D45" s="114"/>
      <c r="E45" s="114">
        <f>C45*0.94</f>
        <v>28851.513999999996</v>
      </c>
      <c r="F45" s="114">
        <f>SUM(F5:F42)</f>
        <v>20806.97809429944</v>
      </c>
      <c r="G45" s="114">
        <f>(E45-F45)/E45*100+100</f>
        <v>127.88254337606185</v>
      </c>
    </row>
    <row r="46" spans="1:7" ht="18.75">
      <c r="C46" s="148" t="s">
        <v>53</v>
      </c>
      <c r="D46" s="148"/>
      <c r="E46" s="148"/>
      <c r="F46" s="148"/>
      <c r="G46" s="4" t="s">
        <v>52</v>
      </c>
    </row>
  </sheetData>
  <mergeCells count="7">
    <mergeCell ref="C46:F46"/>
    <mergeCell ref="A1:B1"/>
    <mergeCell ref="B2:D2"/>
    <mergeCell ref="B3:D3"/>
    <mergeCell ref="H7:O8"/>
    <mergeCell ref="F33:F37"/>
    <mergeCell ref="F39:F42"/>
  </mergeCells>
  <phoneticPr fontId="4" type="noConversion"/>
  <dataValidations count="2">
    <dataValidation type="list" allowBlank="1" showInputMessage="1" showErrorMessage="1" sqref="C22">
      <formula1>"kr,km"</formula1>
    </dataValidation>
    <dataValidation type="list" allowBlank="1" showInputMessage="1" showErrorMessage="1" sqref="C15">
      <formula1>"kWh (el),km"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showGridLines="0" workbookViewId="0">
      <selection activeCell="E20" sqref="E20"/>
    </sheetView>
  </sheetViews>
  <sheetFormatPr defaultRowHeight="14.25"/>
  <cols>
    <col min="1" max="1" width="30.75" bestFit="1" customWidth="1"/>
    <col min="2" max="2" width="26.25" customWidth="1"/>
    <col min="3" max="3" width="13.5" customWidth="1"/>
    <col min="4" max="4" width="12.375" hidden="1" customWidth="1"/>
    <col min="5" max="5" width="11.875" customWidth="1"/>
    <col min="6" max="7" width="11.75" customWidth="1"/>
  </cols>
  <sheetData>
    <row r="1" spans="1:15" ht="57">
      <c r="A1" s="143" t="s">
        <v>124</v>
      </c>
      <c r="B1" s="144"/>
      <c r="C1" s="11" t="s">
        <v>76</v>
      </c>
      <c r="D1" s="6"/>
      <c r="E1" s="12" t="s">
        <v>77</v>
      </c>
      <c r="F1" s="7" t="s">
        <v>36</v>
      </c>
    </row>
    <row r="2" spans="1:15" ht="15">
      <c r="A2" s="14" t="s">
        <v>78</v>
      </c>
      <c r="B2" s="145" t="s">
        <v>24</v>
      </c>
      <c r="C2" s="146"/>
      <c r="D2" s="147"/>
      <c r="E2" s="4">
        <f>Konversionsfaktorer!C2</f>
        <v>2011</v>
      </c>
      <c r="F2" s="4"/>
    </row>
    <row r="3" spans="1:15">
      <c r="A3" s="9"/>
      <c r="B3" s="145" t="s">
        <v>79</v>
      </c>
      <c r="C3" s="146"/>
      <c r="D3" s="147"/>
      <c r="E3" s="4" t="str">
        <f ca="1">MID(CELL("filename",E3),FIND("]",CELL("filename",E3))+1,99)</f>
        <v>Århus Havn</v>
      </c>
      <c r="F3" s="4"/>
    </row>
    <row r="4" spans="1:15">
      <c r="A4" s="6"/>
      <c r="B4" s="6"/>
      <c r="C4" s="6"/>
      <c r="D4" s="6"/>
      <c r="E4" s="6"/>
      <c r="F4" s="24"/>
    </row>
    <row r="5" spans="1:15" ht="15">
      <c r="A5" s="14" t="s">
        <v>25</v>
      </c>
      <c r="B5" s="4" t="s">
        <v>26</v>
      </c>
      <c r="C5" s="4" t="s">
        <v>48</v>
      </c>
      <c r="D5" s="4" t="str">
        <f>C5</f>
        <v>kWh (el)</v>
      </c>
      <c r="E5" s="101"/>
      <c r="F5" s="61">
        <f>E5*INDEX(Konversionsfaktorer!C$5:C$21,MATCH(D5,Konversionsfaktorer!A$5:A$21,0))</f>
        <v>0</v>
      </c>
      <c r="H5" s="70" t="s">
        <v>315</v>
      </c>
      <c r="I5" s="71"/>
      <c r="J5" s="71"/>
      <c r="K5" s="71"/>
      <c r="L5" s="71"/>
      <c r="M5" s="71"/>
      <c r="N5" s="71"/>
      <c r="O5" s="72"/>
    </row>
    <row r="6" spans="1:15" ht="15">
      <c r="A6" s="9"/>
      <c r="B6" s="4" t="s">
        <v>28</v>
      </c>
      <c r="C6" s="4" t="s">
        <v>48</v>
      </c>
      <c r="D6" s="4" t="str">
        <f>C6</f>
        <v>kWh (el)</v>
      </c>
      <c r="E6" s="101"/>
      <c r="F6" s="61">
        <f>E6*INDEX(Konversionsfaktorer!C$5:C$21,MATCH(D6,Konversionsfaktorer!A$5:A$21,0))</f>
        <v>0</v>
      </c>
      <c r="H6" s="73"/>
      <c r="I6" s="74"/>
      <c r="J6" s="74"/>
      <c r="K6" s="74"/>
      <c r="L6" s="74"/>
      <c r="M6" s="74"/>
      <c r="N6" s="74"/>
      <c r="O6" s="24"/>
    </row>
    <row r="7" spans="1:15" ht="15">
      <c r="A7" s="9"/>
      <c r="B7" s="4" t="s">
        <v>98</v>
      </c>
      <c r="C7" s="4" t="s">
        <v>48</v>
      </c>
      <c r="D7" s="4" t="str">
        <f>C7</f>
        <v>kWh (el)</v>
      </c>
      <c r="E7" s="102"/>
      <c r="F7" s="61">
        <f>E7*INDEX(Konversionsfaktorer!C$5:C$21,MATCH(D7,Konversionsfaktorer!A$5:A$21,0))</f>
        <v>0</v>
      </c>
      <c r="H7" s="73" t="s">
        <v>316</v>
      </c>
      <c r="I7" s="74"/>
      <c r="J7" s="74"/>
      <c r="K7" s="74"/>
      <c r="L7" s="74"/>
      <c r="M7" s="74"/>
      <c r="N7" s="74"/>
      <c r="O7" s="24"/>
    </row>
    <row r="8" spans="1:15" ht="15" customHeight="1">
      <c r="A8" s="10"/>
      <c r="B8" s="4" t="s">
        <v>34</v>
      </c>
      <c r="C8" s="4" t="s">
        <v>48</v>
      </c>
      <c r="D8" s="4" t="str">
        <f>C8</f>
        <v>kWh (el)</v>
      </c>
      <c r="E8" s="102">
        <v>5656775</v>
      </c>
      <c r="F8" s="61">
        <f>E8*INDEX(Konversionsfaktorer!C$5:C$21,MATCH(D8,Konversionsfaktorer!A$5:A$21,0))</f>
        <v>2517.2648749999998</v>
      </c>
      <c r="H8" s="73"/>
      <c r="I8" s="74"/>
      <c r="J8" s="74"/>
      <c r="K8" s="74"/>
      <c r="L8" s="74"/>
      <c r="M8" s="74"/>
      <c r="N8" s="74"/>
      <c r="O8" s="24"/>
    </row>
    <row r="9" spans="1:15" ht="15">
      <c r="A9" s="8"/>
      <c r="B9" s="8"/>
      <c r="C9" s="6"/>
      <c r="D9" s="6"/>
      <c r="E9" s="103"/>
      <c r="F9" s="62"/>
      <c r="H9" s="149" t="s">
        <v>321</v>
      </c>
      <c r="I9" s="150"/>
      <c r="J9" s="150"/>
      <c r="K9" s="150"/>
      <c r="L9" s="150"/>
      <c r="M9" s="150"/>
      <c r="N9" s="150"/>
      <c r="O9" s="151"/>
    </row>
    <row r="10" spans="1:15" ht="15">
      <c r="A10" s="14" t="s">
        <v>33</v>
      </c>
      <c r="B10" s="4" t="s">
        <v>29</v>
      </c>
      <c r="C10" s="4" t="s">
        <v>49</v>
      </c>
      <c r="D10" s="4" t="str">
        <f>C10</f>
        <v>kWh (fv)</v>
      </c>
      <c r="E10" s="101">
        <v>455440</v>
      </c>
      <c r="F10" s="61">
        <f>E10*INDEX(Konversionsfaktorer!C$5:C$21,MATCH(D10,Konversionsfaktorer!A$5:A$21,0))</f>
        <v>70.13776</v>
      </c>
      <c r="H10" s="149"/>
      <c r="I10" s="150"/>
      <c r="J10" s="150"/>
      <c r="K10" s="150"/>
      <c r="L10" s="150"/>
      <c r="M10" s="150"/>
      <c r="N10" s="150"/>
      <c r="O10" s="151"/>
    </row>
    <row r="11" spans="1:15">
      <c r="A11" s="9"/>
      <c r="B11" s="4" t="s">
        <v>35</v>
      </c>
      <c r="C11" s="4" t="s">
        <v>37</v>
      </c>
      <c r="D11" s="4" t="str">
        <f>B11&amp;" - "&amp;C11</f>
        <v>Fyringsolie - liter</v>
      </c>
      <c r="E11" s="87">
        <f>40791.6+9513.1</f>
        <v>50304.7</v>
      </c>
      <c r="F11" s="61">
        <f>E11*INDEX(Konversionsfaktorer!C$5:C$21,MATCH(D11,Konversionsfaktorer!A$5:A$21,0))</f>
        <v>133.81050199999999</v>
      </c>
      <c r="H11" s="149"/>
      <c r="I11" s="150"/>
      <c r="J11" s="150"/>
      <c r="K11" s="150"/>
      <c r="L11" s="150"/>
      <c r="M11" s="150"/>
      <c r="N11" s="150"/>
      <c r="O11" s="151"/>
    </row>
    <row r="12" spans="1:15" ht="15">
      <c r="A12" s="9"/>
      <c r="B12" s="4" t="s">
        <v>54</v>
      </c>
      <c r="C12" s="4" t="s">
        <v>55</v>
      </c>
      <c r="D12" s="4" t="str">
        <f>B12&amp;" - "&amp;C12</f>
        <v>Naturgas - m3</v>
      </c>
      <c r="E12" s="101"/>
      <c r="F12" s="61">
        <f>E12*INDEX(Konversionsfaktorer!C$5:C$21,MATCH(D12,Konversionsfaktorer!A$5:A$21,0))</f>
        <v>0</v>
      </c>
      <c r="H12" s="149"/>
      <c r="I12" s="150"/>
      <c r="J12" s="150"/>
      <c r="K12" s="150"/>
      <c r="L12" s="150"/>
      <c r="M12" s="150"/>
      <c r="N12" s="150"/>
      <c r="O12" s="151"/>
    </row>
    <row r="13" spans="1:15" ht="15">
      <c r="A13" s="10"/>
      <c r="B13" s="4" t="s">
        <v>25</v>
      </c>
      <c r="C13" s="4" t="s">
        <v>48</v>
      </c>
      <c r="D13" s="4" t="str">
        <f>C13</f>
        <v>kWh (el)</v>
      </c>
      <c r="E13" s="101"/>
      <c r="F13" s="61">
        <f>E13*INDEX(Konversionsfaktorer!C$5:C$21,MATCH(D13,Konversionsfaktorer!A$5:A$21,0))</f>
        <v>0</v>
      </c>
      <c r="H13" s="170" t="s">
        <v>319</v>
      </c>
      <c r="I13" s="171"/>
      <c r="J13" s="171"/>
      <c r="K13" s="171"/>
      <c r="L13" s="171"/>
      <c r="M13" s="171"/>
      <c r="N13" s="171"/>
      <c r="O13" s="151"/>
    </row>
    <row r="14" spans="1:15" ht="15">
      <c r="A14" s="8"/>
      <c r="B14" s="8"/>
      <c r="C14" s="6"/>
      <c r="D14" s="6"/>
      <c r="E14" s="103"/>
      <c r="F14" s="62"/>
      <c r="H14" s="158"/>
      <c r="I14" s="172"/>
      <c r="J14" s="172"/>
      <c r="K14" s="172"/>
      <c r="L14" s="172"/>
      <c r="M14" s="172"/>
      <c r="N14" s="172"/>
      <c r="O14" s="151"/>
    </row>
    <row r="15" spans="1:15" ht="15">
      <c r="A15" s="15" t="s">
        <v>31</v>
      </c>
      <c r="B15" s="4" t="s">
        <v>27</v>
      </c>
      <c r="C15" s="83" t="s">
        <v>47</v>
      </c>
      <c r="D15" s="4" t="str">
        <f t="shared" ref="D15:D23" si="0">B15&amp;" - "&amp;C15</f>
        <v>Elbiler - km</v>
      </c>
      <c r="E15" s="101"/>
      <c r="F15" s="61">
        <f>E15*INDEX(Konversionsfaktorer!C$5:C$21,MATCH(D15,Konversionsfaktorer!A$5:A$21,0))</f>
        <v>0</v>
      </c>
      <c r="H15" s="158"/>
      <c r="I15" s="172"/>
      <c r="J15" s="172"/>
      <c r="K15" s="172"/>
      <c r="L15" s="172"/>
      <c r="M15" s="172"/>
      <c r="N15" s="172"/>
      <c r="O15" s="151"/>
    </row>
    <row r="16" spans="1:15" ht="15">
      <c r="A16" s="9"/>
      <c r="B16" s="4" t="s">
        <v>38</v>
      </c>
      <c r="C16" s="4" t="s">
        <v>47</v>
      </c>
      <c r="D16" s="4" t="str">
        <f t="shared" si="0"/>
        <v>Medarbejderkørsel - km</v>
      </c>
      <c r="E16" s="101"/>
      <c r="F16" s="61">
        <f>E16*INDEX(Konversionsfaktorer!C$5:C$21,MATCH(D16,Konversionsfaktorer!A$5:A$21,0))</f>
        <v>0</v>
      </c>
      <c r="H16" s="158"/>
      <c r="I16" s="172"/>
      <c r="J16" s="172"/>
      <c r="K16" s="172"/>
      <c r="L16" s="172"/>
      <c r="M16" s="172"/>
      <c r="N16" s="172"/>
      <c r="O16" s="151"/>
    </row>
    <row r="17" spans="1:15" ht="15">
      <c r="A17" s="9"/>
      <c r="B17" s="4" t="s">
        <v>57</v>
      </c>
      <c r="C17" s="4" t="s">
        <v>47</v>
      </c>
      <c r="D17" s="4" t="str">
        <f t="shared" si="0"/>
        <v>Anden kørsel - km</v>
      </c>
      <c r="E17" s="101"/>
      <c r="F17" s="61">
        <f>E17*INDEX(Konversionsfaktorer!C$5:C$21,MATCH(D17,Konversionsfaktorer!A$5:A$21,0))</f>
        <v>0</v>
      </c>
      <c r="H17" s="158"/>
      <c r="I17" s="172"/>
      <c r="J17" s="172"/>
      <c r="K17" s="172"/>
      <c r="L17" s="172"/>
      <c r="M17" s="172"/>
      <c r="N17" s="172"/>
      <c r="O17" s="151"/>
    </row>
    <row r="18" spans="1:15" ht="15">
      <c r="A18" s="9"/>
      <c r="B18" s="4" t="s">
        <v>57</v>
      </c>
      <c r="C18" s="4" t="s">
        <v>56</v>
      </c>
      <c r="D18" s="4" t="str">
        <f t="shared" si="0"/>
        <v>Anden kørsel - kr</v>
      </c>
      <c r="E18" s="101"/>
      <c r="F18" s="61">
        <f>E18*INDEX(Konversionsfaktorer!C$5:C$21,MATCH(D18,Konversionsfaktorer!A$5:A$21,0))</f>
        <v>0</v>
      </c>
      <c r="H18" s="158"/>
      <c r="I18" s="172"/>
      <c r="J18" s="172"/>
      <c r="K18" s="172"/>
      <c r="L18" s="172"/>
      <c r="M18" s="172"/>
      <c r="N18" s="172"/>
      <c r="O18" s="151"/>
    </row>
    <row r="19" spans="1:15" ht="15">
      <c r="A19" s="9"/>
      <c r="B19" s="4" t="s">
        <v>46</v>
      </c>
      <c r="C19" s="4" t="s">
        <v>47</v>
      </c>
      <c r="D19" s="4" t="str">
        <f t="shared" si="0"/>
        <v>Hjemmehjælpen - km</v>
      </c>
      <c r="E19" s="102"/>
      <c r="F19" s="61">
        <f>E19*INDEX(Konversionsfaktorer!C$5:C$21,MATCH(D19,Konversionsfaktorer!A$5:A$21,0))</f>
        <v>0</v>
      </c>
      <c r="H19" s="158"/>
      <c r="I19" s="172"/>
      <c r="J19" s="172"/>
      <c r="K19" s="172"/>
      <c r="L19" s="172"/>
      <c r="M19" s="172"/>
      <c r="N19" s="172"/>
      <c r="O19" s="151"/>
    </row>
    <row r="20" spans="1:15" ht="15">
      <c r="A20" s="9"/>
      <c r="B20" s="4" t="s">
        <v>30</v>
      </c>
      <c r="C20" s="4" t="s">
        <v>37</v>
      </c>
      <c r="D20" s="4" t="str">
        <f t="shared" si="0"/>
        <v>Diesel - liter</v>
      </c>
      <c r="E20" s="101">
        <f>333200+116287.9</f>
        <v>449487.9</v>
      </c>
      <c r="F20" s="61">
        <f>E20*INDEX(Konversionsfaktorer!C$5:C$21,MATCH(D20,Konversionsfaktorer!A$5:A$21,0))</f>
        <v>1191.1429350000001</v>
      </c>
      <c r="H20" s="158" t="s">
        <v>317</v>
      </c>
      <c r="I20" s="172"/>
      <c r="J20" s="172"/>
      <c r="K20" s="172"/>
      <c r="L20" s="172"/>
      <c r="M20" s="172"/>
      <c r="N20" s="172"/>
      <c r="O20" s="151"/>
    </row>
    <row r="21" spans="1:15" ht="15">
      <c r="A21" s="9"/>
      <c r="B21" s="4" t="s">
        <v>32</v>
      </c>
      <c r="C21" s="4" t="s">
        <v>37</v>
      </c>
      <c r="D21" s="4" t="str">
        <f t="shared" si="0"/>
        <v>Benzin - liter</v>
      </c>
      <c r="E21" s="101"/>
      <c r="F21" s="61">
        <f>E21*INDEX(Konversionsfaktorer!C$5:C$21,MATCH(D21,Konversionsfaktorer!A$5:A$21,0))</f>
        <v>0</v>
      </c>
      <c r="H21" s="158"/>
      <c r="I21" s="172"/>
      <c r="J21" s="172"/>
      <c r="K21" s="172"/>
      <c r="L21" s="172"/>
      <c r="M21" s="172"/>
      <c r="N21" s="172"/>
      <c r="O21" s="151"/>
    </row>
    <row r="22" spans="1:15" ht="15">
      <c r="A22" s="9"/>
      <c r="B22" s="4" t="s">
        <v>39</v>
      </c>
      <c r="C22" s="83" t="s">
        <v>56</v>
      </c>
      <c r="D22" s="4" t="str">
        <f t="shared" si="0"/>
        <v>Taxa - kr</v>
      </c>
      <c r="E22" s="101"/>
      <c r="F22" s="61">
        <f>E22*INDEX(Konversionsfaktorer!C$5:C$21,MATCH(D22,Konversionsfaktorer!A$5:A$21,0))</f>
        <v>0</v>
      </c>
      <c r="H22" s="173"/>
      <c r="I22" s="174"/>
      <c r="J22" s="174"/>
      <c r="K22" s="174"/>
      <c r="L22" s="174"/>
      <c r="M22" s="174"/>
      <c r="N22" s="174"/>
      <c r="O22" s="157"/>
    </row>
    <row r="23" spans="1:15" ht="15">
      <c r="A23" s="9"/>
      <c r="B23" s="4" t="s">
        <v>40</v>
      </c>
      <c r="C23" s="4" t="s">
        <v>314</v>
      </c>
      <c r="D23" s="4" t="str">
        <f t="shared" si="0"/>
        <v>Fly - (rejsebureauet)</v>
      </c>
      <c r="E23" s="101"/>
      <c r="F23" s="83"/>
    </row>
    <row r="24" spans="1:15" ht="15">
      <c r="A24" s="9"/>
      <c r="B24" s="4" t="s">
        <v>41</v>
      </c>
      <c r="C24" s="4" t="s">
        <v>314</v>
      </c>
      <c r="D24" s="4"/>
      <c r="E24" s="101"/>
      <c r="F24" s="83"/>
    </row>
    <row r="25" spans="1:15" s="2" customFormat="1" ht="15">
      <c r="A25" s="10"/>
      <c r="B25" s="4" t="s">
        <v>42</v>
      </c>
      <c r="C25" s="4" t="s">
        <v>314</v>
      </c>
      <c r="D25" s="4"/>
      <c r="E25" s="101"/>
      <c r="F25" s="83"/>
      <c r="G25"/>
    </row>
    <row r="26" spans="1:15" ht="15">
      <c r="A26" s="8"/>
      <c r="B26" s="8"/>
      <c r="C26" s="6"/>
      <c r="D26" s="6"/>
      <c r="E26" s="6"/>
      <c r="F26" s="86"/>
    </row>
    <row r="27" spans="1:15" ht="57">
      <c r="A27" s="2"/>
      <c r="B27" s="2"/>
      <c r="C27" s="3" t="s">
        <v>411</v>
      </c>
      <c r="D27" s="3"/>
      <c r="E27" s="3" t="s">
        <v>410</v>
      </c>
      <c r="F27" s="3" t="s">
        <v>50</v>
      </c>
      <c r="G27" s="3" t="s">
        <v>51</v>
      </c>
    </row>
    <row r="28" spans="1:15">
      <c r="C28" s="140">
        <v>4370</v>
      </c>
      <c r="D28" s="114"/>
      <c r="E28" s="114">
        <f>C28*0.94</f>
        <v>4107.8</v>
      </c>
      <c r="F28" s="114">
        <f>SUM(F5:F26)</f>
        <v>3912.3560719999996</v>
      </c>
      <c r="G28" s="114">
        <f>(E28-F28)/E28*100+100</f>
        <v>104.75787350893424</v>
      </c>
    </row>
    <row r="29" spans="1:15" ht="18.75">
      <c r="C29" s="148" t="s">
        <v>53</v>
      </c>
      <c r="D29" s="148"/>
      <c r="E29" s="148"/>
      <c r="F29" s="148"/>
      <c r="G29" s="4" t="s">
        <v>52</v>
      </c>
    </row>
  </sheetData>
  <mergeCells count="7">
    <mergeCell ref="A1:B1"/>
    <mergeCell ref="B2:D2"/>
    <mergeCell ref="B3:D3"/>
    <mergeCell ref="C29:F29"/>
    <mergeCell ref="H9:O12"/>
    <mergeCell ref="H13:O19"/>
    <mergeCell ref="H20:O22"/>
  </mergeCells>
  <phoneticPr fontId="4" type="noConversion"/>
  <dataValidations count="2">
    <dataValidation type="list" allowBlank="1" showInputMessage="1" showErrorMessage="1" sqref="C15">
      <formula1>"kWh (el),km"</formula1>
    </dataValidation>
    <dataValidation type="list" allowBlank="1" showInputMessage="1" showErrorMessage="1" sqref="C22">
      <formula1>"kr,km"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9"/>
  <sheetViews>
    <sheetView showGridLines="0" topLeftCell="A4" workbookViewId="0">
      <selection activeCell="F11" sqref="F11"/>
    </sheetView>
  </sheetViews>
  <sheetFormatPr defaultRowHeight="14.25"/>
  <cols>
    <col min="1" max="1" width="30.75" bestFit="1" customWidth="1"/>
    <col min="2" max="2" width="26.25" customWidth="1"/>
    <col min="3" max="3" width="13.375" customWidth="1"/>
    <col min="4" max="4" width="12.375" hidden="1" customWidth="1"/>
    <col min="5" max="5" width="11.875" customWidth="1"/>
    <col min="6" max="7" width="11.75" customWidth="1"/>
  </cols>
  <sheetData>
    <row r="1" spans="1:15" ht="57">
      <c r="A1" s="143" t="s">
        <v>313</v>
      </c>
      <c r="B1" s="144"/>
      <c r="C1" s="11" t="s">
        <v>76</v>
      </c>
      <c r="D1" s="6"/>
      <c r="E1" s="12" t="s">
        <v>77</v>
      </c>
      <c r="F1" s="7" t="s">
        <v>36</v>
      </c>
    </row>
    <row r="2" spans="1:15" ht="15">
      <c r="A2" s="14" t="s">
        <v>78</v>
      </c>
      <c r="B2" s="145" t="s">
        <v>24</v>
      </c>
      <c r="C2" s="146"/>
      <c r="D2" s="147"/>
      <c r="E2" s="4">
        <f>Konversionsfaktorer!C2</f>
        <v>2011</v>
      </c>
      <c r="F2" s="4"/>
    </row>
    <row r="3" spans="1:15">
      <c r="A3" s="9"/>
      <c r="B3" s="145" t="s">
        <v>79</v>
      </c>
      <c r="C3" s="146"/>
      <c r="D3" s="147"/>
      <c r="E3" s="4" t="str">
        <f ca="1">MID(CELL("filename",E3),FIND("]",CELL("filename",E3))+1,99)</f>
        <v>Midttrafik</v>
      </c>
      <c r="F3" s="4"/>
    </row>
    <row r="4" spans="1:15">
      <c r="A4" s="6"/>
      <c r="B4" s="6"/>
      <c r="C4" s="6"/>
      <c r="D4" s="6"/>
      <c r="E4" s="6"/>
      <c r="F4" s="24"/>
    </row>
    <row r="5" spans="1:15" ht="15">
      <c r="A5" s="14" t="s">
        <v>25</v>
      </c>
      <c r="B5" s="4" t="s">
        <v>26</v>
      </c>
      <c r="C5" s="4" t="s">
        <v>48</v>
      </c>
      <c r="D5" s="4" t="str">
        <f>C5</f>
        <v>kWh (el)</v>
      </c>
      <c r="E5" s="101"/>
      <c r="F5" s="61">
        <f>E5*INDEX(Konversionsfaktorer!C$5:C$21,MATCH(D5,Konversionsfaktorer!A$5:A$21,0))</f>
        <v>0</v>
      </c>
      <c r="H5" s="70" t="s">
        <v>315</v>
      </c>
      <c r="I5" s="71"/>
      <c r="J5" s="71"/>
      <c r="K5" s="71"/>
      <c r="L5" s="71"/>
      <c r="M5" s="71"/>
      <c r="N5" s="71"/>
      <c r="O5" s="72"/>
    </row>
    <row r="6" spans="1:15" ht="15">
      <c r="A6" s="9"/>
      <c r="B6" s="4" t="s">
        <v>28</v>
      </c>
      <c r="C6" s="4" t="s">
        <v>48</v>
      </c>
      <c r="D6" s="4" t="str">
        <f>C6</f>
        <v>kWh (el)</v>
      </c>
      <c r="E6" s="101"/>
      <c r="F6" s="61">
        <f>E6*INDEX(Konversionsfaktorer!C$5:C$21,MATCH(D6,Konversionsfaktorer!A$5:A$21,0))</f>
        <v>0</v>
      </c>
      <c r="H6" s="73"/>
      <c r="I6" s="74"/>
      <c r="J6" s="74"/>
      <c r="K6" s="74"/>
      <c r="L6" s="74"/>
      <c r="M6" s="74"/>
      <c r="N6" s="74"/>
      <c r="O6" s="24"/>
    </row>
    <row r="7" spans="1:15" ht="15">
      <c r="A7" s="9"/>
      <c r="B7" s="4" t="s">
        <v>312</v>
      </c>
      <c r="C7" s="4" t="s">
        <v>48</v>
      </c>
      <c r="D7" s="4" t="str">
        <f>C7</f>
        <v>kWh (el)</v>
      </c>
      <c r="E7" s="102"/>
      <c r="F7" s="61">
        <f>E7*INDEX(Konversionsfaktorer!C$5:C$21,MATCH(D7,Konversionsfaktorer!A$5:A$21,0))</f>
        <v>0</v>
      </c>
      <c r="H7" s="73" t="s">
        <v>316</v>
      </c>
      <c r="I7" s="74"/>
      <c r="J7" s="74"/>
      <c r="K7" s="74"/>
      <c r="L7" s="74"/>
      <c r="M7" s="74"/>
      <c r="N7" s="74"/>
      <c r="O7" s="24"/>
    </row>
    <row r="8" spans="1:15" ht="15" customHeight="1">
      <c r="A8" s="10"/>
      <c r="B8" s="4" t="s">
        <v>34</v>
      </c>
      <c r="C8" s="4" t="s">
        <v>48</v>
      </c>
      <c r="D8" s="4" t="str">
        <f>C8</f>
        <v>kWh (el)</v>
      </c>
      <c r="E8" s="101">
        <f>848118</f>
        <v>848118</v>
      </c>
      <c r="F8" s="61">
        <f>E8*INDEX(Konversionsfaktorer!C$5:C$21,MATCH(D8,Konversionsfaktorer!A$5:A$21,0))</f>
        <v>377.41251</v>
      </c>
      <c r="H8" s="73"/>
      <c r="I8" s="74"/>
      <c r="J8" s="74"/>
      <c r="K8" s="74"/>
      <c r="L8" s="74"/>
      <c r="M8" s="74"/>
      <c r="N8" s="74"/>
      <c r="O8" s="24"/>
    </row>
    <row r="9" spans="1:15" ht="15">
      <c r="A9" s="8"/>
      <c r="B9" s="8"/>
      <c r="C9" s="6"/>
      <c r="D9" s="6"/>
      <c r="E9" s="103"/>
      <c r="F9" s="62"/>
      <c r="H9" s="149" t="s">
        <v>320</v>
      </c>
      <c r="I9" s="150"/>
      <c r="J9" s="150"/>
      <c r="K9" s="150"/>
      <c r="L9" s="150"/>
      <c r="M9" s="150"/>
      <c r="N9" s="150"/>
      <c r="O9" s="151"/>
    </row>
    <row r="10" spans="1:15" ht="15">
      <c r="A10" s="14" t="s">
        <v>33</v>
      </c>
      <c r="B10" s="4" t="s">
        <v>29</v>
      </c>
      <c r="C10" s="4" t="s">
        <v>49</v>
      </c>
      <c r="D10" s="4" t="str">
        <f>C10</f>
        <v>kWh (fv)</v>
      </c>
      <c r="E10" s="101"/>
      <c r="F10" s="61">
        <v>219.892</v>
      </c>
      <c r="H10" s="149"/>
      <c r="I10" s="150"/>
      <c r="J10" s="150"/>
      <c r="K10" s="150"/>
      <c r="L10" s="150"/>
      <c r="M10" s="150"/>
      <c r="N10" s="150"/>
      <c r="O10" s="151"/>
    </row>
    <row r="11" spans="1:15" ht="15">
      <c r="A11" s="9"/>
      <c r="B11" s="4" t="s">
        <v>35</v>
      </c>
      <c r="C11" s="4" t="s">
        <v>37</v>
      </c>
      <c r="D11" s="4" t="str">
        <f>B11&amp;" - "&amp;C11</f>
        <v>Fyringsolie - liter</v>
      </c>
      <c r="E11" s="101"/>
      <c r="F11" s="61">
        <f>E11*INDEX(Konversionsfaktorer!C$5:C$21,MATCH(D11,Konversionsfaktorer!A$5:A$21,0))</f>
        <v>0</v>
      </c>
      <c r="H11" s="149"/>
      <c r="I11" s="150"/>
      <c r="J11" s="150"/>
      <c r="K11" s="150"/>
      <c r="L11" s="150"/>
      <c r="M11" s="150"/>
      <c r="N11" s="150"/>
      <c r="O11" s="151"/>
    </row>
    <row r="12" spans="1:15" ht="15">
      <c r="A12" s="9"/>
      <c r="B12" s="4" t="s">
        <v>54</v>
      </c>
      <c r="C12" s="4" t="s">
        <v>55</v>
      </c>
      <c r="D12" s="4" t="str">
        <f>B12&amp;" - "&amp;C12</f>
        <v>Naturgas - m3</v>
      </c>
      <c r="E12" s="101"/>
      <c r="F12" s="61">
        <f>E12*INDEX(Konversionsfaktorer!C$5:C$21,MATCH(D12,Konversionsfaktorer!A$5:A$21,0))</f>
        <v>0</v>
      </c>
      <c r="H12" s="149"/>
      <c r="I12" s="150"/>
      <c r="J12" s="150"/>
      <c r="K12" s="150"/>
      <c r="L12" s="150"/>
      <c r="M12" s="150"/>
      <c r="N12" s="150"/>
      <c r="O12" s="151"/>
    </row>
    <row r="13" spans="1:15" ht="15">
      <c r="A13" s="10"/>
      <c r="B13" s="4" t="s">
        <v>25</v>
      </c>
      <c r="C13" s="4" t="s">
        <v>48</v>
      </c>
      <c r="D13" s="4" t="str">
        <f>C13</f>
        <v>kWh (el)</v>
      </c>
      <c r="E13" s="101"/>
      <c r="F13" s="61">
        <f>E13*INDEX(Konversionsfaktorer!C$5:C$21,MATCH(D13,Konversionsfaktorer!A$5:A$21,0))</f>
        <v>0</v>
      </c>
      <c r="H13" s="170" t="s">
        <v>319</v>
      </c>
      <c r="I13" s="171"/>
      <c r="J13" s="171"/>
      <c r="K13" s="171"/>
      <c r="L13" s="171"/>
      <c r="M13" s="171"/>
      <c r="N13" s="171"/>
      <c r="O13" s="151"/>
    </row>
    <row r="14" spans="1:15" ht="15">
      <c r="A14" s="8"/>
      <c r="B14" s="8"/>
      <c r="C14" s="6"/>
      <c r="D14" s="6"/>
      <c r="E14" s="103"/>
      <c r="F14" s="62"/>
      <c r="H14" s="158"/>
      <c r="I14" s="172"/>
      <c r="J14" s="172"/>
      <c r="K14" s="172"/>
      <c r="L14" s="172"/>
      <c r="M14" s="172"/>
      <c r="N14" s="172"/>
      <c r="O14" s="151"/>
    </row>
    <row r="15" spans="1:15" ht="15">
      <c r="A15" s="15" t="s">
        <v>31</v>
      </c>
      <c r="B15" s="4" t="s">
        <v>27</v>
      </c>
      <c r="C15" s="83" t="s">
        <v>47</v>
      </c>
      <c r="D15" s="4" t="str">
        <f t="shared" ref="D15:D23" si="0">B15&amp;" - "&amp;C15</f>
        <v>Elbiler - km</v>
      </c>
      <c r="E15" s="101"/>
      <c r="F15" s="61">
        <f>E15*INDEX(Konversionsfaktorer!C$5:C$21,MATCH(D15,Konversionsfaktorer!A$5:A$21,0))</f>
        <v>0</v>
      </c>
      <c r="H15" s="158"/>
      <c r="I15" s="172"/>
      <c r="J15" s="172"/>
      <c r="K15" s="172"/>
      <c r="L15" s="172"/>
      <c r="M15" s="172"/>
      <c r="N15" s="172"/>
      <c r="O15" s="151"/>
    </row>
    <row r="16" spans="1:15" ht="15">
      <c r="A16" s="9"/>
      <c r="B16" s="4" t="s">
        <v>38</v>
      </c>
      <c r="C16" s="4" t="s">
        <v>47</v>
      </c>
      <c r="D16" s="4" t="str">
        <f t="shared" si="0"/>
        <v>Medarbejderkørsel - km</v>
      </c>
      <c r="E16" s="101"/>
      <c r="F16" s="61">
        <f>E16*INDEX(Konversionsfaktorer!C$5:C$21,MATCH(D16,Konversionsfaktorer!A$5:A$21,0))</f>
        <v>0</v>
      </c>
      <c r="H16" s="158"/>
      <c r="I16" s="172"/>
      <c r="J16" s="172"/>
      <c r="K16" s="172"/>
      <c r="L16" s="172"/>
      <c r="M16" s="172"/>
      <c r="N16" s="172"/>
      <c r="O16" s="151"/>
    </row>
    <row r="17" spans="1:15" ht="15">
      <c r="A17" s="9"/>
      <c r="B17" s="4" t="s">
        <v>57</v>
      </c>
      <c r="C17" s="4" t="s">
        <v>47</v>
      </c>
      <c r="D17" s="4" t="str">
        <f t="shared" si="0"/>
        <v>Anden kørsel - km</v>
      </c>
      <c r="E17" s="101"/>
      <c r="F17" s="61">
        <f>E17*INDEX(Konversionsfaktorer!C$5:C$21,MATCH(D17,Konversionsfaktorer!A$5:A$21,0))</f>
        <v>0</v>
      </c>
      <c r="H17" s="158"/>
      <c r="I17" s="172"/>
      <c r="J17" s="172"/>
      <c r="K17" s="172"/>
      <c r="L17" s="172"/>
      <c r="M17" s="172"/>
      <c r="N17" s="172"/>
      <c r="O17" s="151"/>
    </row>
    <row r="18" spans="1:15" ht="15">
      <c r="A18" s="9"/>
      <c r="B18" s="4" t="s">
        <v>57</v>
      </c>
      <c r="C18" s="4" t="s">
        <v>56</v>
      </c>
      <c r="D18" s="4" t="str">
        <f t="shared" si="0"/>
        <v>Anden kørsel - kr</v>
      </c>
      <c r="E18" s="101"/>
      <c r="F18" s="61">
        <f>E18*INDEX(Konversionsfaktorer!C$5:C$21,MATCH(D18,Konversionsfaktorer!A$5:A$21,0))</f>
        <v>0</v>
      </c>
      <c r="H18" s="158"/>
      <c r="I18" s="172"/>
      <c r="J18" s="172"/>
      <c r="K18" s="172"/>
      <c r="L18" s="172"/>
      <c r="M18" s="172"/>
      <c r="N18" s="172"/>
      <c r="O18" s="151"/>
    </row>
    <row r="19" spans="1:15" ht="15">
      <c r="A19" s="9"/>
      <c r="B19" s="4" t="s">
        <v>46</v>
      </c>
      <c r="C19" s="4" t="s">
        <v>47</v>
      </c>
      <c r="D19" s="4" t="str">
        <f t="shared" si="0"/>
        <v>Hjemmehjælpen - km</v>
      </c>
      <c r="E19" s="102"/>
      <c r="F19" s="61">
        <f>E19*INDEX(Konversionsfaktorer!C$5:C$21,MATCH(D19,Konversionsfaktorer!A$5:A$21,0))</f>
        <v>0</v>
      </c>
      <c r="H19" s="158"/>
      <c r="I19" s="172"/>
      <c r="J19" s="172"/>
      <c r="K19" s="172"/>
      <c r="L19" s="172"/>
      <c r="M19" s="172"/>
      <c r="N19" s="172"/>
      <c r="O19" s="151"/>
    </row>
    <row r="20" spans="1:15" ht="15">
      <c r="A20" s="9"/>
      <c r="B20" s="4" t="s">
        <v>30</v>
      </c>
      <c r="C20" s="4" t="s">
        <v>37</v>
      </c>
      <c r="D20" s="4" t="str">
        <f t="shared" si="0"/>
        <v>Diesel - liter</v>
      </c>
      <c r="E20" s="101">
        <f>43546+6854794.53</f>
        <v>6898340.5300000003</v>
      </c>
      <c r="F20" s="61">
        <f>E20*INDEX(Konversionsfaktorer!C$5:C$21,MATCH(D20,Konversionsfaktorer!A$5:A$21,0))</f>
        <v>18280.602404500001</v>
      </c>
      <c r="H20" s="158" t="s">
        <v>326</v>
      </c>
      <c r="I20" s="172"/>
      <c r="J20" s="172"/>
      <c r="K20" s="172"/>
      <c r="L20" s="172"/>
      <c r="M20" s="172"/>
      <c r="N20" s="172"/>
      <c r="O20" s="151"/>
    </row>
    <row r="21" spans="1:15" ht="15">
      <c r="A21" s="9"/>
      <c r="B21" s="4" t="s">
        <v>32</v>
      </c>
      <c r="C21" s="4" t="s">
        <v>37</v>
      </c>
      <c r="D21" s="4" t="str">
        <f t="shared" si="0"/>
        <v>Benzin - liter</v>
      </c>
      <c r="E21" s="101">
        <f>3310</f>
        <v>3310</v>
      </c>
      <c r="F21" s="61">
        <f>E21*INDEX(Konversionsfaktorer!C$5:C$21,MATCH(D21,Konversionsfaktorer!A$5:A$21,0))</f>
        <v>7.6129999999999995</v>
      </c>
      <c r="H21" s="158"/>
      <c r="I21" s="172"/>
      <c r="J21" s="172"/>
      <c r="K21" s="172"/>
      <c r="L21" s="172"/>
      <c r="M21" s="172"/>
      <c r="N21" s="172"/>
      <c r="O21" s="151"/>
    </row>
    <row r="22" spans="1:15" ht="15">
      <c r="A22" s="9"/>
      <c r="B22" s="4" t="s">
        <v>39</v>
      </c>
      <c r="C22" s="83" t="s">
        <v>56</v>
      </c>
      <c r="D22" s="4" t="str">
        <f t="shared" si="0"/>
        <v>Taxa - kr</v>
      </c>
      <c r="E22" s="138"/>
      <c r="F22" s="61">
        <f>E22*INDEX(Konversionsfaktorer!C$5:C$21,MATCH(D22,Konversionsfaktorer!A$5:A$21,0))</f>
        <v>0</v>
      </c>
      <c r="H22" s="173"/>
      <c r="I22" s="174"/>
      <c r="J22" s="174"/>
      <c r="K22" s="174"/>
      <c r="L22" s="174"/>
      <c r="M22" s="174"/>
      <c r="N22" s="174"/>
      <c r="O22" s="157"/>
    </row>
    <row r="23" spans="1:15" ht="15">
      <c r="A23" s="9"/>
      <c r="B23" s="4" t="s">
        <v>40</v>
      </c>
      <c r="C23" s="4" t="s">
        <v>314</v>
      </c>
      <c r="D23" s="4" t="str">
        <f t="shared" si="0"/>
        <v>Fly - (rejsebureauet)</v>
      </c>
      <c r="E23" s="101"/>
      <c r="F23" s="83"/>
    </row>
    <row r="24" spans="1:15" ht="15">
      <c r="A24" s="9"/>
      <c r="B24" s="4" t="s">
        <v>41</v>
      </c>
      <c r="C24" s="4" t="s">
        <v>314</v>
      </c>
      <c r="D24" s="4"/>
      <c r="E24" s="101"/>
      <c r="F24" s="83"/>
    </row>
    <row r="25" spans="1:15" s="2" customFormat="1" ht="15">
      <c r="A25" s="10"/>
      <c r="B25" s="4" t="s">
        <v>42</v>
      </c>
      <c r="C25" s="4" t="s">
        <v>314</v>
      </c>
      <c r="D25" s="4"/>
      <c r="E25" s="101"/>
      <c r="F25" s="83"/>
      <c r="G25"/>
    </row>
    <row r="26" spans="1:15" ht="15">
      <c r="A26" s="8"/>
      <c r="B26" s="8"/>
      <c r="C26" s="6"/>
      <c r="D26" s="6"/>
      <c r="E26" s="6"/>
      <c r="F26" s="25"/>
    </row>
    <row r="27" spans="1:15" ht="57">
      <c r="A27" s="2"/>
      <c r="B27" s="2"/>
      <c r="C27" s="3" t="s">
        <v>411</v>
      </c>
      <c r="D27" s="3"/>
      <c r="E27" s="3" t="s">
        <v>410</v>
      </c>
      <c r="F27" s="3" t="s">
        <v>50</v>
      </c>
      <c r="G27" s="3" t="s">
        <v>51</v>
      </c>
    </row>
    <row r="28" spans="1:15">
      <c r="C28" s="140">
        <v>21304</v>
      </c>
      <c r="D28" s="114"/>
      <c r="E28" s="114">
        <f>C28*0.94</f>
        <v>20025.759999999998</v>
      </c>
      <c r="F28" s="114">
        <f>SUM(F5:F26)</f>
        <v>18885.519914500004</v>
      </c>
      <c r="G28" s="114">
        <f>(E28-F28)/E28*100+100</f>
        <v>105.6938667271554</v>
      </c>
    </row>
    <row r="29" spans="1:15" ht="18.75">
      <c r="C29" s="148" t="s">
        <v>53</v>
      </c>
      <c r="D29" s="148"/>
      <c r="E29" s="148"/>
      <c r="F29" s="148"/>
      <c r="G29" s="4" t="s">
        <v>52</v>
      </c>
    </row>
  </sheetData>
  <mergeCells count="7">
    <mergeCell ref="A1:B1"/>
    <mergeCell ref="B2:D2"/>
    <mergeCell ref="B3:D3"/>
    <mergeCell ref="C29:F29"/>
    <mergeCell ref="H9:O12"/>
    <mergeCell ref="H13:O19"/>
    <mergeCell ref="H20:O22"/>
  </mergeCells>
  <phoneticPr fontId="4" type="noConversion"/>
  <dataValidations count="2">
    <dataValidation type="list" allowBlank="1" showInputMessage="1" showErrorMessage="1" sqref="C15">
      <formula1>"kWh (el),km"</formula1>
    </dataValidation>
    <dataValidation type="list" allowBlank="1" showInputMessage="1" showErrorMessage="1" sqref="C22">
      <formula1>"kr,km"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23</vt:i4>
      </vt:variant>
      <vt:variant>
        <vt:lpstr>Navngivne områder</vt:lpstr>
      </vt:variant>
      <vt:variant>
        <vt:i4>96</vt:i4>
      </vt:variant>
    </vt:vector>
  </HeadingPairs>
  <TitlesOfParts>
    <vt:vector size="119" baseType="lpstr">
      <vt:lpstr>INTRO</vt:lpstr>
      <vt:lpstr>Borgmesterens afd</vt:lpstr>
      <vt:lpstr>Børn og Unge</vt:lpstr>
      <vt:lpstr>Kultur og Borgerservice</vt:lpstr>
      <vt:lpstr>Social og Beskæftigelse</vt:lpstr>
      <vt:lpstr>Sundhed og Omsorg</vt:lpstr>
      <vt:lpstr>Teknik og Miljø</vt:lpstr>
      <vt:lpstr>Århus Havn</vt:lpstr>
      <vt:lpstr>Midttrafik</vt:lpstr>
      <vt:lpstr>AffaldVarme Århus</vt:lpstr>
      <vt:lpstr>Ejendomsforvaltningen</vt:lpstr>
      <vt:lpstr>Fællesadministrationen</vt:lpstr>
      <vt:lpstr>Natur og Miljø</vt:lpstr>
      <vt:lpstr>Planlægning og Byggeri</vt:lpstr>
      <vt:lpstr>Trafik og Veje</vt:lpstr>
      <vt:lpstr>Natur og Vejservice</vt:lpstr>
      <vt:lpstr>Århus Brandvæsen</vt:lpstr>
      <vt:lpstr>Århus Vand AS</vt:lpstr>
      <vt:lpstr>Samlet</vt:lpstr>
      <vt:lpstr>Grafer</vt:lpstr>
      <vt:lpstr>Egne grafer</vt:lpstr>
      <vt:lpstr>Konversionsfaktorer</vt:lpstr>
      <vt:lpstr>kontakter</vt:lpstr>
      <vt:lpstr>Biomass_C_content</vt:lpstr>
      <vt:lpstr>C_CO2_conversion</vt:lpstr>
      <vt:lpstr>C_N_ratio</vt:lpstr>
      <vt:lpstr>C_N_ratio_EF_N2O_org_soils</vt:lpstr>
      <vt:lpstr>CH4_wet</vt:lpstr>
      <vt:lpstr>CO2_eq._effect_of_wetlands</vt:lpstr>
      <vt:lpstr>CO2_eq_SP</vt:lpstr>
      <vt:lpstr>CO2_eq_wet</vt:lpstr>
      <vt:lpstr>CO2_forest</vt:lpstr>
      <vt:lpstr>CO2_forest_buildup</vt:lpstr>
      <vt:lpstr>CO2_forest_rem</vt:lpstr>
      <vt:lpstr>CO2_lime_leached</vt:lpstr>
      <vt:lpstr>CO2_lime_sett</vt:lpstr>
      <vt:lpstr>CO2_sett_min_fer</vt:lpstr>
      <vt:lpstr>CO2_SP</vt:lpstr>
      <vt:lpstr>CO2_wet</vt:lpstr>
      <vt:lpstr>dddd</vt:lpstr>
      <vt:lpstr>dddddddd</vt:lpstr>
      <vt:lpstr>dddddddddd</vt:lpstr>
      <vt:lpstr>ddddddddddddddd</vt:lpstr>
      <vt:lpstr>ddddddddddddddddddddd</vt:lpstr>
      <vt:lpstr>EF_leaching_inorganic_N</vt:lpstr>
      <vt:lpstr>EF_limestone</vt:lpstr>
      <vt:lpstr>EF_N2O_leaching</vt:lpstr>
      <vt:lpstr>EF_N2O_mineral_fertilser</vt:lpstr>
      <vt:lpstr>EF_N2O_org_soils</vt:lpstr>
      <vt:lpstr>EF_N2O_other_nitrogen</vt:lpstr>
      <vt:lpstr>ffff</vt:lpstr>
      <vt:lpstr>Forest_aff_broad_cc</vt:lpstr>
      <vt:lpstr>Forest_aff_broad_PK</vt:lpstr>
      <vt:lpstr>Forest_aff_conif_cc</vt:lpstr>
      <vt:lpstr>Forest_aff_conif_ha</vt:lpstr>
      <vt:lpstr>Forest_aff_conif_PK</vt:lpstr>
      <vt:lpstr>Forest_aff_mixed_cc</vt:lpstr>
      <vt:lpstr>Forest_aff_mixed_ha</vt:lpstr>
      <vt:lpstr>Forest_aff_mixed_PK</vt:lpstr>
      <vt:lpstr>Forest_aff_open_cc</vt:lpstr>
      <vt:lpstr>Forest_aff_open_ha</vt:lpstr>
      <vt:lpstr>Forest_aff_open_PK</vt:lpstr>
      <vt:lpstr>Forest_BEF_broad</vt:lpstr>
      <vt:lpstr>Forest_BEF_conif</vt:lpstr>
      <vt:lpstr>Forest_BEF_mixed</vt:lpstr>
      <vt:lpstr>Forest_BEF_open</vt:lpstr>
      <vt:lpstr>Forest_def_rem_broad_m3</vt:lpstr>
      <vt:lpstr>Forest_def_rem_conif_m3</vt:lpstr>
      <vt:lpstr>Forest_def_rem_mixed_m3</vt:lpstr>
      <vt:lpstr>Forest_def_rem_open_m3</vt:lpstr>
      <vt:lpstr>Forest_density_broad</vt:lpstr>
      <vt:lpstr>Forest_density_conif</vt:lpstr>
      <vt:lpstr>Forest_density_mixed</vt:lpstr>
      <vt:lpstr>Forest_density_open</vt:lpstr>
      <vt:lpstr>gggggggggggggg</vt:lpstr>
      <vt:lpstr>GWP_CH4</vt:lpstr>
      <vt:lpstr>GWP_N2O</vt:lpstr>
      <vt:lpstr>Lime_cons_settlement</vt:lpstr>
      <vt:lpstr>Lime_purity_sett</vt:lpstr>
      <vt:lpstr>N_cons_settlement</vt:lpstr>
      <vt:lpstr>N2O_Atomic_weight</vt:lpstr>
      <vt:lpstr>N2O_sett_fert</vt:lpstr>
      <vt:lpstr>N2O_SP</vt:lpstr>
      <vt:lpstr>N2O_wet</vt:lpstr>
      <vt:lpstr>new</vt:lpstr>
      <vt:lpstr>ok</vt:lpstr>
      <vt:lpstr>Shoot_root_forest_broad</vt:lpstr>
      <vt:lpstr>Shoot_root_forest_conif</vt:lpstr>
      <vt:lpstr>Shoot_root_forest_mixed</vt:lpstr>
      <vt:lpstr>Shoot_root_forest_open</vt:lpstr>
      <vt:lpstr>SP_glasshouses_m3</vt:lpstr>
      <vt:lpstr>SP_municipality_m3</vt:lpstr>
      <vt:lpstr>SP_privategardens_m3</vt:lpstr>
      <vt:lpstr>Spagnum_ash_content</vt:lpstr>
      <vt:lpstr>Spagnum_C_fraction</vt:lpstr>
      <vt:lpstr>Spagnum_density</vt:lpstr>
      <vt:lpstr>Spagnum_dry_matter</vt:lpstr>
      <vt:lpstr>Spagnum_N_fraction</vt:lpstr>
      <vt:lpstr>ssss</vt:lpstr>
      <vt:lpstr>Samlet!Udskriftsområde</vt:lpstr>
      <vt:lpstr>Wet_agr_ha</vt:lpstr>
      <vt:lpstr>Wet_agr_lake</vt:lpstr>
      <vt:lpstr>Wet_agr_om_buildup</vt:lpstr>
      <vt:lpstr>Wet_CH4_lake_ha</vt:lpstr>
      <vt:lpstr>Wet_CH4_soil_ha</vt:lpstr>
      <vt:lpstr>Wet_lake_after_ha</vt:lpstr>
      <vt:lpstr>Wet_lake_after_ha1</vt:lpstr>
      <vt:lpstr>Wet_lake_before_ha</vt:lpstr>
      <vt:lpstr>Wet_nitrogen_rem_total</vt:lpstr>
      <vt:lpstr>Wet_org_soil_EF</vt:lpstr>
      <vt:lpstr>Wet_org_soil_ha</vt:lpstr>
      <vt:lpstr>year</vt:lpstr>
      <vt:lpstr>aaa</vt:lpstr>
      <vt:lpstr>aaaaaaaaaa</vt:lpstr>
      <vt:lpstr>aaaaaaaaaaa</vt:lpstr>
      <vt:lpstr>aaaaaaaaaaaaa</vt:lpstr>
      <vt:lpstr>aaaaaaaaaaaaaa</vt:lpstr>
      <vt:lpstr>aaaaaaaaaaaaaaaa</vt:lpstr>
      <vt:lpstr>aaaaaaaaaaaaaaaac</vt:lpstr>
    </vt:vector>
  </TitlesOfParts>
  <Company>COWI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ASVE</dc:creator>
  <cp:lastModifiedBy>Marc Eskelund</cp:lastModifiedBy>
  <cp:lastPrinted>2011-07-06T09:49:31Z</cp:lastPrinted>
  <dcterms:created xsi:type="dcterms:W3CDTF">2010-02-25T08:55:14Z</dcterms:created>
  <dcterms:modified xsi:type="dcterms:W3CDTF">2012-09-28T14:25:18Z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2020502153</vt:i4>
  </property>
  <property fmtid="{D5CDD505-2E9C-101B-9397-08002B2CF9AE}" pid="3" name="_NewReviewCycle">
    <vt:lpwstr/>
  </property>
  <property fmtid="{D5CDD505-2E9C-101B-9397-08002B2CF9AE}" pid="4" name="_EmailSubject">
    <vt:lpwstr>Co2-opgørelse 2012 for Aarhus Kommune</vt:lpwstr>
  </property>
  <property fmtid="{D5CDD505-2E9C-101B-9397-08002B2CF9AE}" pid="5" name="_AuthorEmail">
    <vt:lpwstr>thdp@aarhus.dk</vt:lpwstr>
  </property>
  <property fmtid="{D5CDD505-2E9C-101B-9397-08002B2CF9AE}" pid="6" name="_AuthorEmailDisplayName">
    <vt:lpwstr>Thomas Dejbjerg Pedersen</vt:lpwstr>
  </property>
  <property fmtid="{D5CDD505-2E9C-101B-9397-08002B2CF9AE}" pid="7" name="_PreviousAdHocReviewCycleID">
    <vt:i4>-1127199289</vt:i4>
  </property>
  <property fmtid="{D5CDD505-2E9C-101B-9397-08002B2CF9AE}" pid="8" name="_ReviewingToolsShownOnce">
    <vt:lpwstr/>
  </property>
</Properties>
</file>