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700" windowHeight="12705" tabRatio="640" firstSheet="1" activeTab="4"/>
  </bookViews>
  <sheets>
    <sheet name="Introark" sheetId="6" r:id="rId1"/>
    <sheet name="Bygn el og varmeforbrug mm" sheetId="1" r:id="rId2"/>
    <sheet name="Transport eksempel" sheetId="3" r:id="rId3"/>
    <sheet name="Andre projekter eksempel" sheetId="4" r:id="rId4"/>
    <sheet name="Samlet opgørelse eksempel" sheetId="5" r:id="rId5"/>
    <sheet name="Emissionsfaktorer" sheetId="2" r:id="rId6"/>
  </sheets>
  <definedNames>
    <definedName name="_xlnm.Print_Area" localSheetId="3">'Andre projekter eksempel'!$A$1:$C$26</definedName>
    <definedName name="_xlnm.Print_Area" localSheetId="1">'Bygn el og varmeforbrug mm'!$A$1:$M$101</definedName>
    <definedName name="_xlnm.Print_Area" localSheetId="5">Emissionsfaktorer!$A$1:$D$23</definedName>
    <definedName name="_xlnm.Print_Area" localSheetId="0">Introark!$A$1:$L$20</definedName>
    <definedName name="_xlnm.Print_Area" localSheetId="4">'Samlet opgørelse eksempel'!$A$1:$I$38</definedName>
    <definedName name="_xlnm.Print_Area" localSheetId="2">'Transport eksempel'!$A$1:$E$24</definedName>
  </definedNames>
  <calcPr calcId="125725"/>
</workbook>
</file>

<file path=xl/calcChain.xml><?xml version="1.0" encoding="utf-8"?>
<calcChain xmlns="http://schemas.openxmlformats.org/spreadsheetml/2006/main">
  <c r="L100" i="1"/>
  <c r="E100"/>
  <c r="F98" l="1"/>
  <c r="F97"/>
  <c r="F96"/>
  <c r="F89"/>
  <c r="F84"/>
  <c r="F80"/>
  <c r="F78"/>
  <c r="F73"/>
  <c r="F72"/>
  <c r="F71"/>
  <c r="F70"/>
  <c r="G69" s="1"/>
  <c r="F64"/>
  <c r="F62"/>
  <c r="F61"/>
  <c r="F60"/>
  <c r="F59"/>
  <c r="G58" s="1"/>
  <c r="F57"/>
  <c r="G54" s="1"/>
  <c r="E54"/>
  <c r="F50"/>
  <c r="F49"/>
  <c r="F48"/>
  <c r="F46"/>
  <c r="F44"/>
  <c r="F36"/>
  <c r="F32"/>
  <c r="F31"/>
  <c r="F30"/>
  <c r="G22" s="1"/>
  <c r="F27"/>
  <c r="F19"/>
  <c r="F18"/>
  <c r="F17"/>
  <c r="F16"/>
  <c r="F15"/>
  <c r="F14"/>
  <c r="F13"/>
  <c r="F12"/>
  <c r="F11"/>
  <c r="G10" s="1"/>
  <c r="J95"/>
  <c r="J94"/>
  <c r="J93"/>
  <c r="J92"/>
  <c r="J91"/>
  <c r="J90"/>
  <c r="J88"/>
  <c r="J87"/>
  <c r="J86"/>
  <c r="J85"/>
  <c r="J83"/>
  <c r="J82"/>
  <c r="J81"/>
  <c r="J79"/>
  <c r="J77"/>
  <c r="J76"/>
  <c r="J75"/>
  <c r="J74"/>
  <c r="K69" s="1"/>
  <c r="J68"/>
  <c r="J67"/>
  <c r="J66"/>
  <c r="K65" s="1"/>
  <c r="L65" s="1"/>
  <c r="M65" s="1"/>
  <c r="J63"/>
  <c r="K58" s="1"/>
  <c r="J56"/>
  <c r="J55"/>
  <c r="K54" s="1"/>
  <c r="J52"/>
  <c r="J51"/>
  <c r="J47"/>
  <c r="J45"/>
  <c r="J42"/>
  <c r="J41"/>
  <c r="J40"/>
  <c r="J39"/>
  <c r="J38"/>
  <c r="J37"/>
  <c r="J35"/>
  <c r="J34"/>
  <c r="J33"/>
  <c r="J29"/>
  <c r="J28"/>
  <c r="J26"/>
  <c r="J25"/>
  <c r="J23"/>
  <c r="K22" s="1"/>
  <c r="J21"/>
  <c r="J20"/>
  <c r="K10" s="1"/>
  <c r="L10" l="1"/>
  <c r="M10" s="1"/>
  <c r="G99"/>
  <c r="G100" s="1"/>
  <c r="L22"/>
  <c r="M22" s="1"/>
  <c r="L69"/>
  <c r="M69" s="1"/>
  <c r="K99"/>
  <c r="K100" s="1"/>
  <c r="L54"/>
  <c r="M54" s="1"/>
  <c r="L58"/>
  <c r="M58" s="1"/>
  <c r="E99" l="1"/>
  <c r="G65"/>
  <c r="E101" l="1"/>
  <c r="E69"/>
  <c r="E65"/>
  <c r="E58"/>
  <c r="E22"/>
  <c r="E10" l="1"/>
  <c r="I69" l="1"/>
  <c r="C69"/>
  <c r="I65"/>
  <c r="C65"/>
  <c r="I54"/>
  <c r="C54"/>
  <c r="C10"/>
  <c r="C22"/>
  <c r="I22"/>
  <c r="C27" i="5" l="1"/>
  <c r="B27"/>
  <c r="B22"/>
  <c r="B17"/>
  <c r="D23" i="2"/>
  <c r="C23" i="3"/>
  <c r="C24" s="1"/>
  <c r="D21" i="5" s="1"/>
  <c r="F21" s="1"/>
  <c r="B8"/>
  <c r="B10" i="4"/>
  <c r="B12" s="1"/>
  <c r="C16" i="3"/>
  <c r="C17" s="1"/>
  <c r="C10"/>
  <c r="B10"/>
  <c r="E7"/>
  <c r="D9"/>
  <c r="D8"/>
  <c r="C58" i="1"/>
  <c r="C99" s="1"/>
  <c r="E10" i="3" l="1"/>
  <c r="C37" i="5"/>
  <c r="D37" s="1"/>
  <c r="C36"/>
  <c r="B23" i="4"/>
  <c r="B38" i="5"/>
  <c r="G37" s="1"/>
  <c r="G36"/>
  <c r="B25" i="4"/>
  <c r="E8" i="3"/>
  <c r="D19" i="5" s="1"/>
  <c r="F19" s="1"/>
  <c r="D18"/>
  <c r="D7" i="3"/>
  <c r="D10" s="1"/>
  <c r="D20" i="5"/>
  <c r="F20" s="1"/>
  <c r="C9" i="3"/>
  <c r="B9"/>
  <c r="I58" i="1"/>
  <c r="I10"/>
  <c r="I99"/>
  <c r="I100" s="1"/>
  <c r="L101" l="1"/>
  <c r="F18" i="5"/>
  <c r="D17"/>
  <c r="F17" s="1"/>
  <c r="C38"/>
  <c r="G38"/>
  <c r="D24"/>
  <c r="D36" l="1"/>
  <c r="D38" s="1"/>
  <c r="H37" s="1"/>
  <c r="D13"/>
  <c r="F13" s="1"/>
  <c r="D10"/>
  <c r="D12"/>
  <c r="F12" s="1"/>
  <c r="D14"/>
  <c r="F14" s="1"/>
  <c r="F24"/>
  <c r="D22"/>
  <c r="D11"/>
  <c r="F11" s="1"/>
  <c r="E17"/>
  <c r="F10" l="1"/>
  <c r="D8"/>
  <c r="E8"/>
  <c r="G8" s="1"/>
  <c r="E22"/>
  <c r="G22" s="1"/>
  <c r="F22"/>
  <c r="G17"/>
  <c r="F8" l="1"/>
  <c r="D27"/>
  <c r="F27" s="1"/>
  <c r="E27"/>
  <c r="H36" s="1"/>
  <c r="H38" s="1"/>
  <c r="I38" s="1"/>
  <c r="G27" l="1"/>
  <c r="I36" s="1"/>
</calcChain>
</file>

<file path=xl/sharedStrings.xml><?xml version="1.0" encoding="utf-8"?>
<sst xmlns="http://schemas.openxmlformats.org/spreadsheetml/2006/main" count="305" uniqueCount="243">
  <si>
    <t>Fyringsolie</t>
  </si>
  <si>
    <t>Naturgas</t>
  </si>
  <si>
    <t>Diesel</t>
  </si>
  <si>
    <t>Benzin</t>
  </si>
  <si>
    <t>Plejepersonalekørsel (hjemmehjælp)</t>
  </si>
  <si>
    <t>Kørsel i privatbiler</t>
  </si>
  <si>
    <t>Kr.</t>
  </si>
  <si>
    <t xml:space="preserve"> km/år </t>
  </si>
  <si>
    <t>El</t>
  </si>
  <si>
    <t>Varme</t>
  </si>
  <si>
    <t>g/km</t>
  </si>
  <si>
    <t>ton/år</t>
  </si>
  <si>
    <t>Enhed</t>
  </si>
  <si>
    <t>Værdi</t>
  </si>
  <si>
    <t>Energistyrelsen</t>
  </si>
  <si>
    <t>MJ/liter</t>
  </si>
  <si>
    <r>
      <t>MJ/Nm</t>
    </r>
    <r>
      <rPr>
        <vertAlign val="superscript"/>
        <sz val="9"/>
        <color theme="1"/>
        <rFont val="Verdana"/>
        <family val="2"/>
      </rPr>
      <t>3</t>
    </r>
  </si>
  <si>
    <t>g/kwh</t>
  </si>
  <si>
    <t>g/liter</t>
  </si>
  <si>
    <r>
      <t>Total CO</t>
    </r>
    <r>
      <rPr>
        <b/>
        <vertAlign val="subscript"/>
        <sz val="8"/>
        <color theme="1"/>
        <rFont val="Verdana"/>
        <family val="2"/>
      </rPr>
      <t>2</t>
    </r>
    <r>
      <rPr>
        <b/>
        <sz val="8"/>
        <color theme="1"/>
        <rFont val="Verdana"/>
        <family val="2"/>
      </rPr>
      <t xml:space="preserve"> udledning</t>
    </r>
  </si>
  <si>
    <t>Område/delområde</t>
  </si>
  <si>
    <t>Ændring (%)</t>
  </si>
  <si>
    <t>Transport i alt</t>
  </si>
  <si>
    <t>I alt</t>
  </si>
  <si>
    <t>kWh</t>
  </si>
  <si>
    <t>liter</t>
  </si>
  <si>
    <t>Areal</t>
  </si>
  <si>
    <t>Fjernvarme</t>
  </si>
  <si>
    <t>Antal borgere =</t>
  </si>
  <si>
    <t>Kilde</t>
  </si>
  <si>
    <t>Energinet.dk</t>
  </si>
  <si>
    <t>Lokal fjernvarmeværk</t>
  </si>
  <si>
    <t>Skoler i alt</t>
  </si>
  <si>
    <t>Daginstitutioner i alt</t>
  </si>
  <si>
    <t>Energiforbrug i kommunens bygninger i 2009</t>
  </si>
  <si>
    <t>m2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</si>
  <si>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</si>
  <si>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</si>
  <si>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</si>
  <si>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</si>
  <si>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</si>
  <si>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</si>
  <si>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</si>
  <si>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-udledninger</t>
    </r>
  </si>
  <si>
    <t>CO2-emission (tons)</t>
  </si>
  <si>
    <t>Opgørelse for transport</t>
  </si>
  <si>
    <t>Forvaltningens køretøjer</t>
  </si>
  <si>
    <t>Kørsel i private køretøjer</t>
  </si>
  <si>
    <t>Udbetalt refusion</t>
  </si>
  <si>
    <t>Teknisk forvaltnings forbrug</t>
  </si>
  <si>
    <t>Energiindhold</t>
  </si>
  <si>
    <t>tons CO2</t>
  </si>
  <si>
    <t>CO2-emission</t>
  </si>
  <si>
    <t>Opgørelse for andre projekter</t>
  </si>
  <si>
    <t>Opstilling af vedvarende energi</t>
  </si>
  <si>
    <t>Projektbeskrivelse</t>
  </si>
  <si>
    <t>Opstilling af i alt 6,2 MW vindmøller på havnen</t>
  </si>
  <si>
    <t>Startår</t>
  </si>
  <si>
    <t>dokumentnavn</t>
  </si>
  <si>
    <t>årstal</t>
  </si>
  <si>
    <t>MW</t>
  </si>
  <si>
    <t>kr./km</t>
  </si>
  <si>
    <t>Kommunen</t>
  </si>
  <si>
    <t>Sats for kilometergodtgørelse 2009</t>
  </si>
  <si>
    <t>Brændstofforbrug</t>
  </si>
  <si>
    <t>Kørte km</t>
  </si>
  <si>
    <t>CO2-emission pr. m2</t>
  </si>
  <si>
    <t>kg CO2 pr. m2</t>
  </si>
  <si>
    <r>
      <t>Naturkøbing Kommune</t>
    </r>
    <r>
      <rPr>
        <b/>
        <sz val="10"/>
        <color rgb="FF000000"/>
        <rFont val="Verdana"/>
        <family val="2"/>
      </rPr>
      <t xml:space="preserve"> </t>
    </r>
  </si>
  <si>
    <t xml:space="preserve">  - Adm. bygninger i alt</t>
  </si>
  <si>
    <t xml:space="preserve">  - Skoler i alt</t>
  </si>
  <si>
    <t xml:space="preserve">  - Daginstitutioner i alt</t>
  </si>
  <si>
    <t xml:space="preserve">  - Fritidsklubber i alt</t>
  </si>
  <si>
    <t xml:space="preserve">  - Ældrepleje i alt</t>
  </si>
  <si>
    <t xml:space="preserve">  - Specialinstitutioner i alt</t>
  </si>
  <si>
    <t xml:space="preserve">  - Kulturinstitutioner i alt</t>
  </si>
  <si>
    <t xml:space="preserve">  - Sportsanlæg</t>
  </si>
  <si>
    <t>Bygningers el og varmeforbrug i alt</t>
  </si>
  <si>
    <t>Fiktiv CO2-emission til sammenligning (500 g CO2/kWh)</t>
  </si>
  <si>
    <t>Energiproduktion</t>
  </si>
  <si>
    <t>MWh/år</t>
  </si>
  <si>
    <t>Skovrejsning</t>
  </si>
  <si>
    <t>Rejsning af 3 ha skov - status fredskov</t>
  </si>
  <si>
    <t>ha</t>
  </si>
  <si>
    <t>CO2-binding</t>
  </si>
  <si>
    <t>Additionalitet og effekt dokumenteret ved</t>
  </si>
  <si>
    <t>tons CO2/år</t>
  </si>
  <si>
    <t>CO2-emissionsreduktion pr. år i perioden</t>
  </si>
  <si>
    <t>2009*</t>
  </si>
  <si>
    <t>2008*</t>
  </si>
  <si>
    <t xml:space="preserve">  - Plejepersonalekørsel</t>
  </si>
  <si>
    <t xml:space="preserve">  - Teknisk forvaltning</t>
  </si>
  <si>
    <t>Samlet opgørelse</t>
  </si>
  <si>
    <t>* Fiktivt tal til sammenligning imellem årene (500 g CO2/kWh for el)</t>
  </si>
  <si>
    <t xml:space="preserve">  - Kørsel i private køretøjer</t>
  </si>
  <si>
    <t>Ændring (%)*</t>
  </si>
  <si>
    <t>Kørsel i private køretøjer (benzin eller diesel)</t>
  </si>
  <si>
    <t>Energibesparende tiltag (kerneområder)</t>
  </si>
  <si>
    <t>Andre klimaprojekter</t>
  </si>
  <si>
    <t>Projekt</t>
  </si>
  <si>
    <t>ton CO2 / år</t>
  </si>
  <si>
    <t>Fiktiv til sammenligning</t>
  </si>
  <si>
    <t>CO2-reduktion indregnet andre projekter</t>
  </si>
  <si>
    <t>Andre proj.</t>
  </si>
  <si>
    <t>MWh/MW/år</t>
  </si>
  <si>
    <t>CO2-binding pr. hektar</t>
  </si>
  <si>
    <t>tons CO2/ha/år</t>
  </si>
  <si>
    <t>Skov_Kipnæs_2010.docx</t>
  </si>
  <si>
    <t>Vind_på_havnen_2009.docx</t>
  </si>
  <si>
    <t>Driftstartår</t>
  </si>
  <si>
    <t>Levetid</t>
  </si>
  <si>
    <t>år</t>
  </si>
  <si>
    <t>Vækstperiode</t>
  </si>
  <si>
    <t>I alt bidrag til reduceret CO2-emission på elforbruget</t>
  </si>
  <si>
    <t>Reduktions-andel</t>
  </si>
  <si>
    <t>Opstilling og drift af vindmøller (elproduktion)</t>
  </si>
  <si>
    <t>Skovrejsning (CO2-binding)</t>
  </si>
  <si>
    <t>- og andre faktorer</t>
  </si>
  <si>
    <t>Anden faktor</t>
  </si>
  <si>
    <t>Additionalitet og effekt dokumenteret ved*</t>
  </si>
  <si>
    <t>* http://www.sns.dk/udgivelser/2003/nyeskove/html/kap08.htm</t>
  </si>
  <si>
    <t>Produktion (MWh/MW/år vindkorr.)*</t>
  </si>
  <si>
    <t>* http://www.dkvind.dk/materiale/statistik/pdf/elprod_apr11.pdf</t>
  </si>
  <si>
    <t>Graddagskorrigerede tal for varmeforbrug</t>
  </si>
  <si>
    <t>Bilag 1 – Regneark med opstillet CO2-opgørelse for en fiktiv kommune</t>
  </si>
  <si>
    <t>Bilag til:</t>
  </si>
  <si>
    <t>Klimakommuner</t>
  </si>
  <si>
    <r>
      <t>Vejledning til opgørelse af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-udledninger og</t>
    </r>
  </si>
  <si>
    <t>-reduktioner for kommunen som virksomhed</t>
  </si>
  <si>
    <t>Se vejledningens afsnit 7 for forklaring på dette regneark</t>
  </si>
  <si>
    <t>Christian Poll</t>
  </si>
  <si>
    <t>Danmarks Naturfredningsforening</t>
  </si>
  <si>
    <t>Masnedøgade 20</t>
  </si>
  <si>
    <t>2100 Ø</t>
  </si>
  <si>
    <t>tlf. 31193249</t>
  </si>
  <si>
    <t>cpo@dn.dk</t>
  </si>
  <si>
    <t>Kontakt:</t>
  </si>
  <si>
    <t>Kørsel i taxa</t>
  </si>
  <si>
    <t>Udlæg til taxa</t>
  </si>
  <si>
    <t>Sats for taxakørsel</t>
  </si>
  <si>
    <t>Beregnet fra Taxanævnets statistik 2009</t>
  </si>
  <si>
    <t>Gnsn CO2-emission pr. km for taxa</t>
  </si>
  <si>
    <t>Miljø og Sundhed</t>
  </si>
  <si>
    <t xml:space="preserve">  - Kørsel i taxa</t>
  </si>
  <si>
    <t>*</t>
  </si>
  <si>
    <t>Kerneområder</t>
  </si>
  <si>
    <r>
      <t>g/Nm</t>
    </r>
    <r>
      <rPr>
        <vertAlign val="superscript"/>
        <sz val="10"/>
        <rFont val="Verdana"/>
        <family val="2"/>
      </rPr>
      <t>3</t>
    </r>
  </si>
  <si>
    <t>Andet</t>
  </si>
  <si>
    <t xml:space="preserve">  - Havn</t>
  </si>
  <si>
    <t xml:space="preserve">  - Affaldsbehandling</t>
  </si>
  <si>
    <t xml:space="preserve">  - Vejbelysning</t>
  </si>
  <si>
    <t>Opgørelse for bygningers el-og varmeforbrug samt andet</t>
  </si>
  <si>
    <t xml:space="preserve">  - Rensningsanlæg</t>
  </si>
  <si>
    <t>Version II-A – 12. marts 2012</t>
  </si>
  <si>
    <t>Ballerup Kommune</t>
  </si>
  <si>
    <t>Egebjergskolen</t>
  </si>
  <si>
    <t>Hedegårdskolen</t>
  </si>
  <si>
    <t>Rugvængets skole</t>
  </si>
  <si>
    <t>Højagerskolen</t>
  </si>
  <si>
    <t>Grantofteskolen</t>
  </si>
  <si>
    <t>Rosenlundskolen</t>
  </si>
  <si>
    <t>Lundebjergskolen</t>
  </si>
  <si>
    <t>Østerhøjskolen</t>
  </si>
  <si>
    <t>Skovlunde Skole</t>
  </si>
  <si>
    <t>Skovmarkskolen</t>
  </si>
  <si>
    <t>Måløv skole</t>
  </si>
  <si>
    <t>Søbyvej 9</t>
  </si>
  <si>
    <t>Lundebjerggårdsvej 104 ABCD</t>
  </si>
  <si>
    <t>Liljevangsvej 38, 40, 42</t>
  </si>
  <si>
    <t>Sømosevej 31</t>
  </si>
  <si>
    <t>Rugvænget 33</t>
  </si>
  <si>
    <t>Præstevænget 10</t>
  </si>
  <si>
    <t>Egebjergvang 231</t>
  </si>
  <si>
    <t>Bybjergvej 1-3 (Ellekilde)</t>
  </si>
  <si>
    <t>Bybjergvaj 5-9</t>
  </si>
  <si>
    <t xml:space="preserve">Platanbuen 8, 15-19 </t>
  </si>
  <si>
    <t>Hold an vej 158 ab</t>
  </si>
  <si>
    <t>Agernhaven 4-6-8</t>
  </si>
  <si>
    <t>Torvevej 17</t>
  </si>
  <si>
    <t>Lilletoften 21, 23</t>
  </si>
  <si>
    <t>Kærlodden 1, 3</t>
  </si>
  <si>
    <t>Egebjergvang 72, 74</t>
  </si>
  <si>
    <t>Præstevænget 14</t>
  </si>
  <si>
    <t>BH. Tangevej 46</t>
  </si>
  <si>
    <t>Klakkehøj 23</t>
  </si>
  <si>
    <t>Dyvels Krat 2</t>
  </si>
  <si>
    <t>Magleparken 77</t>
  </si>
  <si>
    <t>Grønnemarken 8</t>
  </si>
  <si>
    <t>Egebjergvang 233</t>
  </si>
  <si>
    <t>VS.Karlsvognen, Magleparken 18</t>
  </si>
  <si>
    <t>Bispevangen 150-154</t>
  </si>
  <si>
    <t>Kornvænget 118</t>
  </si>
  <si>
    <t>Bøh. Hestens Kvt. 26 + 27 + 28</t>
  </si>
  <si>
    <t>BøH. Magleparken 216</t>
  </si>
  <si>
    <t xml:space="preserve">Klakkebjerg 1 abc </t>
  </si>
  <si>
    <t>BH.Askelunden,Grantofteparken 2A</t>
  </si>
  <si>
    <t>Plejecentre</t>
  </si>
  <si>
    <t>Kirstinehaven</t>
  </si>
  <si>
    <t>Lindehaven</t>
  </si>
  <si>
    <t>Toftehaven</t>
  </si>
  <si>
    <t>Rosenhaven</t>
  </si>
  <si>
    <t>PC. Linde Alle 7</t>
  </si>
  <si>
    <t xml:space="preserve">Lundehaven </t>
  </si>
  <si>
    <t>Byggelegepladser</t>
  </si>
  <si>
    <t>Præstevænget 51</t>
  </si>
  <si>
    <t>Rosendahl</t>
  </si>
  <si>
    <t>Magleparken 218</t>
  </si>
  <si>
    <t>Biblioteker</t>
  </si>
  <si>
    <t>Måløv Bibliotek</t>
  </si>
  <si>
    <t>Skovlunde Bibliotek</t>
  </si>
  <si>
    <t>Ballerup Bibliotek</t>
  </si>
  <si>
    <t>Andre ejendomme</t>
  </si>
  <si>
    <t>Magleparken 5 (Tapeten)</t>
  </si>
  <si>
    <t>Baltoppen</t>
  </si>
  <si>
    <t>Rådhuset</t>
  </si>
  <si>
    <t xml:space="preserve">Materielgården </t>
  </si>
  <si>
    <t>Måløv Hallen</t>
  </si>
  <si>
    <t>Måløv Ny Hal</t>
  </si>
  <si>
    <t>Måløv klubhus</t>
  </si>
  <si>
    <t>Skoleværkstederne og Stenladen</t>
  </si>
  <si>
    <t>Annex ved Parkskolen</t>
  </si>
  <si>
    <t>East Kilbride badet</t>
  </si>
  <si>
    <t>Tvenagervej 15</t>
  </si>
  <si>
    <t>Gl. Skovlundevej 30</t>
  </si>
  <si>
    <t>Præstevænget 20 - 22</t>
  </si>
  <si>
    <t>BIF Klubhus</t>
  </si>
  <si>
    <t>Ryttergården, Pederstrupvej 49</t>
  </si>
  <si>
    <t xml:space="preserve">Pederstrupvej 53 </t>
  </si>
  <si>
    <t>Præstevænget 12</t>
  </si>
  <si>
    <t>(Gl.) Skovlundevej 1</t>
  </si>
  <si>
    <t>Tandklinik v. Baltoppen</t>
  </si>
  <si>
    <t>Møllen og Annex</t>
  </si>
  <si>
    <t>Ejbyvej 111</t>
  </si>
  <si>
    <t>Lindbjergvej 80</t>
  </si>
  <si>
    <t>Gl. Rådhusvej 15</t>
  </si>
  <si>
    <t>Reeh`s Forhus Sct. Jacobsvej 3</t>
  </si>
  <si>
    <t>Reeh`s Baghus Sct. Jacobsvej 1</t>
  </si>
  <si>
    <t>Ballerup Idrætspark</t>
  </si>
  <si>
    <t>Opvisningsbanen Idrætsbyen 7</t>
  </si>
  <si>
    <t>Parkskolen</t>
  </si>
  <si>
    <t>Magleparken 3(FH.+Ungdomspensi)</t>
  </si>
  <si>
    <t>El, 2011</t>
  </si>
  <si>
    <t>2011'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</si>
</sst>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6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b/>
      <vertAlign val="subscript"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u/>
      <sz val="11"/>
      <color theme="10"/>
      <name val="Calibri"/>
      <family val="2"/>
    </font>
    <font>
      <u/>
      <sz val="14"/>
      <color theme="10"/>
      <name val="Verdana"/>
      <family val="2"/>
    </font>
    <font>
      <sz val="11"/>
      <color rgb="FFFF0000"/>
      <name val="Verdana"/>
      <family val="2"/>
    </font>
    <font>
      <b/>
      <sz val="9"/>
      <color rgb="FFFF000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6" fillId="0" borderId="2" xfId="0" applyFont="1" applyBorder="1"/>
    <xf numFmtId="0" fontId="3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7" fillId="2" borderId="13" xfId="0" applyFont="1" applyFill="1" applyBorder="1" applyAlignment="1">
      <alignment horizontal="right" vertical="top"/>
    </xf>
    <xf numFmtId="0" fontId="17" fillId="2" borderId="14" xfId="0" applyFont="1" applyFill="1" applyBorder="1" applyAlignment="1">
      <alignment horizontal="right" vertical="top"/>
    </xf>
    <xf numFmtId="0" fontId="15" fillId="2" borderId="15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/>
    </xf>
    <xf numFmtId="164" fontId="6" fillId="0" borderId="11" xfId="1" applyNumberFormat="1" applyFont="1" applyBorder="1" applyAlignment="1">
      <alignment horizontal="right" vertical="top"/>
    </xf>
    <xf numFmtId="164" fontId="6" fillId="0" borderId="12" xfId="1" applyNumberFormat="1" applyFont="1" applyBorder="1" applyAlignment="1">
      <alignment horizontal="right" vertical="top"/>
    </xf>
    <xf numFmtId="0" fontId="15" fillId="2" borderId="15" xfId="0" applyFont="1" applyFill="1" applyBorder="1" applyAlignment="1">
      <alignment horizontal="right" vertical="top" wrapText="1"/>
    </xf>
    <xf numFmtId="0" fontId="15" fillId="2" borderId="16" xfId="0" applyFont="1" applyFill="1" applyBorder="1" applyAlignment="1">
      <alignment horizontal="right" vertical="top" wrapText="1"/>
    </xf>
    <xf numFmtId="0" fontId="18" fillId="2" borderId="7" xfId="0" applyFont="1" applyFill="1" applyBorder="1" applyAlignment="1">
      <alignment vertical="top" wrapText="1"/>
    </xf>
    <xf numFmtId="0" fontId="17" fillId="2" borderId="13" xfId="0" applyFont="1" applyFill="1" applyBorder="1" applyAlignment="1">
      <alignment horizontal="right" vertical="top" wrapText="1"/>
    </xf>
    <xf numFmtId="0" fontId="17" fillId="2" borderId="14" xfId="0" applyFont="1" applyFill="1" applyBorder="1" applyAlignment="1">
      <alignment horizontal="right" vertical="top" wrapText="1"/>
    </xf>
    <xf numFmtId="0" fontId="17" fillId="2" borderId="5" xfId="0" applyFont="1" applyFill="1" applyBorder="1" applyAlignment="1">
      <alignment horizontal="right" vertical="top" wrapText="1"/>
    </xf>
    <xf numFmtId="0" fontId="16" fillId="2" borderId="8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64" fontId="5" fillId="0" borderId="19" xfId="1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5" fillId="0" borderId="11" xfId="1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right" vertical="top" wrapText="1"/>
    </xf>
    <xf numFmtId="164" fontId="6" fillId="0" borderId="11" xfId="1" applyNumberFormat="1" applyFont="1" applyBorder="1" applyAlignment="1">
      <alignment horizontal="right" vertical="top" wrapText="1"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" fontId="19" fillId="0" borderId="0" xfId="1" applyNumberFormat="1" applyFont="1" applyBorder="1" applyAlignment="1">
      <alignment vertical="top"/>
    </xf>
    <xf numFmtId="0" fontId="20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164" fontId="5" fillId="0" borderId="11" xfId="1" applyNumberFormat="1" applyFont="1" applyBorder="1" applyAlignment="1">
      <alignment vertical="top"/>
    </xf>
    <xf numFmtId="164" fontId="5" fillId="0" borderId="12" xfId="1" applyNumberFormat="1" applyFont="1" applyBorder="1" applyAlignment="1">
      <alignment vertical="top"/>
    </xf>
    <xf numFmtId="0" fontId="17" fillId="0" borderId="0" xfId="0" applyFont="1" applyFill="1" applyBorder="1" applyAlignment="1">
      <alignment horizontal="right" vertical="top"/>
    </xf>
    <xf numFmtId="0" fontId="15" fillId="0" borderId="0" xfId="0" applyFont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164" fontId="15" fillId="0" borderId="11" xfId="1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64" fontId="15" fillId="0" borderId="15" xfId="1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164" fontId="15" fillId="0" borderId="9" xfId="1" applyNumberFormat="1" applyFont="1" applyBorder="1" applyAlignment="1">
      <alignment horizontal="right" vertical="center"/>
    </xf>
    <xf numFmtId="164" fontId="15" fillId="0" borderId="0" xfId="1" applyNumberFormat="1" applyFont="1" applyAlignment="1">
      <alignment horizontal="right" vertical="center"/>
    </xf>
    <xf numFmtId="164" fontId="15" fillId="0" borderId="6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2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164" fontId="15" fillId="0" borderId="18" xfId="1" applyNumberFormat="1" applyFont="1" applyBorder="1" applyAlignment="1">
      <alignment horizontal="right" vertical="center"/>
    </xf>
    <xf numFmtId="164" fontId="15" fillId="0" borderId="4" xfId="1" applyNumberFormat="1" applyFont="1" applyBorder="1" applyAlignment="1">
      <alignment horizontal="right" vertical="center"/>
    </xf>
    <xf numFmtId="0" fontId="18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justify" vertical="center"/>
    </xf>
    <xf numFmtId="0" fontId="15" fillId="2" borderId="6" xfId="0" applyFont="1" applyFill="1" applyBorder="1" applyAlignment="1">
      <alignment horizontal="right" vertical="center"/>
    </xf>
    <xf numFmtId="164" fontId="5" fillId="0" borderId="17" xfId="0" applyNumberFormat="1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 indent="5"/>
    </xf>
    <xf numFmtId="0" fontId="4" fillId="0" borderId="20" xfId="0" applyFont="1" applyBorder="1" applyAlignment="1">
      <alignment wrapText="1"/>
    </xf>
    <xf numFmtId="0" fontId="15" fillId="0" borderId="15" xfId="1" applyNumberFormat="1" applyFont="1" applyBorder="1" applyAlignment="1">
      <alignment horizontal="right" vertical="center"/>
    </xf>
    <xf numFmtId="0" fontId="15" fillId="0" borderId="11" xfId="1" applyNumberFormat="1" applyFont="1" applyBorder="1" applyAlignment="1">
      <alignment vertical="center"/>
    </xf>
    <xf numFmtId="165" fontId="15" fillId="0" borderId="11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15" fillId="3" borderId="4" xfId="0" applyNumberFormat="1" applyFont="1" applyFill="1" applyBorder="1" applyAlignment="1">
      <alignment vertical="center"/>
    </xf>
    <xf numFmtId="164" fontId="15" fillId="3" borderId="21" xfId="0" applyNumberFormat="1" applyFont="1" applyFill="1" applyBorder="1" applyAlignment="1">
      <alignment vertical="center"/>
    </xf>
    <xf numFmtId="164" fontId="15" fillId="3" borderId="18" xfId="0" applyNumberFormat="1" applyFont="1" applyFill="1" applyBorder="1" applyAlignment="1">
      <alignment vertical="center"/>
    </xf>
    <xf numFmtId="164" fontId="5" fillId="3" borderId="19" xfId="1" applyNumberFormat="1" applyFont="1" applyFill="1" applyBorder="1" applyAlignment="1">
      <alignment vertical="top"/>
    </xf>
    <xf numFmtId="164" fontId="5" fillId="3" borderId="18" xfId="1" applyNumberFormat="1" applyFont="1" applyFill="1" applyBorder="1" applyAlignment="1">
      <alignment vertical="top"/>
    </xf>
    <xf numFmtId="164" fontId="5" fillId="3" borderId="3" xfId="1" applyNumberFormat="1" applyFont="1" applyFill="1" applyBorder="1" applyAlignment="1">
      <alignment vertical="top"/>
    </xf>
    <xf numFmtId="164" fontId="5" fillId="0" borderId="18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wrapText="1"/>
    </xf>
    <xf numFmtId="9" fontId="5" fillId="0" borderId="0" xfId="2" applyFont="1" applyBorder="1" applyAlignment="1">
      <alignment wrapText="1"/>
    </xf>
    <xf numFmtId="10" fontId="13" fillId="0" borderId="0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center" wrapText="1"/>
    </xf>
    <xf numFmtId="164" fontId="6" fillId="0" borderId="20" xfId="1" applyNumberFormat="1" applyFont="1" applyBorder="1" applyAlignment="1">
      <alignment vertical="center" wrapText="1"/>
    </xf>
    <xf numFmtId="166" fontId="6" fillId="0" borderId="20" xfId="2" applyNumberFormat="1" applyFont="1" applyBorder="1" applyAlignment="1">
      <alignment vertical="center" wrapText="1"/>
    </xf>
    <xf numFmtId="166" fontId="15" fillId="0" borderId="0" xfId="0" applyNumberFormat="1" applyFont="1" applyAlignment="1">
      <alignment vertical="center"/>
    </xf>
    <xf numFmtId="10" fontId="9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7" xfId="1" applyNumberFormat="1" applyFont="1" applyBorder="1" applyAlignment="1">
      <alignment vertical="center" wrapText="1"/>
    </xf>
    <xf numFmtId="166" fontId="5" fillId="0" borderId="17" xfId="2" applyNumberFormat="1" applyFont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/>
    <xf numFmtId="0" fontId="17" fillId="2" borderId="20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5" fillId="0" borderId="7" xfId="1" applyNumberFormat="1" applyFont="1" applyBorder="1" applyAlignment="1">
      <alignment vertical="center" wrapText="1"/>
    </xf>
    <xf numFmtId="164" fontId="6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22" xfId="1" applyNumberFormat="1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1" quotePrefix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 wrapText="1"/>
    </xf>
    <xf numFmtId="9" fontId="5" fillId="0" borderId="0" xfId="2" applyFont="1" applyBorder="1" applyAlignment="1">
      <alignment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164" fontId="5" fillId="0" borderId="23" xfId="1" applyNumberFormat="1" applyFont="1" applyBorder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166" fontId="5" fillId="0" borderId="5" xfId="2" applyNumberFormat="1" applyFont="1" applyBorder="1" applyAlignment="1">
      <alignment vertical="center" wrapText="1"/>
    </xf>
    <xf numFmtId="166" fontId="6" fillId="3" borderId="9" xfId="2" applyNumberFormat="1" applyFont="1" applyFill="1" applyBorder="1" applyAlignment="1">
      <alignment vertical="center" wrapText="1"/>
    </xf>
    <xf numFmtId="166" fontId="5" fillId="0" borderId="4" xfId="2" applyNumberFormat="1" applyFont="1" applyBorder="1" applyAlignment="1">
      <alignment vertical="center" wrapText="1"/>
    </xf>
    <xf numFmtId="0" fontId="17" fillId="2" borderId="9" xfId="0" applyFont="1" applyFill="1" applyBorder="1" applyAlignment="1">
      <alignment horizontal="left" vertical="center"/>
    </xf>
    <xf numFmtId="164" fontId="15" fillId="0" borderId="9" xfId="1" applyNumberFormat="1" applyFont="1" applyBorder="1" applyAlignment="1">
      <alignment horizontal="left" vertical="center"/>
    </xf>
    <xf numFmtId="164" fontId="15" fillId="0" borderId="6" xfId="1" applyNumberFormat="1" applyFont="1" applyBorder="1" applyAlignment="1">
      <alignment horizontal="left" vertical="center"/>
    </xf>
    <xf numFmtId="164" fontId="15" fillId="0" borderId="4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quotePrefix="1" applyFont="1"/>
    <xf numFmtId="164" fontId="2" fillId="0" borderId="0" xfId="1" applyNumberFormat="1" applyFont="1" applyBorder="1" applyAlignment="1">
      <alignment vertic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6" fillId="0" borderId="2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6" fillId="0" borderId="9" xfId="1" applyNumberFormat="1" applyFont="1" applyBorder="1" applyAlignment="1">
      <alignment horizontal="right"/>
    </xf>
    <xf numFmtId="0" fontId="6" fillId="0" borderId="8" xfId="0" applyFont="1" applyBorder="1"/>
    <xf numFmtId="165" fontId="6" fillId="0" borderId="6" xfId="1" applyNumberFormat="1" applyFont="1" applyBorder="1" applyAlignment="1">
      <alignment horizontal="right"/>
    </xf>
    <xf numFmtId="0" fontId="13" fillId="0" borderId="0" xfId="0" quotePrefix="1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" fillId="0" borderId="0" xfId="0" applyFont="1"/>
    <xf numFmtId="0" fontId="22" fillId="0" borderId="0" xfId="0" applyFont="1"/>
    <xf numFmtId="0" fontId="28" fillId="0" borderId="0" xfId="3" applyFont="1" applyAlignment="1" applyProtection="1"/>
    <xf numFmtId="0" fontId="29" fillId="0" borderId="0" xfId="0" applyFont="1"/>
    <xf numFmtId="0" fontId="2" fillId="0" borderId="3" xfId="0" applyFont="1" applyBorder="1" applyAlignment="1">
      <alignment vertical="center" wrapText="1"/>
    </xf>
    <xf numFmtId="165" fontId="2" fillId="0" borderId="4" xfId="1" applyNumberFormat="1" applyFont="1" applyBorder="1" applyAlignment="1">
      <alignment vertical="center"/>
    </xf>
    <xf numFmtId="0" fontId="1" fillId="0" borderId="20" xfId="0" quotePrefix="1" applyFont="1" applyBorder="1" applyAlignment="1">
      <alignment vertical="center" wrapText="1"/>
    </xf>
    <xf numFmtId="0" fontId="3" fillId="2" borderId="17" xfId="0" quotePrefix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top"/>
    </xf>
    <xf numFmtId="164" fontId="30" fillId="0" borderId="0" xfId="0" applyNumberFormat="1" applyFont="1" applyBorder="1" applyAlignment="1">
      <alignment vertical="top"/>
    </xf>
    <xf numFmtId="164" fontId="5" fillId="0" borderId="17" xfId="1" applyNumberFormat="1" applyFont="1" applyBorder="1" applyAlignment="1">
      <alignment horizontal="right" vertical="top"/>
    </xf>
    <xf numFmtId="0" fontId="15" fillId="2" borderId="9" xfId="0" applyFont="1" applyFill="1" applyBorder="1" applyAlignment="1">
      <alignment horizontal="right" vertical="top" wrapText="1"/>
    </xf>
    <xf numFmtId="0" fontId="15" fillId="0" borderId="25" xfId="0" applyFont="1" applyBorder="1" applyAlignment="1">
      <alignment vertical="top"/>
    </xf>
    <xf numFmtId="164" fontId="5" fillId="0" borderId="25" xfId="1" applyNumberFormat="1" applyFont="1" applyBorder="1" applyAlignment="1">
      <alignment horizontal="right" vertical="top"/>
    </xf>
    <xf numFmtId="0" fontId="31" fillId="2" borderId="9" xfId="0" applyFont="1" applyFill="1" applyBorder="1" applyAlignment="1">
      <alignment horizontal="right" vertical="center"/>
    </xf>
    <xf numFmtId="0" fontId="31" fillId="2" borderId="6" xfId="0" applyFont="1" applyFill="1" applyBorder="1" applyAlignment="1">
      <alignment horizontal="right" vertical="top" wrapText="1"/>
    </xf>
    <xf numFmtId="0" fontId="31" fillId="0" borderId="11" xfId="1" applyNumberFormat="1" applyFont="1" applyBorder="1" applyAlignment="1">
      <alignment vertical="center"/>
    </xf>
    <xf numFmtId="164" fontId="32" fillId="0" borderId="22" xfId="1" applyNumberFormat="1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3" fillId="2" borderId="3" xfId="0" applyFont="1" applyFill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34" fillId="0" borderId="9" xfId="1" applyNumberFormat="1" applyFont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vertical="center" wrapText="1"/>
    </xf>
    <xf numFmtId="166" fontId="6" fillId="3" borderId="24" xfId="2" applyNumberFormat="1" applyFont="1" applyFill="1" applyBorder="1" applyAlignment="1">
      <alignment vertical="center" wrapText="1"/>
    </xf>
    <xf numFmtId="166" fontId="6" fillId="3" borderId="23" xfId="2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164" fontId="5" fillId="0" borderId="27" xfId="1" applyNumberFormat="1" applyFont="1" applyBorder="1" applyAlignment="1">
      <alignment vertical="center" wrapText="1"/>
    </xf>
    <xf numFmtId="166" fontId="5" fillId="0" borderId="27" xfId="2" applyNumberFormat="1" applyFont="1" applyBorder="1" applyAlignment="1">
      <alignment vertical="center" wrapText="1"/>
    </xf>
    <xf numFmtId="166" fontId="5" fillId="0" borderId="26" xfId="2" applyNumberFormat="1" applyFont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11" xfId="1" applyNumberFormat="1" applyFont="1" applyBorder="1" applyAlignment="1">
      <alignment horizontal="right" vertical="top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4" fontId="2" fillId="4" borderId="9" xfId="1" applyNumberFormat="1" applyFont="1" applyFill="1" applyBorder="1" applyAlignment="1">
      <alignment horizontal="right" vertical="center"/>
    </xf>
  </cellXfs>
  <cellStyles count="4">
    <cellStyle name="1000-sep (2 dec)" xfId="1" builtinId="3"/>
    <cellStyle name="Hyperlink" xfId="3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102201</xdr:colOff>
      <xdr:row>0</xdr:row>
      <xdr:rowOff>152399</xdr:rowOff>
    </xdr:from>
    <xdr:to>
      <xdr:col>11</xdr:col>
      <xdr:colOff>581025</xdr:colOff>
      <xdr:row>4</xdr:row>
      <xdr:rowOff>85724</xdr:rowOff>
    </xdr:to>
    <xdr:pic>
      <xdr:nvPicPr>
        <xdr:cNvPr id="3073" name="Picture 1" descr="DN logo RGB 11K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601" y="152399"/>
          <a:ext cx="169802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o@d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workbookViewId="0">
      <selection activeCell="A6" sqref="A6"/>
    </sheetView>
  </sheetViews>
  <sheetFormatPr defaultRowHeight="14.25"/>
  <cols>
    <col min="1" max="16384" width="9.140625" style="7"/>
  </cols>
  <sheetData>
    <row r="1" spans="1:1">
      <c r="A1" s="7" t="s">
        <v>125</v>
      </c>
    </row>
    <row r="2" spans="1:1" ht="24.75">
      <c r="A2" s="183" t="s">
        <v>126</v>
      </c>
    </row>
    <row r="3" spans="1:1" ht="21">
      <c r="A3" s="184" t="s">
        <v>127</v>
      </c>
    </row>
    <row r="4" spans="1:1" ht="18">
      <c r="A4" s="184" t="s">
        <v>128</v>
      </c>
    </row>
    <row r="5" spans="1:1">
      <c r="A5" s="185" t="s">
        <v>153</v>
      </c>
    </row>
    <row r="8" spans="1:1" ht="19.5">
      <c r="A8" s="44" t="s">
        <v>124</v>
      </c>
    </row>
    <row r="10" spans="1:1">
      <c r="A10" s="7" t="s">
        <v>129</v>
      </c>
    </row>
    <row r="13" spans="1:1">
      <c r="A13" s="7" t="s">
        <v>136</v>
      </c>
    </row>
    <row r="14" spans="1:1" ht="18">
      <c r="A14" s="186" t="s">
        <v>130</v>
      </c>
    </row>
    <row r="15" spans="1:1" ht="18">
      <c r="A15" s="186" t="s">
        <v>131</v>
      </c>
    </row>
    <row r="16" spans="1:1" ht="18">
      <c r="A16" s="186" t="s">
        <v>132</v>
      </c>
    </row>
    <row r="17" spans="1:1" ht="18">
      <c r="A17" s="186" t="s">
        <v>133</v>
      </c>
    </row>
    <row r="18" spans="1:1" ht="18">
      <c r="A18" s="186" t="s">
        <v>134</v>
      </c>
    </row>
    <row r="19" spans="1:1" ht="18">
      <c r="A19" s="187" t="s">
        <v>135</v>
      </c>
    </row>
  </sheetData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opLeftCell="C1" workbookViewId="0">
      <selection activeCell="L92" sqref="L10:L92"/>
    </sheetView>
  </sheetViews>
  <sheetFormatPr defaultRowHeight="14.25"/>
  <cols>
    <col min="1" max="1" width="42" style="6" customWidth="1"/>
    <col min="2" max="2" width="11.28515625" style="10" customWidth="1"/>
    <col min="3" max="3" width="10.5703125" style="11" customWidth="1"/>
    <col min="4" max="4" width="11.5703125" style="6" customWidth="1"/>
    <col min="5" max="5" width="15.28515625" style="6" customWidth="1"/>
    <col min="6" max="7" width="15.85546875" style="6" customWidth="1"/>
    <col min="8" max="8" width="14.42578125" style="6" bestFit="1" customWidth="1"/>
    <col min="9" max="9" width="14.42578125" style="6" customWidth="1"/>
    <col min="10" max="10" width="14.42578125" style="6" bestFit="1" customWidth="1"/>
    <col min="11" max="11" width="14.42578125" style="6" customWidth="1"/>
    <col min="12" max="13" width="19.28515625" style="6" customWidth="1"/>
    <col min="14" max="14" width="12.85546875" style="6" customWidth="1"/>
    <col min="15" max="15" width="12.28515625" style="6" customWidth="1"/>
    <col min="16" max="16" width="12.5703125" style="6" customWidth="1"/>
    <col min="17" max="17" width="8.140625" style="6" customWidth="1"/>
    <col min="18" max="16384" width="9.140625" style="6"/>
  </cols>
  <sheetData>
    <row r="1" spans="1:13" s="37" customFormat="1" ht="19.5">
      <c r="A1" s="37" t="s">
        <v>151</v>
      </c>
      <c r="B1" s="38"/>
      <c r="C1" s="39"/>
    </row>
    <row r="2" spans="1:13">
      <c r="B2" s="40"/>
      <c r="C2" s="40"/>
    </row>
    <row r="3" spans="1:13" s="30" customFormat="1" ht="15">
      <c r="A3" s="30" t="s">
        <v>154</v>
      </c>
      <c r="B3" s="41"/>
      <c r="C3" s="43">
        <v>2011</v>
      </c>
    </row>
    <row r="4" spans="1:13" s="30" customFormat="1" ht="15">
      <c r="B4" s="41"/>
      <c r="C4" s="43"/>
    </row>
    <row r="5" spans="1:13" s="32" customFormat="1" ht="12.75">
      <c r="A5" s="31" t="s">
        <v>28</v>
      </c>
      <c r="B5" s="42"/>
      <c r="C5" s="42">
        <v>47994</v>
      </c>
    </row>
    <row r="6" spans="1:13" s="32" customFormat="1" ht="12.75">
      <c r="A6" s="31" t="s">
        <v>123</v>
      </c>
      <c r="B6" s="42"/>
      <c r="C6" s="42"/>
    </row>
    <row r="7" spans="1:13" ht="15" thickBot="1">
      <c r="B7" s="40"/>
      <c r="C7" s="40"/>
    </row>
    <row r="8" spans="1:13" ht="28.5">
      <c r="A8" s="20" t="s">
        <v>34</v>
      </c>
      <c r="B8" s="12"/>
      <c r="C8" s="13" t="s">
        <v>26</v>
      </c>
      <c r="D8" s="12"/>
      <c r="E8" s="13" t="s">
        <v>8</v>
      </c>
      <c r="F8" s="12"/>
      <c r="G8" s="13" t="s">
        <v>27</v>
      </c>
      <c r="H8" s="21"/>
      <c r="I8" s="22" t="s">
        <v>0</v>
      </c>
      <c r="J8" s="21"/>
      <c r="K8" s="23" t="s">
        <v>1</v>
      </c>
      <c r="L8" s="23" t="s">
        <v>52</v>
      </c>
      <c r="M8" s="23" t="s">
        <v>66</v>
      </c>
    </row>
    <row r="9" spans="1:13" ht="15" thickBot="1">
      <c r="A9" s="24"/>
      <c r="B9" s="14"/>
      <c r="C9" s="15" t="s">
        <v>35</v>
      </c>
      <c r="D9" s="14"/>
      <c r="E9" s="15" t="s">
        <v>24</v>
      </c>
      <c r="F9" s="14"/>
      <c r="G9" s="15" t="s">
        <v>24</v>
      </c>
      <c r="H9" s="18"/>
      <c r="I9" s="19" t="s">
        <v>25</v>
      </c>
      <c r="J9" s="18"/>
      <c r="K9" s="25" t="s">
        <v>36</v>
      </c>
      <c r="L9" s="25" t="s">
        <v>51</v>
      </c>
      <c r="M9" s="196" t="s">
        <v>67</v>
      </c>
    </row>
    <row r="10" spans="1:13">
      <c r="A10" s="101" t="s">
        <v>32</v>
      </c>
      <c r="B10" s="33"/>
      <c r="C10" s="34">
        <f>SUM(B11:B21)</f>
        <v>103507</v>
      </c>
      <c r="D10" s="33"/>
      <c r="E10" s="34">
        <f>SUM(D11:D21)</f>
        <v>3589039.1915789465</v>
      </c>
      <c r="F10" s="33"/>
      <c r="G10" s="34">
        <f>SUM(F11:F21)</f>
        <v>16033855.132083081</v>
      </c>
      <c r="H10" s="35"/>
      <c r="I10" s="34">
        <f>SUM(H11:H21)</f>
        <v>0</v>
      </c>
      <c r="J10" s="35"/>
      <c r="K10" s="34">
        <f>SUM(J11:J21)</f>
        <v>146468.07985480942</v>
      </c>
      <c r="L10" s="193">
        <f>(E10*Emissionsfaktorer!$D$9+'Bygn el og varmeforbrug mm'!G10*Emissionsfaktorer!$D$10+'Bygn el og varmeforbrug mm'!I10*Emissionsfaktorer!$D$13+'Bygn el og varmeforbrug mm'!K10*Emissionsfaktorer!$D$14)/1000000</f>
        <v>3986.213999195611</v>
      </c>
      <c r="M10" s="198">
        <f>L10*1000/C10</f>
        <v>38.5115402745284</v>
      </c>
    </row>
    <row r="11" spans="1:13">
      <c r="A11" s="102" t="s">
        <v>155</v>
      </c>
      <c r="B11" s="16">
        <v>12847</v>
      </c>
      <c r="C11" s="17"/>
      <c r="D11" s="16">
        <v>407209.84999999969</v>
      </c>
      <c r="E11" s="17"/>
      <c r="F11" s="224">
        <f>2668.77931034483*1000</f>
        <v>2668779.3103448297</v>
      </c>
      <c r="G11" s="17"/>
      <c r="H11" s="36"/>
      <c r="I11" s="17"/>
      <c r="J11" s="36"/>
      <c r="K11" s="17"/>
      <c r="L11" s="40"/>
      <c r="M11" s="197"/>
    </row>
    <row r="12" spans="1:13">
      <c r="A12" s="102" t="s">
        <v>156</v>
      </c>
      <c r="B12" s="16">
        <v>9487</v>
      </c>
      <c r="C12" s="17"/>
      <c r="D12" s="16">
        <v>131592.24000000037</v>
      </c>
      <c r="E12" s="17"/>
      <c r="F12" s="16">
        <f>2174.27586206897*1000</f>
        <v>2174275.8620689702</v>
      </c>
      <c r="G12" s="17"/>
      <c r="H12" s="36"/>
      <c r="I12" s="17"/>
      <c r="J12" s="36"/>
      <c r="K12" s="17"/>
      <c r="L12" s="40"/>
      <c r="M12" s="197"/>
    </row>
    <row r="13" spans="1:13">
      <c r="A13" s="102" t="s">
        <v>157</v>
      </c>
      <c r="B13" s="16">
        <v>8424</v>
      </c>
      <c r="C13" s="17"/>
      <c r="D13" s="16">
        <v>299050.52999999985</v>
      </c>
      <c r="E13" s="17"/>
      <c r="F13" s="16">
        <f>1364.4500907441*1000</f>
        <v>1364450.0907441</v>
      </c>
      <c r="G13" s="17"/>
      <c r="H13" s="36"/>
      <c r="I13" s="17"/>
      <c r="J13" s="36"/>
      <c r="K13" s="17"/>
      <c r="L13" s="40"/>
      <c r="M13" s="197"/>
    </row>
    <row r="14" spans="1:13">
      <c r="A14" s="102" t="s">
        <v>158</v>
      </c>
      <c r="B14" s="16">
        <v>3790</v>
      </c>
      <c r="C14" s="17"/>
      <c r="D14" s="16">
        <v>234322.03000000006</v>
      </c>
      <c r="E14" s="17"/>
      <c r="F14" s="16">
        <f>411.833030852994*1000</f>
        <v>411833.03085299401</v>
      </c>
      <c r="G14" s="17"/>
      <c r="H14" s="36"/>
      <c r="I14" s="17"/>
      <c r="J14" s="36"/>
      <c r="K14" s="17"/>
      <c r="L14" s="40"/>
      <c r="M14" s="197"/>
    </row>
    <row r="15" spans="1:13">
      <c r="A15" s="102" t="s">
        <v>159</v>
      </c>
      <c r="B15" s="16">
        <v>13390</v>
      </c>
      <c r="C15" s="17"/>
      <c r="D15" s="16">
        <v>628206.02</v>
      </c>
      <c r="E15" s="17"/>
      <c r="F15" s="16">
        <f>3084.02177858439*1000</f>
        <v>3084021.7785843899</v>
      </c>
      <c r="G15" s="17"/>
      <c r="H15" s="36"/>
      <c r="I15" s="17"/>
      <c r="J15" s="36"/>
      <c r="K15" s="17"/>
      <c r="L15" s="40"/>
      <c r="M15" s="197"/>
    </row>
    <row r="16" spans="1:13">
      <c r="A16" s="102" t="s">
        <v>160</v>
      </c>
      <c r="B16" s="16">
        <v>17587</v>
      </c>
      <c r="C16" s="17"/>
      <c r="D16" s="16">
        <v>541312.6</v>
      </c>
      <c r="E16" s="17"/>
      <c r="F16" s="16">
        <f>2348.12341197822*1000</f>
        <v>2348123.4119782196</v>
      </c>
      <c r="G16" s="17"/>
      <c r="H16" s="36"/>
      <c r="I16" s="17"/>
      <c r="J16" s="36"/>
      <c r="K16" s="17"/>
      <c r="L16" s="40"/>
      <c r="M16" s="197"/>
    </row>
    <row r="17" spans="1:13">
      <c r="A17" s="102" t="s">
        <v>161</v>
      </c>
      <c r="B17" s="16">
        <v>10730</v>
      </c>
      <c r="C17" s="17"/>
      <c r="D17" s="16">
        <v>345693.50000000012</v>
      </c>
      <c r="E17" s="17"/>
      <c r="F17" s="16">
        <f>1295.58620689655*1000</f>
        <v>1295586.20689655</v>
      </c>
      <c r="G17" s="17"/>
      <c r="H17" s="36"/>
      <c r="I17" s="17"/>
      <c r="J17" s="36"/>
      <c r="K17" s="17"/>
      <c r="L17" s="40"/>
      <c r="M17" s="197"/>
    </row>
    <row r="18" spans="1:13">
      <c r="A18" s="102" t="s">
        <v>162</v>
      </c>
      <c r="B18" s="16">
        <v>9358</v>
      </c>
      <c r="C18" s="17"/>
      <c r="D18" s="16">
        <v>323317.89473684214</v>
      </c>
      <c r="E18" s="17"/>
      <c r="F18" s="16">
        <f>966.819923371648*1000</f>
        <v>966819.92337164795</v>
      </c>
      <c r="G18" s="17"/>
      <c r="H18" s="36"/>
      <c r="I18" s="17"/>
      <c r="J18" s="36"/>
      <c r="K18" s="17"/>
      <c r="L18" s="40"/>
      <c r="M18" s="197"/>
    </row>
    <row r="19" spans="1:13" ht="13.5" customHeight="1">
      <c r="A19" s="102" t="s">
        <v>163</v>
      </c>
      <c r="B19" s="16">
        <v>6706</v>
      </c>
      <c r="C19" s="17"/>
      <c r="D19" s="16">
        <v>245727.24999999988</v>
      </c>
      <c r="E19" s="17"/>
      <c r="F19" s="16">
        <f>1719.96551724138*1000</f>
        <v>1719965.5172413799</v>
      </c>
      <c r="G19" s="17"/>
      <c r="H19" s="36"/>
      <c r="I19" s="17"/>
      <c r="J19" s="223"/>
      <c r="K19" s="17"/>
      <c r="L19" s="40"/>
      <c r="M19" s="197"/>
    </row>
    <row r="20" spans="1:13">
      <c r="A20" s="102" t="s">
        <v>164</v>
      </c>
      <c r="B20" s="16">
        <v>807</v>
      </c>
      <c r="C20" s="17"/>
      <c r="D20" s="16">
        <v>5866.7368421052633</v>
      </c>
      <c r="E20" s="17"/>
      <c r="F20" s="16"/>
      <c r="G20" s="17"/>
      <c r="H20" s="36"/>
      <c r="I20" s="17"/>
      <c r="J20" s="36">
        <f>125.907889655172/11.48*1000</f>
        <v>10967.586206896514</v>
      </c>
      <c r="K20" s="17"/>
      <c r="L20" s="40"/>
      <c r="M20" s="197"/>
    </row>
    <row r="21" spans="1:13">
      <c r="A21" s="102" t="s">
        <v>165</v>
      </c>
      <c r="B21" s="16">
        <v>10381</v>
      </c>
      <c r="C21" s="17"/>
      <c r="D21" s="16">
        <v>426740.53999999893</v>
      </c>
      <c r="E21" s="17"/>
      <c r="F21" s="16"/>
      <c r="G21" s="17"/>
      <c r="H21" s="36"/>
      <c r="I21" s="17"/>
      <c r="J21" s="36">
        <f>1555.54566707804/11.48*1000</f>
        <v>135500.4936479129</v>
      </c>
      <c r="K21" s="17"/>
      <c r="L21" s="40"/>
      <c r="M21" s="197"/>
    </row>
    <row r="22" spans="1:13">
      <c r="A22" s="101" t="s">
        <v>33</v>
      </c>
      <c r="B22" s="33"/>
      <c r="C22" s="34">
        <f>SUM(B23:B52)</f>
        <v>24151</v>
      </c>
      <c r="D22" s="33"/>
      <c r="E22" s="34">
        <f>SUM(D23:D52)</f>
        <v>1096000.5596264855</v>
      </c>
      <c r="F22" s="33"/>
      <c r="G22" s="34">
        <f>SUM(F23:F52)</f>
        <v>1807114.3375680572</v>
      </c>
      <c r="H22" s="35"/>
      <c r="I22" s="34">
        <f>SUM(H23:H52)</f>
        <v>0</v>
      </c>
      <c r="J22" s="35"/>
      <c r="K22" s="34">
        <f>SUM(J23:J52)</f>
        <v>200621.91613556739</v>
      </c>
      <c r="L22" s="193">
        <f>(E22*Emissionsfaktorer!$D$9+'Bygn el og varmeforbrug mm'!G22*Emissionsfaktorer!$D$10+'Bygn el og varmeforbrug mm'!I22*Emissionsfaktorer!$D$13+'Bygn el og varmeforbrug mm'!K22*Emissionsfaktorer!$D$14)/1000000</f>
        <v>1165.8269552875317</v>
      </c>
      <c r="M22" s="198">
        <f>L22*1000/C22</f>
        <v>48.27240922891523</v>
      </c>
    </row>
    <row r="23" spans="1:13">
      <c r="A23" s="102" t="s">
        <v>166</v>
      </c>
      <c r="B23" s="16">
        <v>1494</v>
      </c>
      <c r="C23" s="17"/>
      <c r="D23" s="16">
        <v>66202.105263157893</v>
      </c>
      <c r="E23" s="17"/>
      <c r="F23" s="16">
        <v>0</v>
      </c>
      <c r="G23" s="17"/>
      <c r="H23" s="36"/>
      <c r="I23" s="17"/>
      <c r="J23" s="36">
        <f>303.667043194192/11.48*1000</f>
        <v>26451.833030852958</v>
      </c>
      <c r="K23" s="17"/>
      <c r="L23" s="40"/>
      <c r="M23" s="197"/>
    </row>
    <row r="24" spans="1:13">
      <c r="A24" s="102" t="s">
        <v>167</v>
      </c>
      <c r="B24" s="16">
        <v>884</v>
      </c>
      <c r="C24" s="17"/>
      <c r="D24" s="16">
        <v>65368.421052631573</v>
      </c>
      <c r="E24" s="17"/>
      <c r="F24" s="16">
        <v>0</v>
      </c>
      <c r="G24" s="17"/>
      <c r="H24" s="36"/>
      <c r="I24" s="17"/>
      <c r="J24" s="36">
        <v>0</v>
      </c>
      <c r="K24" s="17"/>
      <c r="L24" s="40"/>
      <c r="M24" s="197"/>
    </row>
    <row r="25" spans="1:13">
      <c r="A25" s="102" t="s">
        <v>168</v>
      </c>
      <c r="B25" s="16">
        <v>1175</v>
      </c>
      <c r="C25" s="17"/>
      <c r="D25" s="16">
        <v>44588</v>
      </c>
      <c r="E25" s="17"/>
      <c r="F25" s="16">
        <v>0</v>
      </c>
      <c r="G25" s="17"/>
      <c r="H25" s="36"/>
      <c r="I25" s="17"/>
      <c r="J25" s="36">
        <f>207.939844355717/11.48*1000</f>
        <v>18113.226860254093</v>
      </c>
      <c r="K25" s="17"/>
      <c r="L25" s="40"/>
      <c r="M25" s="197"/>
    </row>
    <row r="26" spans="1:13">
      <c r="A26" s="102" t="s">
        <v>169</v>
      </c>
      <c r="B26" s="16">
        <v>487</v>
      </c>
      <c r="C26" s="17"/>
      <c r="D26" s="16">
        <v>4698.9473684210534</v>
      </c>
      <c r="E26" s="17"/>
      <c r="F26" s="16">
        <v>0</v>
      </c>
      <c r="G26" s="17"/>
      <c r="H26" s="36"/>
      <c r="I26" s="17"/>
      <c r="J26" s="36">
        <f>64.8102045735027/11.48*1000</f>
        <v>5645.4882032667856</v>
      </c>
      <c r="K26" s="17"/>
      <c r="L26" s="40"/>
      <c r="M26" s="197"/>
    </row>
    <row r="27" spans="1:13">
      <c r="A27" s="102" t="s">
        <v>170</v>
      </c>
      <c r="B27" s="16">
        <v>1276</v>
      </c>
      <c r="C27" s="17"/>
      <c r="D27" s="16">
        <v>46715.368421052641</v>
      </c>
      <c r="E27" s="17"/>
      <c r="F27" s="16">
        <f>228.196007259528*1000</f>
        <v>228196.00725952798</v>
      </c>
      <c r="G27" s="17"/>
      <c r="H27" s="36"/>
      <c r="I27" s="17"/>
      <c r="J27" s="36">
        <v>0</v>
      </c>
      <c r="K27" s="17"/>
      <c r="L27" s="40"/>
      <c r="M27" s="197"/>
    </row>
    <row r="28" spans="1:13">
      <c r="A28" s="102" t="s">
        <v>171</v>
      </c>
      <c r="B28" s="16">
        <v>220</v>
      </c>
      <c r="C28" s="17"/>
      <c r="D28" s="16">
        <v>6236</v>
      </c>
      <c r="E28" s="17"/>
      <c r="F28" s="16">
        <v>0</v>
      </c>
      <c r="G28" s="17"/>
      <c r="H28" s="36"/>
      <c r="I28" s="17"/>
      <c r="J28" s="36">
        <f>36.5749049727767/11.48*1000</f>
        <v>3185.9673321234059</v>
      </c>
      <c r="K28" s="17"/>
      <c r="L28" s="40"/>
      <c r="M28" s="197"/>
    </row>
    <row r="29" spans="1:13">
      <c r="A29" s="102" t="s">
        <v>172</v>
      </c>
      <c r="B29" s="16">
        <v>606</v>
      </c>
      <c r="C29" s="17"/>
      <c r="D29" s="16">
        <v>22007.368421052583</v>
      </c>
      <c r="E29" s="17"/>
      <c r="F29" s="16">
        <v>0</v>
      </c>
      <c r="G29" s="17"/>
      <c r="H29" s="36"/>
      <c r="I29" s="17"/>
      <c r="J29" s="36">
        <f>125.101831143376/11.48*1000</f>
        <v>10897.372050816724</v>
      </c>
      <c r="K29" s="17"/>
      <c r="L29" s="40"/>
      <c r="M29" s="197"/>
    </row>
    <row r="30" spans="1:13">
      <c r="A30" s="102" t="s">
        <v>173</v>
      </c>
      <c r="B30" s="16">
        <v>1033</v>
      </c>
      <c r="C30" s="17"/>
      <c r="D30" s="16">
        <v>62960</v>
      </c>
      <c r="E30" s="17"/>
      <c r="F30" s="16">
        <f>177.448275862069*1000</f>
        <v>177448.27586206901</v>
      </c>
      <c r="G30" s="17"/>
      <c r="H30" s="36"/>
      <c r="I30" s="17"/>
      <c r="J30" s="36">
        <v>0</v>
      </c>
      <c r="K30" s="17"/>
      <c r="L30" s="40"/>
      <c r="M30" s="197"/>
    </row>
    <row r="31" spans="1:13">
      <c r="A31" s="102" t="s">
        <v>174</v>
      </c>
      <c r="B31" s="16">
        <v>877</v>
      </c>
      <c r="C31" s="17"/>
      <c r="D31" s="16">
        <v>36689.684210526291</v>
      </c>
      <c r="E31" s="17"/>
      <c r="F31" s="16">
        <f>242.655172413793*1000</f>
        <v>242655.17241379299</v>
      </c>
      <c r="G31" s="17"/>
      <c r="H31" s="36"/>
      <c r="I31" s="17"/>
      <c r="J31" s="36">
        <v>0</v>
      </c>
      <c r="K31" s="17"/>
      <c r="L31" s="40"/>
      <c r="M31" s="197"/>
    </row>
    <row r="32" spans="1:13">
      <c r="A32" s="102" t="s">
        <v>175</v>
      </c>
      <c r="B32" s="16">
        <v>580</v>
      </c>
      <c r="C32" s="17"/>
      <c r="D32" s="16">
        <v>83609.032258064486</v>
      </c>
      <c r="E32" s="17"/>
      <c r="F32" s="16">
        <f>288.283121597096*1000</f>
        <v>288283.12159709597</v>
      </c>
      <c r="G32" s="17"/>
      <c r="H32" s="36"/>
      <c r="I32" s="17"/>
      <c r="J32" s="36">
        <v>0</v>
      </c>
      <c r="K32" s="17"/>
      <c r="L32" s="40"/>
      <c r="M32" s="197"/>
    </row>
    <row r="33" spans="1:13">
      <c r="A33" s="102" t="s">
        <v>176</v>
      </c>
      <c r="B33" s="16">
        <v>1042</v>
      </c>
      <c r="C33" s="17"/>
      <c r="D33" s="16">
        <v>69111</v>
      </c>
      <c r="E33" s="17"/>
      <c r="F33" s="16">
        <v>0</v>
      </c>
      <c r="G33" s="17"/>
      <c r="H33" s="36"/>
      <c r="I33" s="17"/>
      <c r="J33" s="36">
        <f>219.092903956443/11.48*1000</f>
        <v>19084.747731397474</v>
      </c>
      <c r="K33" s="17"/>
      <c r="L33" s="40"/>
      <c r="M33" s="197"/>
    </row>
    <row r="34" spans="1:13">
      <c r="A34" s="102" t="s">
        <v>177</v>
      </c>
      <c r="B34" s="16">
        <v>1329</v>
      </c>
      <c r="C34" s="17"/>
      <c r="D34" s="16">
        <v>52491.157894736854</v>
      </c>
      <c r="E34" s="17"/>
      <c r="F34" s="16">
        <v>0</v>
      </c>
      <c r="G34" s="17"/>
      <c r="H34" s="36"/>
      <c r="I34" s="17"/>
      <c r="J34" s="36">
        <f>257.460772413793/11.48*1000</f>
        <v>22426.896551724127</v>
      </c>
      <c r="K34" s="17"/>
      <c r="L34" s="40"/>
      <c r="M34" s="197"/>
    </row>
    <row r="35" spans="1:13">
      <c r="A35" s="102" t="s">
        <v>178</v>
      </c>
      <c r="B35" s="16">
        <v>190</v>
      </c>
      <c r="C35" s="17"/>
      <c r="D35" s="16">
        <v>5624.2105263157864</v>
      </c>
      <c r="E35" s="17"/>
      <c r="F35" s="16">
        <v>0</v>
      </c>
      <c r="G35" s="17"/>
      <c r="H35" s="36"/>
      <c r="I35" s="17"/>
      <c r="J35" s="36">
        <f>46.0150902359347/11.48*1000</f>
        <v>4008.2831215970991</v>
      </c>
      <c r="K35" s="17"/>
      <c r="L35" s="40"/>
      <c r="M35" s="197"/>
    </row>
    <row r="36" spans="1:13">
      <c r="A36" s="102" t="s">
        <v>179</v>
      </c>
      <c r="B36" s="16">
        <v>907</v>
      </c>
      <c r="C36" s="17"/>
      <c r="D36" s="16">
        <v>40759.080000000009</v>
      </c>
      <c r="E36" s="17"/>
      <c r="F36" s="16">
        <f>70.8892921960072*1000</f>
        <v>70889.292196007198</v>
      </c>
      <c r="G36" s="17"/>
      <c r="H36" s="36"/>
      <c r="I36" s="17"/>
      <c r="J36" s="36">
        <v>0</v>
      </c>
      <c r="K36" s="17"/>
      <c r="L36" s="40"/>
      <c r="M36" s="197"/>
    </row>
    <row r="37" spans="1:13">
      <c r="A37" s="102" t="s">
        <v>180</v>
      </c>
      <c r="B37" s="16">
        <v>800</v>
      </c>
      <c r="C37" s="17"/>
      <c r="D37" s="16">
        <v>42101.052631578947</v>
      </c>
      <c r="E37" s="17"/>
      <c r="F37" s="16">
        <v>0</v>
      </c>
      <c r="G37" s="17"/>
      <c r="H37" s="36"/>
      <c r="I37" s="17"/>
      <c r="J37" s="36">
        <f>140.719214809437/11.48*1000</f>
        <v>12257.77132486385</v>
      </c>
      <c r="K37" s="17"/>
      <c r="L37" s="40"/>
      <c r="M37" s="197"/>
    </row>
    <row r="38" spans="1:13">
      <c r="A38" s="102" t="s">
        <v>181</v>
      </c>
      <c r="B38" s="16">
        <v>924</v>
      </c>
      <c r="C38" s="17"/>
      <c r="D38" s="16">
        <v>38330.526315789437</v>
      </c>
      <c r="E38" s="17"/>
      <c r="F38" s="16">
        <v>0</v>
      </c>
      <c r="G38" s="17"/>
      <c r="H38" s="36"/>
      <c r="I38" s="17"/>
      <c r="J38" s="36">
        <f>129.307157241379/11.48*1000</f>
        <v>11263.689655172388</v>
      </c>
      <c r="K38" s="17"/>
      <c r="L38" s="40"/>
      <c r="M38" s="197"/>
    </row>
    <row r="39" spans="1:13">
      <c r="A39" s="102" t="s">
        <v>182</v>
      </c>
      <c r="B39" s="16">
        <v>98</v>
      </c>
      <c r="C39" s="17"/>
      <c r="D39" s="16">
        <v>1620</v>
      </c>
      <c r="E39" s="17"/>
      <c r="F39" s="16">
        <v>0</v>
      </c>
      <c r="G39" s="17"/>
      <c r="H39" s="36"/>
      <c r="I39" s="17"/>
      <c r="J39" s="36">
        <f>34.993790199637/11.48*1000</f>
        <v>3048.2395644283097</v>
      </c>
      <c r="K39" s="17"/>
      <c r="L39" s="40"/>
      <c r="M39" s="197"/>
    </row>
    <row r="40" spans="1:13">
      <c r="A40" s="102" t="s">
        <v>183</v>
      </c>
      <c r="B40" s="16">
        <v>323</v>
      </c>
      <c r="C40" s="17"/>
      <c r="D40" s="16">
        <v>5585.6842105263204</v>
      </c>
      <c r="E40" s="17"/>
      <c r="F40" s="16">
        <v>0</v>
      </c>
      <c r="G40" s="17"/>
      <c r="H40" s="36"/>
      <c r="I40" s="17"/>
      <c r="J40" s="36">
        <f>29.7621604355717/11.48*1000</f>
        <v>2592.5226860254097</v>
      </c>
      <c r="K40" s="17"/>
      <c r="L40" s="40"/>
      <c r="M40" s="197"/>
    </row>
    <row r="41" spans="1:13">
      <c r="A41" s="102" t="s">
        <v>184</v>
      </c>
      <c r="B41" s="16">
        <v>843</v>
      </c>
      <c r="C41" s="17"/>
      <c r="D41" s="16">
        <v>49204</v>
      </c>
      <c r="E41" s="17"/>
      <c r="F41" s="16">
        <v>0</v>
      </c>
      <c r="G41" s="17"/>
      <c r="H41" s="36"/>
      <c r="I41" s="17"/>
      <c r="J41" s="36">
        <f>96.1224775317605/11.48*1000</f>
        <v>8373.0381125226904</v>
      </c>
      <c r="K41" s="17"/>
      <c r="L41" s="40"/>
      <c r="M41" s="197"/>
    </row>
    <row r="42" spans="1:13">
      <c r="A42" s="102" t="s">
        <v>185</v>
      </c>
      <c r="B42" s="16">
        <v>476</v>
      </c>
      <c r="C42" s="17"/>
      <c r="D42" s="16">
        <v>11032.421052631573</v>
      </c>
      <c r="E42" s="17"/>
      <c r="F42" s="16">
        <v>0</v>
      </c>
      <c r="G42" s="17"/>
      <c r="H42" s="36"/>
      <c r="I42" s="17"/>
      <c r="J42" s="36">
        <f>72.5762683121597/11.48*1000</f>
        <v>6321.9745916515412</v>
      </c>
      <c r="K42" s="17"/>
      <c r="L42" s="40"/>
      <c r="M42" s="197"/>
    </row>
    <row r="43" spans="1:13">
      <c r="A43" s="102" t="s">
        <v>186</v>
      </c>
      <c r="B43" s="16">
        <v>378</v>
      </c>
      <c r="C43" s="17"/>
      <c r="D43" s="16">
        <v>27794.526315789466</v>
      </c>
      <c r="E43" s="17"/>
      <c r="F43" s="16">
        <v>0</v>
      </c>
      <c r="G43" s="17"/>
      <c r="H43" s="36"/>
      <c r="I43" s="17"/>
      <c r="J43" s="36">
        <v>0</v>
      </c>
      <c r="K43" s="17"/>
      <c r="L43" s="40"/>
      <c r="M43" s="197"/>
    </row>
    <row r="44" spans="1:13">
      <c r="A44" s="102" t="s">
        <v>187</v>
      </c>
      <c r="B44" s="16">
        <v>410</v>
      </c>
      <c r="C44" s="17"/>
      <c r="D44" s="16">
        <v>25709.684210526291</v>
      </c>
      <c r="E44" s="17"/>
      <c r="F44" s="16">
        <f>133.676950998185*1000</f>
        <v>133676.950998185</v>
      </c>
      <c r="G44" s="17"/>
      <c r="H44" s="36"/>
      <c r="I44" s="17"/>
      <c r="J44" s="36">
        <v>0</v>
      </c>
      <c r="K44" s="17"/>
      <c r="L44" s="40"/>
      <c r="M44" s="197"/>
    </row>
    <row r="45" spans="1:13">
      <c r="A45" s="102" t="s">
        <v>188</v>
      </c>
      <c r="B45" s="16">
        <v>465</v>
      </c>
      <c r="C45" s="17"/>
      <c r="D45" s="16">
        <v>25256.210526315845</v>
      </c>
      <c r="E45" s="17"/>
      <c r="F45" s="16">
        <v>0</v>
      </c>
      <c r="G45" s="17"/>
      <c r="H45" s="36"/>
      <c r="I45" s="17"/>
      <c r="J45" s="36">
        <f>92.1929422867513/11.48*1000</f>
        <v>8030.7441016333887</v>
      </c>
      <c r="K45" s="17"/>
      <c r="L45" s="40"/>
      <c r="M45" s="197"/>
    </row>
    <row r="46" spans="1:13">
      <c r="A46" s="102" t="s">
        <v>189</v>
      </c>
      <c r="B46" s="16">
        <v>1562</v>
      </c>
      <c r="C46" s="17"/>
      <c r="D46" s="16">
        <v>35170</v>
      </c>
      <c r="E46" s="17"/>
      <c r="F46" s="16">
        <f>242.655172413793*1000</f>
        <v>242655.17241379299</v>
      </c>
      <c r="G46" s="17"/>
      <c r="H46" s="36"/>
      <c r="I46" s="17"/>
      <c r="J46" s="36">
        <v>0</v>
      </c>
      <c r="K46" s="17"/>
      <c r="L46" s="40"/>
      <c r="M46" s="197"/>
    </row>
    <row r="47" spans="1:13">
      <c r="A47" s="102" t="s">
        <v>190</v>
      </c>
      <c r="B47" s="16">
        <v>738</v>
      </c>
      <c r="C47" s="17"/>
      <c r="D47" s="16">
        <v>42976.499999999978</v>
      </c>
      <c r="E47" s="17"/>
      <c r="F47" s="16">
        <v>0</v>
      </c>
      <c r="G47" s="17"/>
      <c r="H47" s="36"/>
      <c r="I47" s="17"/>
      <c r="J47" s="36">
        <f>154.639225263158/11.48*1000</f>
        <v>13470.315789473694</v>
      </c>
      <c r="K47" s="17"/>
      <c r="L47" s="40"/>
      <c r="M47" s="197"/>
    </row>
    <row r="48" spans="1:13">
      <c r="A48" s="102" t="s">
        <v>191</v>
      </c>
      <c r="B48" s="16">
        <v>1225</v>
      </c>
      <c r="C48" s="17"/>
      <c r="D48" s="16">
        <v>54454.736842105252</v>
      </c>
      <c r="E48" s="17"/>
      <c r="F48" s="16">
        <f>147.179673321234*1000</f>
        <v>147179.673321234</v>
      </c>
      <c r="G48" s="17"/>
      <c r="H48" s="36"/>
      <c r="I48" s="17"/>
      <c r="J48" s="36">
        <v>0</v>
      </c>
      <c r="K48" s="17"/>
      <c r="L48" s="40"/>
      <c r="M48" s="197"/>
    </row>
    <row r="49" spans="1:13">
      <c r="A49" s="102" t="s">
        <v>192</v>
      </c>
      <c r="B49" s="16">
        <v>1112</v>
      </c>
      <c r="C49" s="17"/>
      <c r="D49" s="16">
        <v>28383.157894736854</v>
      </c>
      <c r="E49" s="17"/>
      <c r="F49" s="16">
        <f>186.337568058076*1000</f>
        <v>186337.56805807599</v>
      </c>
      <c r="G49" s="17"/>
      <c r="H49" s="36"/>
      <c r="I49" s="17"/>
      <c r="J49" s="36">
        <v>0</v>
      </c>
      <c r="K49" s="17"/>
      <c r="L49" s="40"/>
      <c r="M49" s="197"/>
    </row>
    <row r="50" spans="1:13">
      <c r="A50" s="102" t="s">
        <v>193</v>
      </c>
      <c r="B50" s="16">
        <v>402</v>
      </c>
      <c r="C50" s="17"/>
      <c r="D50" s="16">
        <v>6914.5263157894951</v>
      </c>
      <c r="E50" s="17"/>
      <c r="F50" s="16">
        <f>89.7931034482759*1000</f>
        <v>89793.103448275899</v>
      </c>
      <c r="G50" s="17"/>
      <c r="H50" s="36"/>
      <c r="I50" s="17"/>
      <c r="J50" s="36">
        <v>0</v>
      </c>
      <c r="K50" s="17"/>
      <c r="L50" s="40"/>
      <c r="M50" s="197"/>
    </row>
    <row r="51" spans="1:13">
      <c r="A51" s="102" t="s">
        <v>194</v>
      </c>
      <c r="B51" s="16">
        <v>1738</v>
      </c>
      <c r="C51" s="17"/>
      <c r="D51" s="16">
        <v>68442.31578947368</v>
      </c>
      <c r="E51" s="17"/>
      <c r="F51" s="16">
        <v>0</v>
      </c>
      <c r="G51" s="17"/>
      <c r="H51" s="36"/>
      <c r="I51" s="17"/>
      <c r="J51" s="36">
        <f>215.419137277677/11.18*1000</f>
        <v>19268.259148271645</v>
      </c>
      <c r="K51" s="17"/>
      <c r="L51" s="40"/>
      <c r="M51" s="197"/>
    </row>
    <row r="52" spans="1:13">
      <c r="A52" s="102" t="s">
        <v>195</v>
      </c>
      <c r="B52" s="16">
        <v>557</v>
      </c>
      <c r="C52" s="17"/>
      <c r="D52" s="16">
        <v>25964.842105263146</v>
      </c>
      <c r="E52" s="17"/>
      <c r="F52" s="16">
        <v>0</v>
      </c>
      <c r="G52" s="17"/>
      <c r="H52" s="36"/>
      <c r="I52" s="17"/>
      <c r="J52" s="36">
        <f>70.9641512885663/11.48*1000</f>
        <v>6181.5462794918376</v>
      </c>
      <c r="K52" s="17"/>
      <c r="L52" s="40"/>
      <c r="M52" s="197"/>
    </row>
    <row r="53" spans="1:13">
      <c r="A53" s="102"/>
      <c r="B53" s="16"/>
      <c r="C53" s="17"/>
      <c r="D53" s="16"/>
      <c r="E53" s="17"/>
      <c r="F53" s="16"/>
      <c r="G53" s="17"/>
      <c r="H53" s="36"/>
      <c r="I53" s="17"/>
      <c r="J53" s="36"/>
      <c r="K53" s="17"/>
      <c r="L53" s="40"/>
      <c r="M53" s="197"/>
    </row>
    <row r="54" spans="1:13">
      <c r="A54" s="103" t="s">
        <v>203</v>
      </c>
      <c r="B54" s="33"/>
      <c r="C54" s="34">
        <f>SUM(B55:B57)</f>
        <v>2570</v>
      </c>
      <c r="D54" s="33"/>
      <c r="E54" s="34">
        <f>SUM(D55:D57)</f>
        <v>93224.882852292038</v>
      </c>
      <c r="F54" s="33"/>
      <c r="G54" s="34">
        <f>SUM(F55:F57)</f>
        <v>122931.034482759</v>
      </c>
      <c r="H54" s="35"/>
      <c r="I54" s="34">
        <f>SUM(H55:H57)</f>
        <v>0</v>
      </c>
      <c r="J54" s="35"/>
      <c r="K54" s="34">
        <f>SUM(J55:J57)</f>
        <v>11671.078039927414</v>
      </c>
      <c r="L54" s="193">
        <f>(E54*Emissionsfaktorer!$D$9+'Bygn el og varmeforbrug mm'!G54*Emissionsfaktorer!$D$10+'Bygn el og varmeforbrug mm'!I54*Emissionsfaktorer!$D$13+'Bygn el og varmeforbrug mm'!K54*Emissionsfaktorer!$D$14)/1000000</f>
        <v>83.055569261401629</v>
      </c>
      <c r="M54" s="198">
        <f>L54*1000/C54</f>
        <v>32.317342125059</v>
      </c>
    </row>
    <row r="55" spans="1:13">
      <c r="A55" s="102" t="s">
        <v>204</v>
      </c>
      <c r="B55" s="16">
        <v>675</v>
      </c>
      <c r="C55" s="17"/>
      <c r="D55" s="16">
        <v>34271.368421052641</v>
      </c>
      <c r="E55" s="17"/>
      <c r="F55" s="16"/>
      <c r="G55" s="17"/>
      <c r="H55" s="36"/>
      <c r="I55" s="17"/>
      <c r="J55" s="36">
        <f>61.4232087114338/11.48*1000</f>
        <v>5350.4537205081706</v>
      </c>
      <c r="K55" s="17"/>
      <c r="L55" s="40"/>
      <c r="M55" s="197"/>
    </row>
    <row r="56" spans="1:13">
      <c r="A56" s="102" t="s">
        <v>205</v>
      </c>
      <c r="B56" s="16">
        <v>1330</v>
      </c>
      <c r="C56" s="17"/>
      <c r="D56" s="16">
        <v>18415.57894736842</v>
      </c>
      <c r="E56" s="17"/>
      <c r="F56" s="16"/>
      <c r="G56" s="17"/>
      <c r="H56" s="36"/>
      <c r="I56" s="17"/>
      <c r="J56" s="36">
        <f>72.5607671869329/11.48*1000</f>
        <v>6320.624319419243</v>
      </c>
      <c r="K56" s="17"/>
      <c r="L56" s="40"/>
      <c r="M56" s="197"/>
    </row>
    <row r="57" spans="1:13">
      <c r="A57" s="102" t="s">
        <v>206</v>
      </c>
      <c r="B57" s="16">
        <v>565</v>
      </c>
      <c r="C57" s="17"/>
      <c r="D57" s="16">
        <v>40537.93548387097</v>
      </c>
      <c r="E57" s="17"/>
      <c r="F57" s="16">
        <f>122.931034482759*1000</f>
        <v>122931.034482759</v>
      </c>
      <c r="G57" s="17"/>
      <c r="H57" s="36"/>
      <c r="I57" s="17"/>
      <c r="J57" s="36"/>
      <c r="K57" s="17"/>
      <c r="L57" s="40"/>
      <c r="M57" s="197"/>
    </row>
    <row r="58" spans="1:13">
      <c r="A58" s="101" t="s">
        <v>196</v>
      </c>
      <c r="B58" s="33"/>
      <c r="C58" s="34">
        <f>SUM(B59:B64)</f>
        <v>23682</v>
      </c>
      <c r="D58" s="33"/>
      <c r="E58" s="34">
        <f>SUM(D59:D64)</f>
        <v>1397408.8421052629</v>
      </c>
      <c r="F58" s="33"/>
      <c r="G58" s="34">
        <f>SUM(F59:F64)</f>
        <v>3566181.4882032629</v>
      </c>
      <c r="H58" s="35"/>
      <c r="I58" s="34">
        <f>SUM(H59:H64)</f>
        <v>0</v>
      </c>
      <c r="J58" s="35"/>
      <c r="K58" s="34">
        <f>SUM(J59:J64)</f>
        <v>19618.105263157926</v>
      </c>
      <c r="L58" s="193">
        <f>(E58*Emissionsfaktorer!$D$9+'Bygn el og varmeforbrug mm'!G58*Emissionsfaktorer!$D$10+'Bygn el og varmeforbrug mm'!I58*Emissionsfaktorer!$D$13+'Bygn el og varmeforbrug mm'!K58*Emissionsfaktorer!$D$14)/1000000</f>
        <v>1120.2317079709612</v>
      </c>
      <c r="M58" s="198">
        <f>L58*1000/C58</f>
        <v>47.30308706912259</v>
      </c>
    </row>
    <row r="59" spans="1:13">
      <c r="A59" s="102" t="s">
        <v>197</v>
      </c>
      <c r="B59" s="16">
        <v>2984</v>
      </c>
      <c r="C59" s="17"/>
      <c r="D59" s="16">
        <v>126367.57894736843</v>
      </c>
      <c r="E59" s="17"/>
      <c r="F59" s="16">
        <f>280.181488203267*1000</f>
        <v>280181.48820326698</v>
      </c>
      <c r="G59" s="17"/>
      <c r="H59" s="36"/>
      <c r="I59" s="17"/>
      <c r="J59" s="36">
        <v>0</v>
      </c>
      <c r="K59" s="17"/>
      <c r="L59" s="40"/>
      <c r="M59" s="197"/>
    </row>
    <row r="60" spans="1:13">
      <c r="A60" s="102" t="s">
        <v>198</v>
      </c>
      <c r="B60" s="16">
        <v>5404</v>
      </c>
      <c r="C60" s="17"/>
      <c r="D60" s="16">
        <v>343320</v>
      </c>
      <c r="E60" s="17"/>
      <c r="F60" s="16">
        <f>789.965517241379*1000</f>
        <v>789965.51724137901</v>
      </c>
      <c r="G60" s="17"/>
      <c r="H60" s="36"/>
      <c r="I60" s="17"/>
      <c r="J60" s="36">
        <v>0</v>
      </c>
      <c r="K60" s="17"/>
      <c r="L60" s="40"/>
      <c r="M60" s="197"/>
    </row>
    <row r="61" spans="1:13">
      <c r="A61" s="102" t="s">
        <v>199</v>
      </c>
      <c r="B61" s="16">
        <v>2579</v>
      </c>
      <c r="C61" s="17"/>
      <c r="D61" s="16">
        <v>268067.36842105258</v>
      </c>
      <c r="E61" s="17"/>
      <c r="F61" s="16">
        <f>849.827586206897*1000</f>
        <v>849827.58620689693</v>
      </c>
      <c r="G61" s="17"/>
      <c r="H61" s="36"/>
      <c r="I61" s="17"/>
      <c r="J61" s="36">
        <v>0</v>
      </c>
      <c r="K61" s="17"/>
      <c r="L61" s="40"/>
      <c r="M61" s="197"/>
    </row>
    <row r="62" spans="1:13">
      <c r="A62" s="102" t="s">
        <v>200</v>
      </c>
      <c r="B62" s="16">
        <v>4791</v>
      </c>
      <c r="C62" s="17"/>
      <c r="D62" s="16">
        <v>137242.10526315775</v>
      </c>
      <c r="E62" s="17"/>
      <c r="F62" s="16">
        <f>403*1000</f>
        <v>403000</v>
      </c>
      <c r="G62" s="17"/>
      <c r="H62" s="36"/>
      <c r="I62" s="17"/>
      <c r="J62" s="36">
        <v>0</v>
      </c>
      <c r="K62" s="17"/>
      <c r="L62" s="40"/>
      <c r="M62" s="197"/>
    </row>
    <row r="63" spans="1:13">
      <c r="A63" s="102" t="s">
        <v>201</v>
      </c>
      <c r="B63" s="16">
        <v>549</v>
      </c>
      <c r="C63" s="17"/>
      <c r="D63" s="16">
        <v>35835.789473684272</v>
      </c>
      <c r="E63" s="17"/>
      <c r="F63" s="16">
        <v>0</v>
      </c>
      <c r="G63" s="17"/>
      <c r="H63" s="36"/>
      <c r="I63" s="17"/>
      <c r="J63" s="36">
        <f>225.215848421053/11.48*1000</f>
        <v>19618.105263157926</v>
      </c>
      <c r="K63" s="17"/>
      <c r="L63" s="40"/>
      <c r="M63" s="197"/>
    </row>
    <row r="64" spans="1:13">
      <c r="A64" s="102" t="s">
        <v>202</v>
      </c>
      <c r="B64" s="16">
        <v>7375</v>
      </c>
      <c r="C64" s="17"/>
      <c r="D64" s="16">
        <v>486576</v>
      </c>
      <c r="E64" s="17"/>
      <c r="F64" s="16">
        <f>1243.20689655172*1000</f>
        <v>1243206.8965517201</v>
      </c>
      <c r="G64" s="17"/>
      <c r="H64" s="36"/>
      <c r="I64" s="17"/>
      <c r="J64" s="36">
        <v>0</v>
      </c>
      <c r="K64" s="17"/>
      <c r="L64" s="40"/>
      <c r="M64" s="197"/>
    </row>
    <row r="65" spans="1:13">
      <c r="A65" s="101" t="s">
        <v>207</v>
      </c>
      <c r="B65" s="33"/>
      <c r="C65" s="34">
        <f>SUM(B66:B68)</f>
        <v>8050</v>
      </c>
      <c r="D65" s="33"/>
      <c r="E65" s="34">
        <f>SUM(D66:D68)</f>
        <v>320394.52859083202</v>
      </c>
      <c r="F65" s="33"/>
      <c r="G65" s="34">
        <f>SUM(F66:F68)</f>
        <v>0</v>
      </c>
      <c r="H65" s="35"/>
      <c r="I65" s="34">
        <f>SUM(H66:H68)</f>
        <v>0</v>
      </c>
      <c r="J65" s="35"/>
      <c r="K65" s="34">
        <f>SUM(J66:J68)</f>
        <v>61228.573502722204</v>
      </c>
      <c r="L65" s="193">
        <f>(E65*Emissionsfaktorer!$D$9+'Bygn el og varmeforbrug mm'!G65*Emissionsfaktorer!$D$10+'Bygn el og varmeforbrug mm'!I65*Emissionsfaktorer!$D$13+'Bygn el og varmeforbrug mm'!K65*Emissionsfaktorer!$D$14)/1000000</f>
        <v>277.95114830069122</v>
      </c>
      <c r="M65" s="198">
        <f>L65*1000/C65</f>
        <v>34.528092956607601</v>
      </c>
    </row>
    <row r="66" spans="1:13">
      <c r="A66" s="102" t="s">
        <v>208</v>
      </c>
      <c r="B66" s="16">
        <v>612</v>
      </c>
      <c r="C66" s="17"/>
      <c r="D66" s="16">
        <v>21872.210526315845</v>
      </c>
      <c r="E66" s="17"/>
      <c r="F66" s="16"/>
      <c r="G66" s="17"/>
      <c r="H66" s="36"/>
      <c r="I66" s="17"/>
      <c r="J66" s="36">
        <f>90.7435870780399/11.48*1000</f>
        <v>7904.4936479128828</v>
      </c>
      <c r="K66" s="17"/>
      <c r="L66" s="40"/>
      <c r="M66" s="197"/>
    </row>
    <row r="67" spans="1:13">
      <c r="A67" s="102" t="s">
        <v>209</v>
      </c>
      <c r="B67" s="16">
        <v>1682</v>
      </c>
      <c r="C67" s="17"/>
      <c r="D67" s="16">
        <v>53512.258064516122</v>
      </c>
      <c r="E67" s="17"/>
      <c r="F67" s="16"/>
      <c r="G67" s="17"/>
      <c r="H67" s="36"/>
      <c r="I67" s="17"/>
      <c r="J67" s="36">
        <f>278.142190344827/11.48*1000</f>
        <v>24228.413793103395</v>
      </c>
      <c r="K67" s="17"/>
      <c r="L67" s="40"/>
      <c r="M67" s="197"/>
    </row>
    <row r="68" spans="1:13">
      <c r="A68" s="102" t="s">
        <v>210</v>
      </c>
      <c r="B68" s="16">
        <v>5756</v>
      </c>
      <c r="C68" s="17"/>
      <c r="D68" s="16">
        <v>245010.06000000006</v>
      </c>
      <c r="E68" s="17"/>
      <c r="F68" s="16"/>
      <c r="G68" s="17"/>
      <c r="H68" s="36"/>
      <c r="I68" s="17"/>
      <c r="J68" s="36">
        <f>334.018246388384/11.48*1000</f>
        <v>29095.666061705924</v>
      </c>
      <c r="K68" s="17"/>
      <c r="L68" s="40"/>
      <c r="M68" s="197"/>
    </row>
    <row r="69" spans="1:13">
      <c r="A69" s="101" t="s">
        <v>211</v>
      </c>
      <c r="B69" s="33"/>
      <c r="C69" s="34">
        <f>SUM(B70:B98)</f>
        <v>67114</v>
      </c>
      <c r="D69" s="33"/>
      <c r="E69" s="34">
        <f>SUM(D70:D98)</f>
        <v>3716988.1078947377</v>
      </c>
      <c r="F69" s="33"/>
      <c r="G69" s="34">
        <f>SUM(F70:F98)</f>
        <v>6965373.6842105202</v>
      </c>
      <c r="H69" s="35"/>
      <c r="I69" s="34">
        <f>SUM(H70:H98)</f>
        <v>0</v>
      </c>
      <c r="J69" s="35"/>
      <c r="K69" s="34">
        <f>SUM(J70:J98)</f>
        <v>315708.31760435551</v>
      </c>
      <c r="L69" s="193">
        <f>(E69*Emissionsfaktorer!$D$9+'Bygn el og varmeforbrug mm'!G69*Emissionsfaktorer!$D$10+'Bygn el og varmeforbrug mm'!I69*Emissionsfaktorer!$D$13+'Bygn el og varmeforbrug mm'!K69*Emissionsfaktorer!$D$14)/1000000</f>
        <v>3243.8147685967774</v>
      </c>
      <c r="M69" s="198">
        <f>L69*1000/C69</f>
        <v>48.332907718162787</v>
      </c>
    </row>
    <row r="70" spans="1:13">
      <c r="A70" s="102" t="s">
        <v>212</v>
      </c>
      <c r="B70" s="16">
        <v>8255</v>
      </c>
      <c r="C70" s="17"/>
      <c r="D70" s="16">
        <v>181347.94000000009</v>
      </c>
      <c r="E70" s="17"/>
      <c r="F70" s="16">
        <f>849.827586206897*1000</f>
        <v>849827.58620689693</v>
      </c>
      <c r="G70" s="17"/>
      <c r="H70" s="36"/>
      <c r="I70" s="17"/>
      <c r="J70" s="36">
        <v>0</v>
      </c>
      <c r="K70" s="17"/>
      <c r="L70" s="40"/>
      <c r="M70" s="197"/>
    </row>
    <row r="71" spans="1:13">
      <c r="A71" s="102" t="s">
        <v>240</v>
      </c>
      <c r="B71" s="16">
        <v>1290</v>
      </c>
      <c r="C71" s="17"/>
      <c r="D71" s="16">
        <v>32695.578947368427</v>
      </c>
      <c r="E71" s="17"/>
      <c r="F71" s="16">
        <f>141.103448275862*1000</f>
        <v>141103.448275862</v>
      </c>
      <c r="G71" s="17"/>
      <c r="H71" s="36"/>
      <c r="I71" s="17"/>
      <c r="J71" s="36">
        <v>0</v>
      </c>
      <c r="K71" s="17"/>
      <c r="L71" s="40"/>
      <c r="M71" s="197"/>
    </row>
    <row r="72" spans="1:13">
      <c r="A72" s="102" t="s">
        <v>213</v>
      </c>
      <c r="B72" s="16">
        <v>1833</v>
      </c>
      <c r="C72" s="17"/>
      <c r="D72" s="16">
        <v>229768.42105263192</v>
      </c>
      <c r="E72" s="17"/>
      <c r="F72" s="16">
        <f>220.769509981851*1000</f>
        <v>220769.50998185101</v>
      </c>
      <c r="G72" s="17"/>
      <c r="H72" s="36"/>
      <c r="I72" s="17"/>
      <c r="J72" s="36">
        <v>0</v>
      </c>
      <c r="K72" s="17"/>
      <c r="L72" s="40"/>
      <c r="M72" s="197"/>
    </row>
    <row r="73" spans="1:13">
      <c r="A73" s="102" t="s">
        <v>214</v>
      </c>
      <c r="B73" s="16">
        <v>16259</v>
      </c>
      <c r="C73" s="17"/>
      <c r="D73" s="16">
        <v>1563500</v>
      </c>
      <c r="E73" s="17"/>
      <c r="F73" s="16">
        <f>1108.62413793103*1000</f>
        <v>1108624.13793103</v>
      </c>
      <c r="G73" s="17"/>
      <c r="H73" s="36"/>
      <c r="I73" s="17"/>
      <c r="J73" s="36">
        <v>0</v>
      </c>
      <c r="K73" s="17"/>
      <c r="L73" s="40"/>
      <c r="M73" s="197"/>
    </row>
    <row r="74" spans="1:13">
      <c r="A74" s="102" t="s">
        <v>215</v>
      </c>
      <c r="B74" s="16">
        <v>7039</v>
      </c>
      <c r="C74" s="17"/>
      <c r="D74" s="16">
        <v>174660.63157894742</v>
      </c>
      <c r="E74" s="17"/>
      <c r="F74" s="16">
        <v>0</v>
      </c>
      <c r="G74" s="17"/>
      <c r="H74" s="36"/>
      <c r="I74" s="17"/>
      <c r="J74" s="36">
        <f>1078.76205735027/11.48*1000</f>
        <v>93968.820326678571</v>
      </c>
      <c r="K74" s="17"/>
      <c r="L74" s="40"/>
      <c r="M74" s="197"/>
    </row>
    <row r="75" spans="1:13">
      <c r="A75" s="102" t="s">
        <v>216</v>
      </c>
      <c r="B75" s="16">
        <v>1784</v>
      </c>
      <c r="C75" s="17"/>
      <c r="D75" s="16">
        <v>72621.429999999978</v>
      </c>
      <c r="E75" s="17"/>
      <c r="F75" s="16">
        <v>0</v>
      </c>
      <c r="G75" s="17"/>
      <c r="H75" s="36"/>
      <c r="I75" s="17"/>
      <c r="J75" s="36">
        <f>284.114957241379/11.48*1000</f>
        <v>24748.689655172384</v>
      </c>
      <c r="K75" s="17"/>
      <c r="L75" s="40"/>
      <c r="M75" s="197"/>
    </row>
    <row r="76" spans="1:13">
      <c r="A76" s="102" t="s">
        <v>217</v>
      </c>
      <c r="B76" s="16">
        <v>1700</v>
      </c>
      <c r="C76" s="17"/>
      <c r="D76" s="16">
        <v>82201.263157894718</v>
      </c>
      <c r="E76" s="17"/>
      <c r="F76" s="16">
        <v>0</v>
      </c>
      <c r="G76" s="17"/>
      <c r="H76" s="36"/>
      <c r="I76" s="17"/>
      <c r="J76" s="36">
        <f>217.302523992741/11.48*1000</f>
        <v>18928.791288566288</v>
      </c>
      <c r="K76" s="17"/>
      <c r="L76" s="40"/>
      <c r="M76" s="197"/>
    </row>
    <row r="77" spans="1:13">
      <c r="A77" s="102" t="s">
        <v>218</v>
      </c>
      <c r="B77" s="16">
        <v>549</v>
      </c>
      <c r="C77" s="17"/>
      <c r="D77" s="16">
        <v>16580.842105263146</v>
      </c>
      <c r="E77" s="17"/>
      <c r="F77" s="16">
        <v>0</v>
      </c>
      <c r="G77" s="17"/>
      <c r="H77" s="36"/>
      <c r="I77" s="17"/>
      <c r="J77" s="36">
        <f>136.498387586207/11.48*1000</f>
        <v>11890.103448275871</v>
      </c>
      <c r="K77" s="17"/>
      <c r="L77" s="40"/>
      <c r="M77" s="197"/>
    </row>
    <row r="78" spans="1:13">
      <c r="A78" s="102" t="s">
        <v>219</v>
      </c>
      <c r="B78" s="16">
        <v>3576</v>
      </c>
      <c r="C78" s="17"/>
      <c r="D78" s="16">
        <v>248444.2105263155</v>
      </c>
      <c r="E78" s="17"/>
      <c r="F78" s="16">
        <f>893.205081669691*1000</f>
        <v>893205.08166969102</v>
      </c>
      <c r="G78" s="17"/>
      <c r="H78" s="36"/>
      <c r="I78" s="17"/>
      <c r="J78" s="36">
        <v>0</v>
      </c>
      <c r="K78" s="17"/>
      <c r="L78" s="40"/>
      <c r="M78" s="197"/>
    </row>
    <row r="79" spans="1:13">
      <c r="A79" s="102" t="s">
        <v>220</v>
      </c>
      <c r="B79" s="16">
        <v>813</v>
      </c>
      <c r="C79" s="17"/>
      <c r="D79" s="16">
        <v>89557.894736842252</v>
      </c>
      <c r="E79" s="17"/>
      <c r="F79" s="16">
        <v>0</v>
      </c>
      <c r="G79" s="17"/>
      <c r="H79" s="36"/>
      <c r="I79" s="17"/>
      <c r="J79" s="36">
        <f>436.71820137931/11.48*1000</f>
        <v>38041.655172413761</v>
      </c>
      <c r="K79" s="17"/>
      <c r="L79" s="40"/>
      <c r="M79" s="197"/>
    </row>
    <row r="80" spans="1:13">
      <c r="A80" s="102" t="s">
        <v>221</v>
      </c>
      <c r="B80" s="16">
        <v>3166</v>
      </c>
      <c r="C80" s="17"/>
      <c r="D80" s="16">
        <v>488874.94736842113</v>
      </c>
      <c r="E80" s="17"/>
      <c r="F80" s="16">
        <f>1884.58620689655*1000</f>
        <v>1884586.20689655</v>
      </c>
      <c r="G80" s="17"/>
      <c r="H80" s="36"/>
      <c r="I80" s="17"/>
      <c r="J80" s="36">
        <v>0</v>
      </c>
      <c r="K80" s="17"/>
      <c r="L80" s="40"/>
      <c r="M80" s="197"/>
    </row>
    <row r="81" spans="1:13">
      <c r="A81" s="102" t="s">
        <v>222</v>
      </c>
      <c r="B81" s="16">
        <v>188</v>
      </c>
      <c r="C81" s="17"/>
      <c r="D81" s="16">
        <v>27205.894736842136</v>
      </c>
      <c r="E81" s="17"/>
      <c r="F81" s="16">
        <v>0</v>
      </c>
      <c r="G81" s="17"/>
      <c r="H81" s="36"/>
      <c r="I81" s="17"/>
      <c r="J81" s="36">
        <f>121.99385553539/11.48*1000</f>
        <v>10626.642468239546</v>
      </c>
      <c r="K81" s="17"/>
      <c r="L81" s="40"/>
      <c r="M81" s="197"/>
    </row>
    <row r="82" spans="1:13">
      <c r="A82" s="102" t="s">
        <v>223</v>
      </c>
      <c r="B82" s="16">
        <v>338</v>
      </c>
      <c r="C82" s="17"/>
      <c r="D82" s="16">
        <v>8621.0526315789321</v>
      </c>
      <c r="E82" s="17"/>
      <c r="F82" s="16">
        <v>0</v>
      </c>
      <c r="G82" s="17"/>
      <c r="H82" s="36"/>
      <c r="I82" s="17"/>
      <c r="J82" s="36">
        <f>31.9710707803992/11.48*1000</f>
        <v>2784.9364791288499</v>
      </c>
      <c r="K82" s="17"/>
      <c r="L82" s="40"/>
      <c r="M82" s="197"/>
    </row>
    <row r="83" spans="1:13">
      <c r="A83" s="102" t="s">
        <v>224</v>
      </c>
      <c r="B83" s="16">
        <v>1067</v>
      </c>
      <c r="C83" s="17"/>
      <c r="D83" s="16">
        <v>49931.368421052641</v>
      </c>
      <c r="E83" s="17"/>
      <c r="F83" s="16">
        <v>0</v>
      </c>
      <c r="G83" s="17"/>
      <c r="H83" s="36"/>
      <c r="I83" s="17"/>
      <c r="J83" s="36">
        <f>273.261586061706/11.48*1000</f>
        <v>23803.274047186933</v>
      </c>
      <c r="K83" s="17"/>
      <c r="L83" s="40"/>
      <c r="M83" s="197"/>
    </row>
    <row r="84" spans="1:13">
      <c r="A84" s="102" t="s">
        <v>225</v>
      </c>
      <c r="B84" s="16">
        <v>1520</v>
      </c>
      <c r="C84" s="17"/>
      <c r="D84" s="16">
        <v>7815.1578947368544</v>
      </c>
      <c r="E84" s="17"/>
      <c r="F84" s="16">
        <f>165.40834845735*1000</f>
        <v>165408.34845734999</v>
      </c>
      <c r="G84" s="17"/>
      <c r="H84" s="36"/>
      <c r="I84" s="17"/>
      <c r="J84" s="36">
        <v>0</v>
      </c>
      <c r="K84" s="17"/>
      <c r="L84" s="40"/>
      <c r="M84" s="197"/>
    </row>
    <row r="85" spans="1:13">
      <c r="A85" s="102" t="s">
        <v>226</v>
      </c>
      <c r="B85" s="16">
        <v>895</v>
      </c>
      <c r="C85" s="17"/>
      <c r="D85" s="16">
        <v>17416.421052631573</v>
      </c>
      <c r="E85" s="17"/>
      <c r="F85" s="16">
        <v>0</v>
      </c>
      <c r="G85" s="17"/>
      <c r="H85" s="36"/>
      <c r="I85" s="17"/>
      <c r="J85" s="36">
        <f>174.077636297641/11.48*1000</f>
        <v>15163.557168784058</v>
      </c>
      <c r="K85" s="17"/>
      <c r="L85" s="40"/>
      <c r="M85" s="197"/>
    </row>
    <row r="86" spans="1:13">
      <c r="A86" s="102" t="s">
        <v>227</v>
      </c>
      <c r="B86" s="16">
        <v>1179</v>
      </c>
      <c r="C86" s="17"/>
      <c r="D86" s="16">
        <v>4251.1578947368398</v>
      </c>
      <c r="E86" s="17"/>
      <c r="F86" s="16">
        <v>0</v>
      </c>
      <c r="G86" s="17"/>
      <c r="H86" s="36"/>
      <c r="I86" s="17"/>
      <c r="J86" s="36">
        <f>110.46876892922/11.48*1000</f>
        <v>9622.7150635209055</v>
      </c>
      <c r="K86" s="17"/>
      <c r="L86" s="40"/>
      <c r="M86" s="197"/>
    </row>
    <row r="87" spans="1:13">
      <c r="A87" s="102" t="s">
        <v>228</v>
      </c>
      <c r="B87" s="16">
        <v>292</v>
      </c>
      <c r="C87" s="17"/>
      <c r="D87" s="16">
        <v>2066.5263157894733</v>
      </c>
      <c r="E87" s="17"/>
      <c r="F87" s="16">
        <v>0</v>
      </c>
      <c r="G87" s="17"/>
      <c r="H87" s="36"/>
      <c r="I87" s="17"/>
      <c r="J87" s="36">
        <f>44.6277395281307/11.48*1000</f>
        <v>3887.4337568058099</v>
      </c>
      <c r="K87" s="17"/>
      <c r="L87" s="40"/>
      <c r="M87" s="197"/>
    </row>
    <row r="88" spans="1:13">
      <c r="A88" s="102" t="s">
        <v>229</v>
      </c>
      <c r="B88" s="16">
        <v>338</v>
      </c>
      <c r="C88" s="17"/>
      <c r="D88" s="16">
        <v>1804.4210526315728</v>
      </c>
      <c r="E88" s="17"/>
      <c r="F88" s="16">
        <v>0</v>
      </c>
      <c r="G88" s="17"/>
      <c r="H88" s="36"/>
      <c r="I88" s="17"/>
      <c r="J88" s="36">
        <f>37.714237676951/11.48*1000</f>
        <v>3285.2123411978223</v>
      </c>
      <c r="K88" s="17"/>
      <c r="L88" s="40"/>
      <c r="M88" s="197"/>
    </row>
    <row r="89" spans="1:13">
      <c r="A89" s="102" t="s">
        <v>230</v>
      </c>
      <c r="B89" s="16">
        <v>780</v>
      </c>
      <c r="C89" s="17"/>
      <c r="D89" s="16">
        <v>48805.263157894718</v>
      </c>
      <c r="E89" s="17"/>
      <c r="F89" s="16">
        <f>57.3865698729582*1000</f>
        <v>57386.5698729582</v>
      </c>
      <c r="G89" s="17"/>
      <c r="H89" s="36"/>
      <c r="I89" s="17"/>
      <c r="J89" s="36">
        <v>0</v>
      </c>
      <c r="K89" s="17"/>
      <c r="L89" s="40"/>
      <c r="M89" s="197"/>
    </row>
    <row r="90" spans="1:13">
      <c r="A90" s="102" t="s">
        <v>231</v>
      </c>
      <c r="B90" s="16">
        <v>2056</v>
      </c>
      <c r="C90" s="17"/>
      <c r="D90" s="16">
        <v>17325.473684210505</v>
      </c>
      <c r="E90" s="17"/>
      <c r="F90" s="16">
        <v>0</v>
      </c>
      <c r="G90" s="17"/>
      <c r="H90" s="36"/>
      <c r="I90" s="17"/>
      <c r="J90" s="36">
        <f>231.532556950998/11.48*1000</f>
        <v>20168.341197822127</v>
      </c>
      <c r="K90" s="17"/>
      <c r="L90" s="40"/>
      <c r="M90" s="197"/>
    </row>
    <row r="91" spans="1:13">
      <c r="A91" s="102" t="s">
        <v>232</v>
      </c>
      <c r="B91" s="16">
        <v>247</v>
      </c>
      <c r="C91" s="17"/>
      <c r="D91" s="16">
        <v>13038.947368421053</v>
      </c>
      <c r="E91" s="17"/>
      <c r="F91" s="16">
        <v>0</v>
      </c>
      <c r="G91" s="17"/>
      <c r="H91" s="36"/>
      <c r="I91" s="17"/>
      <c r="J91" s="36">
        <f>38.6985591288565/11.48*1000</f>
        <v>3370.9546279491724</v>
      </c>
      <c r="K91" s="17"/>
      <c r="L91" s="40"/>
      <c r="M91" s="197"/>
    </row>
    <row r="92" spans="1:13">
      <c r="A92" s="102" t="s">
        <v>233</v>
      </c>
      <c r="B92" s="16">
        <v>465</v>
      </c>
      <c r="C92" s="17"/>
      <c r="D92" s="16">
        <v>17495.368421052641</v>
      </c>
      <c r="E92" s="17"/>
      <c r="F92" s="16">
        <v>0</v>
      </c>
      <c r="G92" s="17"/>
      <c r="H92" s="36"/>
      <c r="I92" s="17"/>
      <c r="J92" s="36">
        <f>120.071716007259/11.48*1000</f>
        <v>10459.20871143371</v>
      </c>
      <c r="K92" s="17"/>
      <c r="L92" s="40"/>
      <c r="M92" s="197"/>
    </row>
    <row r="93" spans="1:13">
      <c r="A93" s="102" t="s">
        <v>234</v>
      </c>
      <c r="B93" s="16">
        <v>235</v>
      </c>
      <c r="C93" s="17"/>
      <c r="D93" s="16">
        <v>8979.1578947368544</v>
      </c>
      <c r="E93" s="17"/>
      <c r="F93" s="16">
        <v>0</v>
      </c>
      <c r="G93" s="17"/>
      <c r="H93" s="36"/>
      <c r="I93" s="17"/>
      <c r="J93" s="36">
        <f>51.5903282758621/11.48*1000</f>
        <v>4493.9310344827618</v>
      </c>
      <c r="K93" s="17"/>
      <c r="L93" s="40"/>
      <c r="M93" s="197"/>
    </row>
    <row r="94" spans="1:13">
      <c r="A94" s="102" t="s">
        <v>235</v>
      </c>
      <c r="B94" s="16">
        <v>875</v>
      </c>
      <c r="C94" s="17"/>
      <c r="D94" s="16">
        <v>6200.8421052631456</v>
      </c>
      <c r="E94" s="17"/>
      <c r="F94" s="16">
        <v>0</v>
      </c>
      <c r="G94" s="17"/>
      <c r="H94" s="36"/>
      <c r="I94" s="17"/>
      <c r="J94" s="36">
        <f>71.9484727404719/11.48*1000</f>
        <v>6267.2885662431972</v>
      </c>
      <c r="K94" s="17"/>
      <c r="L94" s="40"/>
      <c r="M94" s="197"/>
    </row>
    <row r="95" spans="1:13">
      <c r="A95" s="102" t="s">
        <v>236</v>
      </c>
      <c r="B95" s="16">
        <v>856</v>
      </c>
      <c r="C95" s="17"/>
      <c r="D95" s="16">
        <v>67448.842105263146</v>
      </c>
      <c r="E95" s="17"/>
      <c r="F95" s="16">
        <v>0</v>
      </c>
      <c r="G95" s="17"/>
      <c r="H95" s="36"/>
      <c r="I95" s="17"/>
      <c r="J95" s="36">
        <f>162.978830635209/11.48*1000</f>
        <v>14196.762250453745</v>
      </c>
      <c r="K95" s="17"/>
      <c r="L95" s="40"/>
      <c r="M95" s="197"/>
    </row>
    <row r="96" spans="1:13">
      <c r="A96" s="102" t="s">
        <v>237</v>
      </c>
      <c r="B96" s="16"/>
      <c r="C96" s="17"/>
      <c r="D96" s="16">
        <v>104761.89473684214</v>
      </c>
      <c r="E96" s="17"/>
      <c r="F96" s="16">
        <f>355.796733212341*1000</f>
        <v>355796.73321234097</v>
      </c>
      <c r="G96" s="17"/>
      <c r="H96" s="36"/>
      <c r="I96" s="17"/>
      <c r="J96" s="36">
        <v>0</v>
      </c>
      <c r="K96" s="17"/>
      <c r="L96" s="40"/>
      <c r="M96" s="197"/>
    </row>
    <row r="97" spans="1:13">
      <c r="A97" s="102" t="s">
        <v>238</v>
      </c>
      <c r="B97" s="16">
        <v>256</v>
      </c>
      <c r="C97" s="17"/>
      <c r="D97" s="16">
        <v>9475.5789473684199</v>
      </c>
      <c r="E97" s="17"/>
      <c r="F97" s="16">
        <f>54.5172413793103*1000</f>
        <v>54517.241379310297</v>
      </c>
      <c r="G97" s="17"/>
      <c r="H97" s="36"/>
      <c r="I97" s="17"/>
      <c r="J97" s="36">
        <v>0</v>
      </c>
      <c r="K97" s="17"/>
      <c r="L97" s="40"/>
      <c r="M97" s="197"/>
    </row>
    <row r="98" spans="1:13" ht="15" thickBot="1">
      <c r="A98" s="102" t="s">
        <v>239</v>
      </c>
      <c r="B98" s="16">
        <v>9263</v>
      </c>
      <c r="C98" s="17"/>
      <c r="D98" s="16">
        <v>124091.5800000001</v>
      </c>
      <c r="E98" s="17"/>
      <c r="F98" s="16">
        <f>1234.14882032668*1000</f>
        <v>1234148.8203266799</v>
      </c>
      <c r="G98" s="17"/>
      <c r="H98" s="36"/>
      <c r="I98" s="17"/>
      <c r="J98" s="36">
        <v>0</v>
      </c>
      <c r="K98" s="17"/>
      <c r="L98" s="40"/>
      <c r="M98" s="197"/>
    </row>
    <row r="99" spans="1:13" s="8" customFormat="1" ht="14.25" customHeight="1" thickBot="1">
      <c r="A99" s="26" t="s">
        <v>23</v>
      </c>
      <c r="B99" s="115"/>
      <c r="C99" s="27">
        <f>SUM(C10:C98)</f>
        <v>229074</v>
      </c>
      <c r="D99" s="115"/>
      <c r="E99" s="27">
        <f>SUM(E10:E98)</f>
        <v>10213056.112648556</v>
      </c>
      <c r="F99" s="116"/>
      <c r="G99" s="27">
        <f>SUM(G10:G98)</f>
        <v>28495455.67654768</v>
      </c>
      <c r="H99" s="116"/>
      <c r="I99" s="27">
        <f>SUM(I10:I98)</f>
        <v>0</v>
      </c>
      <c r="J99" s="116"/>
      <c r="K99" s="27">
        <f>SUM(K10:K98)</f>
        <v>755316.07040053979</v>
      </c>
      <c r="L99" s="195" t="s">
        <v>23</v>
      </c>
      <c r="M99" s="193"/>
    </row>
    <row r="100" spans="1:13" s="8" customFormat="1" ht="14.25" customHeight="1" thickBot="1">
      <c r="A100" s="26" t="s">
        <v>44</v>
      </c>
      <c r="B100" s="115"/>
      <c r="C100" s="114"/>
      <c r="D100" s="116"/>
      <c r="E100" s="28">
        <f>E99*Emissionsfaktorer!D9/1000000</f>
        <v>4478.4251053963917</v>
      </c>
      <c r="F100" s="116"/>
      <c r="G100" s="28">
        <f>G99*Emissionsfaktorer!D10/1000000</f>
        <v>3702.9844651673707</v>
      </c>
      <c r="H100" s="116"/>
      <c r="I100" s="28">
        <f>I99*Emissionsfaktorer!D13/1000000</f>
        <v>0</v>
      </c>
      <c r="J100" s="116"/>
      <c r="K100" s="28">
        <f>K99*Emissionsfaktorer!D14/1000000</f>
        <v>1695.6845780492117</v>
      </c>
      <c r="L100" s="100">
        <f>SUM(E100:K100)</f>
        <v>9877.0941486129741</v>
      </c>
      <c r="M100" s="194"/>
    </row>
    <row r="101" spans="1:13" s="8" customFormat="1" ht="14.25" customHeight="1" thickBot="1">
      <c r="A101" s="26" t="s">
        <v>78</v>
      </c>
      <c r="B101" s="117"/>
      <c r="C101" s="27"/>
      <c r="D101" s="28"/>
      <c r="E101" s="29">
        <f>E99*500/1000000</f>
        <v>5106.5280563242777</v>
      </c>
      <c r="F101" s="9"/>
      <c r="G101" s="9"/>
      <c r="H101" s="9"/>
      <c r="I101" s="9"/>
      <c r="J101" s="9"/>
      <c r="K101" s="9"/>
      <c r="L101" s="100">
        <f>E101+G100+I100+K100</f>
        <v>10505.197099540859</v>
      </c>
    </row>
    <row r="102" spans="1:13" s="8" customFormat="1" ht="14.25" customHeight="1">
      <c r="A102" s="58"/>
      <c r="B102" s="59"/>
      <c r="C102" s="60"/>
      <c r="D102" s="9"/>
      <c r="E102" s="9"/>
      <c r="F102" s="9"/>
      <c r="G102" s="9"/>
      <c r="H102" s="9"/>
      <c r="I102" s="9"/>
      <c r="J102" s="9"/>
      <c r="K102" s="9"/>
    </row>
  </sheetData>
  <pageMargins left="0.25" right="0.25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opLeftCell="A4" workbookViewId="0">
      <selection activeCell="E14" sqref="E14"/>
    </sheetView>
  </sheetViews>
  <sheetFormatPr defaultRowHeight="14.25"/>
  <cols>
    <col min="1" max="1" width="51.5703125" style="62" customWidth="1"/>
    <col min="2" max="2" width="15.140625" style="62" customWidth="1"/>
    <col min="3" max="3" width="14.42578125" style="62" customWidth="1"/>
    <col min="4" max="4" width="13.42578125" style="62" customWidth="1"/>
    <col min="5" max="5" width="20" style="62" customWidth="1"/>
    <col min="6" max="16384" width="9.140625" style="62"/>
  </cols>
  <sheetData>
    <row r="1" spans="1:5" ht="19.5">
      <c r="A1" s="74" t="s">
        <v>45</v>
      </c>
    </row>
    <row r="3" spans="1:5" ht="15" thickBot="1"/>
    <row r="4" spans="1:5" s="93" customFormat="1" ht="24" customHeight="1" thickBot="1">
      <c r="A4" s="90" t="s">
        <v>46</v>
      </c>
      <c r="B4" s="94"/>
      <c r="C4" s="92"/>
      <c r="D4" s="92"/>
      <c r="E4" s="92"/>
    </row>
    <row r="5" spans="1:5">
      <c r="A5" s="63" t="s">
        <v>64</v>
      </c>
      <c r="B5" s="64" t="s">
        <v>2</v>
      </c>
      <c r="C5" s="75" t="s">
        <v>3</v>
      </c>
      <c r="D5" s="75" t="s">
        <v>23</v>
      </c>
      <c r="E5" s="75" t="s">
        <v>52</v>
      </c>
    </row>
    <row r="6" spans="1:5" ht="15" thickBot="1">
      <c r="A6" s="65"/>
      <c r="B6" s="66" t="s">
        <v>25</v>
      </c>
      <c r="C6" s="77" t="s">
        <v>25</v>
      </c>
      <c r="D6" s="199" t="s">
        <v>25</v>
      </c>
      <c r="E6" s="200" t="s">
        <v>51</v>
      </c>
    </row>
    <row r="7" spans="1:5" ht="16.5" customHeight="1">
      <c r="A7" s="67" t="s">
        <v>4</v>
      </c>
      <c r="B7" s="68">
        <v>0</v>
      </c>
      <c r="C7" s="78">
        <v>32850</v>
      </c>
      <c r="D7" s="78">
        <f>B7+C7</f>
        <v>32850</v>
      </c>
      <c r="E7" s="78">
        <f>B7*Emissionsfaktorer!$D$11/1000000+C7*Emissionsfaktorer!$D$12/1000000</f>
        <v>78.84</v>
      </c>
    </row>
    <row r="8" spans="1:5" ht="16.5" customHeight="1" thickBot="1">
      <c r="A8" s="69" t="s">
        <v>49</v>
      </c>
      <c r="B8" s="70">
        <v>89545</v>
      </c>
      <c r="C8" s="80">
        <v>1695</v>
      </c>
      <c r="D8" s="78">
        <f>B8+C8</f>
        <v>91240</v>
      </c>
      <c r="E8" s="78">
        <f>B8*Emissionsfaktorer!$D$11/1000000+C8*Emissionsfaktorer!$D$12/1000000</f>
        <v>241.36225000000002</v>
      </c>
    </row>
    <row r="9" spans="1:5" ht="16.5" customHeight="1" thickBot="1">
      <c r="A9" s="71" t="s">
        <v>23</v>
      </c>
      <c r="B9" s="72">
        <f>SUM(B7:B8)</f>
        <v>89545</v>
      </c>
      <c r="C9" s="82">
        <f>SUM(C7:C8)</f>
        <v>34545</v>
      </c>
      <c r="D9" s="82">
        <f>SUM(D7:D8)</f>
        <v>124090</v>
      </c>
      <c r="E9" s="112"/>
    </row>
    <row r="10" spans="1:5" ht="16.5" customHeight="1" thickBot="1">
      <c r="A10" s="88" t="s">
        <v>44</v>
      </c>
      <c r="B10" s="72">
        <f>B9*Emissionsfaktorer!D11/1000000</f>
        <v>237.29425000000001</v>
      </c>
      <c r="C10" s="89">
        <f>C9*Emissionsfaktorer!D12/1000000</f>
        <v>82.908000000000001</v>
      </c>
      <c r="D10" s="111">
        <f>D9*Emissionsfaktorer!E12/1000000</f>
        <v>0</v>
      </c>
      <c r="E10" s="89">
        <f>B10+C10</f>
        <v>320.20224999999999</v>
      </c>
    </row>
    <row r="11" spans="1:5">
      <c r="A11" s="84"/>
      <c r="B11" s="73"/>
      <c r="C11" s="83"/>
    </row>
    <row r="12" spans="1:5" ht="15" thickBot="1">
      <c r="B12" s="85"/>
    </row>
    <row r="13" spans="1:5" s="93" customFormat="1" ht="21" customHeight="1" thickBot="1">
      <c r="A13" s="90" t="s">
        <v>47</v>
      </c>
      <c r="B13" s="91"/>
      <c r="C13" s="92"/>
    </row>
    <row r="14" spans="1:5" s="6" customFormat="1" ht="28.5">
      <c r="A14" s="97" t="s">
        <v>5</v>
      </c>
      <c r="B14" s="21" t="s">
        <v>48</v>
      </c>
      <c r="C14" s="23" t="s">
        <v>65</v>
      </c>
      <c r="D14" s="61"/>
    </row>
    <row r="15" spans="1:5" ht="15" thickBot="1">
      <c r="A15" s="98"/>
      <c r="B15" s="86" t="s">
        <v>6</v>
      </c>
      <c r="C15" s="99" t="s">
        <v>7</v>
      </c>
      <c r="D15" s="87"/>
    </row>
    <row r="16" spans="1:5" ht="20.25" customHeight="1" thickBot="1">
      <c r="A16" s="71" t="s">
        <v>96</v>
      </c>
      <c r="B16" s="95">
        <v>243089</v>
      </c>
      <c r="C16" s="96">
        <f>B16/Emissionsfaktorer!D22</f>
        <v>71078.654970760239</v>
      </c>
      <c r="D16" s="81"/>
    </row>
    <row r="17" spans="1:3" ht="20.25" customHeight="1" thickBot="1">
      <c r="A17" s="88" t="s">
        <v>44</v>
      </c>
      <c r="B17" s="113"/>
      <c r="C17" s="89">
        <f>C16*Emissionsfaktorer!D17/1000000</f>
        <v>9.2402251461988314</v>
      </c>
    </row>
    <row r="19" spans="1:3" ht="15" thickBot="1"/>
    <row r="20" spans="1:3" ht="20.25" customHeight="1" thickBot="1">
      <c r="A20" s="90" t="s">
        <v>137</v>
      </c>
      <c r="B20" s="91"/>
      <c r="C20" s="92"/>
    </row>
    <row r="21" spans="1:3" ht="28.5">
      <c r="A21" s="97" t="s">
        <v>137</v>
      </c>
      <c r="B21" s="21" t="s">
        <v>138</v>
      </c>
      <c r="C21" s="23" t="s">
        <v>65</v>
      </c>
    </row>
    <row r="22" spans="1:3" ht="15" thickBot="1">
      <c r="A22" s="98"/>
      <c r="B22" s="86" t="s">
        <v>6</v>
      </c>
      <c r="C22" s="99" t="s">
        <v>7</v>
      </c>
    </row>
    <row r="23" spans="1:3" ht="15" thickBot="1">
      <c r="A23" s="71" t="s">
        <v>137</v>
      </c>
      <c r="B23" s="95">
        <v>82358</v>
      </c>
      <c r="C23" s="96">
        <f>B23/Emissionsfaktorer!D23</f>
        <v>8283.0642698048832</v>
      </c>
    </row>
    <row r="24" spans="1:3" ht="15" thickBot="1">
      <c r="A24" s="88" t="s">
        <v>44</v>
      </c>
      <c r="B24" s="113"/>
      <c r="C24" s="89">
        <f>C23*Emissionsfaktorer!D18/1000000</f>
        <v>2.4849192809414649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>
      <selection activeCell="N12" sqref="N12"/>
    </sheetView>
  </sheetViews>
  <sheetFormatPr defaultRowHeight="14.25"/>
  <cols>
    <col min="1" max="1" width="57" style="62" customWidth="1"/>
    <col min="2" max="2" width="32.85546875" style="62" customWidth="1"/>
    <col min="3" max="3" width="21.28515625" style="62" customWidth="1"/>
    <col min="4" max="4" width="9.140625" style="62"/>
    <col min="5" max="5" width="10.7109375" style="62" bestFit="1" customWidth="1"/>
    <col min="6" max="16384" width="9.140625" style="62"/>
  </cols>
  <sheetData>
    <row r="1" spans="1:4" ht="19.5">
      <c r="A1" s="74" t="s">
        <v>53</v>
      </c>
    </row>
    <row r="2" spans="1:4" ht="15" thickBot="1"/>
    <row r="3" spans="1:4" s="93" customFormat="1" ht="15" thickBot="1">
      <c r="A3" s="145" t="s">
        <v>54</v>
      </c>
      <c r="B3" s="146"/>
      <c r="C3" s="147"/>
    </row>
    <row r="4" spans="1:4">
      <c r="A4" s="143" t="s">
        <v>55</v>
      </c>
      <c r="B4" s="144" t="s">
        <v>13</v>
      </c>
      <c r="C4" s="167" t="s">
        <v>12</v>
      </c>
      <c r="D4" s="76"/>
    </row>
    <row r="5" spans="1:4">
      <c r="A5" s="67" t="s">
        <v>56</v>
      </c>
      <c r="B5" s="106">
        <v>6.2</v>
      </c>
      <c r="C5" s="168" t="s">
        <v>60</v>
      </c>
      <c r="D5" s="79"/>
    </row>
    <row r="6" spans="1:4">
      <c r="A6" s="67" t="s">
        <v>85</v>
      </c>
      <c r="B6" s="68" t="s">
        <v>108</v>
      </c>
      <c r="C6" s="168" t="s">
        <v>58</v>
      </c>
      <c r="D6" s="79"/>
    </row>
    <row r="7" spans="1:4">
      <c r="A7" s="67" t="s">
        <v>109</v>
      </c>
      <c r="B7" s="105">
        <v>2009</v>
      </c>
      <c r="C7" s="168" t="s">
        <v>59</v>
      </c>
      <c r="D7" s="79"/>
    </row>
    <row r="8" spans="1:4">
      <c r="A8" s="67" t="s">
        <v>110</v>
      </c>
      <c r="B8" s="201">
        <v>20</v>
      </c>
      <c r="C8" s="168" t="s">
        <v>111</v>
      </c>
      <c r="D8" s="79"/>
    </row>
    <row r="9" spans="1:4">
      <c r="A9" s="67" t="s">
        <v>121</v>
      </c>
      <c r="B9" s="68">
        <v>2300</v>
      </c>
      <c r="C9" s="168" t="s">
        <v>104</v>
      </c>
      <c r="D9" s="79"/>
    </row>
    <row r="10" spans="1:4">
      <c r="A10" s="67" t="s">
        <v>79</v>
      </c>
      <c r="B10" s="68">
        <f>B5*B9</f>
        <v>14260</v>
      </c>
      <c r="C10" s="168" t="s">
        <v>80</v>
      </c>
      <c r="D10" s="79"/>
    </row>
    <row r="11" spans="1:4" ht="15" thickBot="1">
      <c r="A11" s="69"/>
      <c r="B11" s="104"/>
      <c r="C11" s="169"/>
      <c r="D11" s="81"/>
    </row>
    <row r="12" spans="1:4" ht="19.5" customHeight="1" thickBot="1">
      <c r="A12" s="88" t="s">
        <v>87</v>
      </c>
      <c r="B12" s="72">
        <f>B10*500/1000</f>
        <v>7130</v>
      </c>
      <c r="C12" s="170" t="s">
        <v>86</v>
      </c>
    </row>
    <row r="13" spans="1:4">
      <c r="A13" s="182" t="s">
        <v>122</v>
      </c>
      <c r="B13" s="73"/>
      <c r="C13" s="83"/>
    </row>
    <row r="14" spans="1:4">
      <c r="B14" s="83"/>
      <c r="C14" s="83"/>
    </row>
    <row r="15" spans="1:4" ht="15" thickBot="1"/>
    <row r="16" spans="1:4" s="93" customFormat="1" ht="15" thickBot="1">
      <c r="A16" s="145" t="s">
        <v>81</v>
      </c>
      <c r="B16" s="146"/>
      <c r="C16" s="147"/>
    </row>
    <row r="17" spans="1:4">
      <c r="A17" s="143" t="s">
        <v>55</v>
      </c>
      <c r="B17" s="144" t="s">
        <v>13</v>
      </c>
      <c r="C17" s="167" t="s">
        <v>12</v>
      </c>
      <c r="D17" s="76"/>
    </row>
    <row r="18" spans="1:4">
      <c r="A18" s="67" t="s">
        <v>82</v>
      </c>
      <c r="B18" s="106">
        <v>3</v>
      </c>
      <c r="C18" s="168" t="s">
        <v>83</v>
      </c>
      <c r="D18" s="79"/>
    </row>
    <row r="19" spans="1:4">
      <c r="A19" s="67" t="s">
        <v>119</v>
      </c>
      <c r="B19" s="68" t="s">
        <v>107</v>
      </c>
      <c r="C19" s="168" t="s">
        <v>58</v>
      </c>
      <c r="D19" s="79"/>
    </row>
    <row r="20" spans="1:4">
      <c r="A20" s="67" t="s">
        <v>57</v>
      </c>
      <c r="B20" s="105">
        <v>2010</v>
      </c>
      <c r="C20" s="168" t="s">
        <v>59</v>
      </c>
      <c r="D20" s="79"/>
    </row>
    <row r="21" spans="1:4">
      <c r="A21" s="67" t="s">
        <v>112</v>
      </c>
      <c r="B21" s="105">
        <v>50</v>
      </c>
      <c r="C21" s="168" t="s">
        <v>111</v>
      </c>
      <c r="D21" s="79"/>
    </row>
    <row r="22" spans="1:4">
      <c r="A22" s="67" t="s">
        <v>105</v>
      </c>
      <c r="B22" s="106">
        <v>10</v>
      </c>
      <c r="C22" s="168" t="s">
        <v>106</v>
      </c>
      <c r="D22" s="79"/>
    </row>
    <row r="23" spans="1:4">
      <c r="A23" s="67" t="s">
        <v>84</v>
      </c>
      <c r="B23" s="68">
        <f>B18*B22</f>
        <v>30</v>
      </c>
      <c r="C23" s="168" t="s">
        <v>86</v>
      </c>
      <c r="D23" s="79"/>
    </row>
    <row r="24" spans="1:4" ht="15" thickBot="1">
      <c r="A24" s="69"/>
      <c r="B24" s="104"/>
      <c r="C24" s="169"/>
      <c r="D24" s="81"/>
    </row>
    <row r="25" spans="1:4" ht="19.5" customHeight="1" thickBot="1">
      <c r="A25" s="88" t="s">
        <v>87</v>
      </c>
      <c r="B25" s="72">
        <f>B23</f>
        <v>30</v>
      </c>
      <c r="C25" s="170" t="s">
        <v>86</v>
      </c>
    </row>
    <row r="26" spans="1:4">
      <c r="A26" s="182" t="s">
        <v>120</v>
      </c>
      <c r="B26" s="73"/>
      <c r="C26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>
      <selection activeCell="I18" sqref="I18"/>
    </sheetView>
  </sheetViews>
  <sheetFormatPr defaultRowHeight="14.25"/>
  <cols>
    <col min="1" max="1" width="54.42578125" style="7" customWidth="1"/>
    <col min="2" max="2" width="11.28515625" style="7" bestFit="1" customWidth="1"/>
    <col min="3" max="3" width="10.5703125" style="7" customWidth="1"/>
    <col min="4" max="4" width="12.42578125" style="7" customWidth="1"/>
    <col min="5" max="5" width="9.140625" style="7"/>
    <col min="6" max="6" width="15.5703125" style="7" bestFit="1" customWidth="1"/>
    <col min="7" max="9" width="15.85546875" style="7" customWidth="1"/>
    <col min="10" max="12" width="9.140625" style="7"/>
    <col min="13" max="13" width="52.5703125" style="7" bestFit="1" customWidth="1"/>
    <col min="14" max="14" width="6.140625" style="7" bestFit="1" customWidth="1"/>
    <col min="15" max="15" width="5.5703125" style="7" bestFit="1" customWidth="1"/>
    <col min="16" max="16" width="7.85546875" style="7" bestFit="1" customWidth="1"/>
    <col min="17" max="17" width="9.140625" style="7"/>
    <col min="18" max="19" width="6.140625" style="7" bestFit="1" customWidth="1"/>
    <col min="20" max="21" width="9.140625" style="7"/>
    <col min="22" max="22" width="5.5703125" style="7" bestFit="1" customWidth="1"/>
    <col min="23" max="23" width="6.140625" style="7" bestFit="1" customWidth="1"/>
    <col min="24" max="24" width="7" style="7" bestFit="1" customWidth="1"/>
    <col min="25" max="16384" width="9.140625" style="7"/>
  </cols>
  <sheetData>
    <row r="1" spans="1:17" ht="22.5">
      <c r="A1" s="142" t="s">
        <v>92</v>
      </c>
    </row>
    <row r="2" spans="1:17" ht="19.5">
      <c r="A2" s="44"/>
    </row>
    <row r="3" spans="1:17" s="138" customFormat="1" ht="18">
      <c r="A3" s="138" t="s">
        <v>97</v>
      </c>
      <c r="B3" s="139"/>
      <c r="C3" s="140"/>
      <c r="L3" s="141"/>
      <c r="M3" s="141"/>
      <c r="N3" s="141"/>
      <c r="O3" s="141"/>
      <c r="P3" s="141"/>
      <c r="Q3" s="141"/>
    </row>
    <row r="4" spans="1:17" s="6" customFormat="1" ht="15" thickBot="1">
      <c r="B4" s="10"/>
      <c r="C4" s="11"/>
      <c r="L4" s="40"/>
      <c r="M4" s="40"/>
      <c r="N4" s="40"/>
      <c r="O4" s="40"/>
      <c r="P4" s="40"/>
      <c r="Q4" s="40"/>
    </row>
    <row r="5" spans="1:17" s="62" customFormat="1" ht="18.75" customHeight="1">
      <c r="A5" s="235" t="s">
        <v>154</v>
      </c>
      <c r="B5" s="229" t="s">
        <v>19</v>
      </c>
      <c r="C5" s="230"/>
      <c r="D5" s="230"/>
      <c r="E5" s="230"/>
      <c r="F5" s="230"/>
      <c r="G5" s="225" t="s">
        <v>101</v>
      </c>
      <c r="L5" s="84"/>
      <c r="M5" s="125"/>
      <c r="N5" s="126"/>
      <c r="O5" s="126"/>
      <c r="P5" s="126"/>
      <c r="Q5" s="84"/>
    </row>
    <row r="6" spans="1:17" s="62" customFormat="1" ht="18.75" customHeight="1" thickBot="1">
      <c r="A6" s="236"/>
      <c r="B6" s="232" t="s">
        <v>11</v>
      </c>
      <c r="C6" s="233"/>
      <c r="D6" s="233"/>
      <c r="E6" s="233"/>
      <c r="F6" s="233"/>
      <c r="G6" s="226"/>
      <c r="L6" s="84"/>
      <c r="M6" s="125"/>
      <c r="N6" s="126"/>
      <c r="O6" s="126"/>
      <c r="P6" s="126"/>
      <c r="Q6" s="84"/>
    </row>
    <row r="7" spans="1:17" s="62" customFormat="1" ht="18.75" customHeight="1">
      <c r="A7" s="218" t="s">
        <v>20</v>
      </c>
      <c r="B7" s="219">
        <v>2008</v>
      </c>
      <c r="C7" s="220" t="s">
        <v>89</v>
      </c>
      <c r="D7" s="210">
        <v>2011</v>
      </c>
      <c r="E7" s="221" t="s">
        <v>242</v>
      </c>
      <c r="F7" s="221" t="s">
        <v>21</v>
      </c>
      <c r="G7" s="221" t="s">
        <v>95</v>
      </c>
      <c r="L7" s="84"/>
      <c r="M7" s="123"/>
      <c r="N7" s="124"/>
      <c r="O7" s="124"/>
      <c r="P7" s="124"/>
      <c r="Q7" s="84"/>
    </row>
    <row r="8" spans="1:17" s="62" customFormat="1" ht="18.75" customHeight="1">
      <c r="A8" s="214" t="s">
        <v>77</v>
      </c>
      <c r="B8" s="215">
        <f>SUM(B9:B16)</f>
        <v>4214</v>
      </c>
      <c r="C8" s="215">
        <v>10989</v>
      </c>
      <c r="D8" s="215">
        <f>SUM(D9:D16)</f>
        <v>6633.2793800161962</v>
      </c>
      <c r="E8" s="215">
        <f>'Bygn el og varmeforbrug mm'!L101</f>
        <v>10505.197099540859</v>
      </c>
      <c r="F8" s="216">
        <f>(D8-B8)/B8</f>
        <v>0.57410521595068731</v>
      </c>
      <c r="G8" s="217">
        <f>(E8-C8)/C8</f>
        <v>-4.4026107967889784E-2</v>
      </c>
      <c r="L8" s="84"/>
      <c r="M8" s="123"/>
      <c r="N8" s="128"/>
      <c r="O8" s="128"/>
      <c r="P8" s="129"/>
      <c r="Q8" s="84"/>
    </row>
    <row r="9" spans="1:17" s="62" customFormat="1" ht="18.75" customHeight="1">
      <c r="A9" s="130" t="s">
        <v>69</v>
      </c>
      <c r="B9" s="131">
        <v>402</v>
      </c>
      <c r="C9" s="211"/>
      <c r="D9" s="131"/>
      <c r="E9" s="211"/>
      <c r="F9" s="132"/>
      <c r="G9" s="212"/>
      <c r="I9" s="133"/>
      <c r="L9" s="84"/>
      <c r="M9" s="123"/>
      <c r="N9" s="128"/>
      <c r="O9" s="128"/>
      <c r="P9" s="129"/>
      <c r="Q9" s="84"/>
    </row>
    <row r="10" spans="1:17" s="62" customFormat="1" ht="18.75" customHeight="1">
      <c r="A10" s="130" t="s">
        <v>70</v>
      </c>
      <c r="B10" s="131">
        <v>1480</v>
      </c>
      <c r="C10" s="211"/>
      <c r="D10" s="131">
        <f>'Bygn el og varmeforbrug mm'!L10</f>
        <v>3986.213999195611</v>
      </c>
      <c r="E10" s="211"/>
      <c r="F10" s="132">
        <f t="shared" ref="F9:F20" si="0">(D10-B10)/B10</f>
        <v>1.6933878372943318</v>
      </c>
      <c r="G10" s="212"/>
      <c r="L10" s="84"/>
      <c r="M10" s="123"/>
      <c r="N10" s="128"/>
      <c r="O10" s="128"/>
      <c r="P10" s="128"/>
      <c r="Q10" s="84"/>
    </row>
    <row r="11" spans="1:17" s="62" customFormat="1" ht="18.75" customHeight="1">
      <c r="A11" s="130" t="s">
        <v>71</v>
      </c>
      <c r="B11" s="131">
        <v>389</v>
      </c>
      <c r="C11" s="211"/>
      <c r="D11" s="131">
        <f>'Bygn el og varmeforbrug mm'!L22</f>
        <v>1165.8269552875317</v>
      </c>
      <c r="E11" s="211"/>
      <c r="F11" s="132">
        <f t="shared" si="0"/>
        <v>1.9969844608933978</v>
      </c>
      <c r="G11" s="212"/>
      <c r="L11" s="84"/>
      <c r="M11" s="123"/>
      <c r="N11" s="128"/>
      <c r="O11" s="128"/>
      <c r="P11" s="128"/>
      <c r="Q11" s="84"/>
    </row>
    <row r="12" spans="1:17" s="62" customFormat="1" ht="18.75" customHeight="1">
      <c r="A12" s="130" t="s">
        <v>72</v>
      </c>
      <c r="B12" s="131">
        <v>90</v>
      </c>
      <c r="C12" s="211"/>
      <c r="D12" s="131">
        <f>'Bygn el og varmeforbrug mm'!L54</f>
        <v>83.055569261401629</v>
      </c>
      <c r="E12" s="211"/>
      <c r="F12" s="132">
        <f t="shared" si="0"/>
        <v>-7.71603415399819E-2</v>
      </c>
      <c r="G12" s="212"/>
      <c r="L12" s="84"/>
      <c r="M12" s="123"/>
      <c r="N12" s="128"/>
      <c r="O12" s="128"/>
      <c r="P12" s="129"/>
      <c r="Q12" s="84"/>
    </row>
    <row r="13" spans="1:17" s="62" customFormat="1" ht="18.75" customHeight="1">
      <c r="A13" s="130" t="s">
        <v>73</v>
      </c>
      <c r="B13" s="131">
        <v>874</v>
      </c>
      <c r="C13" s="211"/>
      <c r="D13" s="131">
        <f>'Bygn el og varmeforbrug mm'!L58</f>
        <v>1120.2317079709612</v>
      </c>
      <c r="E13" s="211"/>
      <c r="F13" s="132">
        <f t="shared" si="0"/>
        <v>0.2817296429873698</v>
      </c>
      <c r="G13" s="212"/>
      <c r="L13" s="84"/>
      <c r="M13" s="123"/>
      <c r="N13" s="128"/>
      <c r="O13" s="128"/>
      <c r="P13" s="128"/>
      <c r="Q13" s="84"/>
    </row>
    <row r="14" spans="1:17" s="62" customFormat="1" ht="18.75" customHeight="1">
      <c r="A14" s="130" t="s">
        <v>74</v>
      </c>
      <c r="B14" s="131">
        <v>51</v>
      </c>
      <c r="C14" s="211"/>
      <c r="D14" s="131">
        <f>'Bygn el og varmeforbrug mm'!L65</f>
        <v>277.95114830069122</v>
      </c>
      <c r="E14" s="211"/>
      <c r="F14" s="132">
        <f t="shared" si="0"/>
        <v>4.4500225156998274</v>
      </c>
      <c r="G14" s="212"/>
      <c r="L14" s="84"/>
      <c r="M14" s="123"/>
      <c r="N14" s="128"/>
      <c r="O14" s="128"/>
      <c r="P14" s="128"/>
      <c r="Q14" s="84"/>
    </row>
    <row r="15" spans="1:17" s="62" customFormat="1" ht="18.75" customHeight="1">
      <c r="A15" s="130" t="s">
        <v>75</v>
      </c>
      <c r="B15" s="131">
        <v>323</v>
      </c>
      <c r="C15" s="211"/>
      <c r="D15" s="131"/>
      <c r="E15" s="211"/>
      <c r="F15" s="132"/>
      <c r="G15" s="212"/>
      <c r="I15" s="222"/>
      <c r="L15" s="84"/>
      <c r="M15" s="123"/>
      <c r="N15" s="128"/>
      <c r="O15" s="128"/>
      <c r="P15" s="129"/>
      <c r="Q15" s="84"/>
    </row>
    <row r="16" spans="1:17" s="62" customFormat="1" ht="18.75" customHeight="1">
      <c r="A16" s="130" t="s">
        <v>76</v>
      </c>
      <c r="B16" s="131">
        <v>605</v>
      </c>
      <c r="C16" s="211"/>
      <c r="D16" s="131"/>
      <c r="E16" s="211"/>
      <c r="F16" s="132"/>
      <c r="G16" s="212"/>
      <c r="L16" s="84"/>
      <c r="M16" s="123"/>
      <c r="N16" s="128"/>
      <c r="O16" s="128"/>
      <c r="P16" s="129"/>
      <c r="Q16" s="84"/>
    </row>
    <row r="17" spans="1:17" s="62" customFormat="1" ht="18.75" customHeight="1">
      <c r="A17" s="214" t="s">
        <v>22</v>
      </c>
      <c r="B17" s="215">
        <f>SUM(B18:B21)</f>
        <v>325.48</v>
      </c>
      <c r="C17" s="215">
        <v>322</v>
      </c>
      <c r="D17" s="215">
        <f>SUM(D18:D21)</f>
        <v>331.92739442714037</v>
      </c>
      <c r="E17" s="215">
        <f>D17</f>
        <v>331.92739442714037</v>
      </c>
      <c r="F17" s="216">
        <f>(D17-B17)/B17</f>
        <v>1.9808880506145852E-2</v>
      </c>
      <c r="G17" s="217">
        <f>(E17-C17)/C17</f>
        <v>3.0830417475591215E-2</v>
      </c>
      <c r="L17" s="84"/>
      <c r="M17" s="125"/>
      <c r="N17" s="124"/>
      <c r="O17" s="124"/>
      <c r="P17" s="124"/>
      <c r="Q17" s="84"/>
    </row>
    <row r="18" spans="1:17" s="62" customFormat="1" ht="18.75" customHeight="1">
      <c r="A18" s="130" t="s">
        <v>90</v>
      </c>
      <c r="B18" s="131">
        <v>85</v>
      </c>
      <c r="C18" s="211"/>
      <c r="D18" s="131">
        <f>'Transport eksempel'!E7</f>
        <v>78.84</v>
      </c>
      <c r="E18" s="211"/>
      <c r="F18" s="132">
        <f t="shared" si="0"/>
        <v>-7.2470588235294078E-2</v>
      </c>
      <c r="G18" s="212"/>
      <c r="L18" s="84"/>
      <c r="M18" s="125"/>
      <c r="N18" s="124"/>
      <c r="O18" s="124"/>
      <c r="P18" s="134"/>
      <c r="Q18" s="84"/>
    </row>
    <row r="19" spans="1:17" s="62" customFormat="1" ht="18.75" customHeight="1">
      <c r="A19" s="130" t="s">
        <v>91</v>
      </c>
      <c r="B19" s="131">
        <v>225</v>
      </c>
      <c r="C19" s="211"/>
      <c r="D19" s="131">
        <f>'Transport eksempel'!E8</f>
        <v>241.36225000000002</v>
      </c>
      <c r="E19" s="211"/>
      <c r="F19" s="132">
        <f t="shared" si="0"/>
        <v>7.2721111111111195E-2</v>
      </c>
      <c r="G19" s="212"/>
      <c r="L19" s="84"/>
      <c r="M19" s="84"/>
      <c r="N19" s="84"/>
      <c r="O19" s="84"/>
      <c r="P19" s="84"/>
      <c r="Q19" s="84"/>
    </row>
    <row r="20" spans="1:17" s="62" customFormat="1" ht="18.75" customHeight="1">
      <c r="A20" s="130" t="s">
        <v>94</v>
      </c>
      <c r="B20" s="131">
        <v>13</v>
      </c>
      <c r="C20" s="211"/>
      <c r="D20" s="131">
        <f>'Transport eksempel'!C17</f>
        <v>9.2402251461988314</v>
      </c>
      <c r="E20" s="211"/>
      <c r="F20" s="132">
        <f t="shared" si="0"/>
        <v>-0.28921345029239759</v>
      </c>
      <c r="G20" s="212"/>
      <c r="L20" s="84"/>
      <c r="M20" s="84"/>
      <c r="N20" s="84"/>
      <c r="O20" s="84"/>
      <c r="P20" s="84"/>
      <c r="Q20" s="84"/>
    </row>
    <row r="21" spans="1:17" s="62" customFormat="1" ht="18.75" customHeight="1">
      <c r="A21" s="191" t="s">
        <v>143</v>
      </c>
      <c r="B21" s="131">
        <v>2.48</v>
      </c>
      <c r="C21" s="211"/>
      <c r="D21" s="131">
        <f>'Transport eksempel'!C24</f>
        <v>2.4849192809414649</v>
      </c>
      <c r="E21" s="211"/>
      <c r="F21" s="132">
        <f t="shared" ref="F21" si="1">(D21-B21)/B21</f>
        <v>1.9835810247842245E-3</v>
      </c>
      <c r="G21" s="212"/>
      <c r="L21" s="84"/>
      <c r="M21" s="84"/>
      <c r="N21" s="84"/>
      <c r="O21" s="84"/>
      <c r="P21" s="84"/>
      <c r="Q21" s="84"/>
    </row>
    <row r="22" spans="1:17" s="62" customFormat="1" ht="18.75" customHeight="1">
      <c r="A22" s="214" t="s">
        <v>147</v>
      </c>
      <c r="B22" s="215">
        <f>SUM(B23:B26)</f>
        <v>958</v>
      </c>
      <c r="C22" s="215">
        <v>4666</v>
      </c>
      <c r="D22" s="215">
        <f>SUM(D23:D26)</f>
        <v>3243.8147685967774</v>
      </c>
      <c r="E22" s="215">
        <f>D22</f>
        <v>3243.8147685967774</v>
      </c>
      <c r="F22" s="216">
        <f>(D22-B22)/B22</f>
        <v>2.3860279421678263</v>
      </c>
      <c r="G22" s="217">
        <f>(E22-C22)/C22</f>
        <v>-0.30479752066078497</v>
      </c>
      <c r="L22" s="84"/>
      <c r="M22" s="84"/>
      <c r="N22" s="84"/>
      <c r="O22" s="84"/>
      <c r="P22" s="84"/>
      <c r="Q22" s="84"/>
    </row>
    <row r="23" spans="1:17" s="62" customFormat="1" ht="18.75" customHeight="1">
      <c r="A23" s="191" t="s">
        <v>149</v>
      </c>
      <c r="B23" s="131"/>
      <c r="C23" s="211"/>
      <c r="D23" s="131"/>
      <c r="E23" s="211"/>
      <c r="F23" s="132"/>
      <c r="G23" s="212"/>
      <c r="L23" s="84"/>
      <c r="M23" s="84"/>
      <c r="N23" s="84"/>
      <c r="O23" s="84"/>
      <c r="P23" s="84"/>
      <c r="Q23" s="84"/>
    </row>
    <row r="24" spans="1:17" s="62" customFormat="1" ht="18.75" customHeight="1">
      <c r="A24" s="191" t="s">
        <v>152</v>
      </c>
      <c r="B24" s="131">
        <v>958</v>
      </c>
      <c r="C24" s="211"/>
      <c r="D24" s="131">
        <f>'Bygn el og varmeforbrug mm'!L69</f>
        <v>3243.8147685967774</v>
      </c>
      <c r="E24" s="211"/>
      <c r="F24" s="132">
        <f t="shared" ref="F24" si="2">(D24-B24)/B24</f>
        <v>2.3860279421678263</v>
      </c>
      <c r="G24" s="212"/>
      <c r="L24" s="84"/>
      <c r="M24" s="84"/>
      <c r="N24" s="84"/>
      <c r="O24" s="84"/>
      <c r="P24" s="84"/>
      <c r="Q24" s="84"/>
    </row>
    <row r="25" spans="1:17" s="62" customFormat="1" ht="18.75" customHeight="1">
      <c r="A25" s="191" t="s">
        <v>150</v>
      </c>
      <c r="B25" s="131"/>
      <c r="C25" s="211"/>
      <c r="D25" s="131"/>
      <c r="E25" s="211"/>
      <c r="F25" s="132"/>
      <c r="G25" s="212"/>
      <c r="L25" s="84"/>
      <c r="M25" s="84"/>
      <c r="N25" s="84"/>
      <c r="O25" s="84"/>
      <c r="P25" s="84"/>
      <c r="Q25" s="84"/>
    </row>
    <row r="26" spans="1:17" s="62" customFormat="1" ht="18.75" customHeight="1" thickBot="1">
      <c r="A26" s="191" t="s">
        <v>148</v>
      </c>
      <c r="B26" s="131"/>
      <c r="C26" s="211"/>
      <c r="D26" s="131"/>
      <c r="E26" s="211"/>
      <c r="F26" s="132"/>
      <c r="G26" s="213"/>
      <c r="L26" s="84"/>
      <c r="M26" s="84"/>
      <c r="N26" s="84"/>
      <c r="O26" s="84"/>
      <c r="P26" s="84"/>
      <c r="Q26" s="84"/>
    </row>
    <row r="27" spans="1:17" s="62" customFormat="1" ht="18.75" customHeight="1" thickBot="1">
      <c r="A27" s="135" t="s">
        <v>23</v>
      </c>
      <c r="B27" s="136">
        <f>B8+B17+B22</f>
        <v>5497.48</v>
      </c>
      <c r="C27" s="136">
        <f>C8+C17+C22</f>
        <v>15977</v>
      </c>
      <c r="D27" s="136">
        <f>D8+D17+D22</f>
        <v>10209.021543040115</v>
      </c>
      <c r="E27" s="136">
        <f>E8+E17+E22</f>
        <v>14080.939262564778</v>
      </c>
      <c r="F27" s="137">
        <f>(D27-B27)/B27</f>
        <v>0.8570365955019601</v>
      </c>
      <c r="G27" s="137">
        <f>(E27-C27)/C27</f>
        <v>-0.11867439052608263</v>
      </c>
      <c r="L27" s="84"/>
      <c r="M27" s="84"/>
      <c r="N27" s="84"/>
      <c r="O27" s="84"/>
      <c r="P27" s="84"/>
      <c r="Q27" s="84"/>
    </row>
    <row r="28" spans="1:17" s="6" customFormat="1">
      <c r="A28" s="101"/>
      <c r="B28" s="118"/>
      <c r="C28" s="118"/>
      <c r="D28" s="118"/>
      <c r="E28" s="118"/>
      <c r="F28" s="119"/>
      <c r="G28" s="120"/>
      <c r="L28" s="40"/>
      <c r="M28" s="40"/>
      <c r="N28" s="40"/>
      <c r="O28" s="40"/>
      <c r="P28" s="40"/>
      <c r="Q28" s="40"/>
    </row>
    <row r="29" spans="1:17" s="62" customFormat="1" ht="18.75" customHeight="1">
      <c r="A29" s="127"/>
      <c r="B29" s="158" t="s">
        <v>93</v>
      </c>
      <c r="C29" s="159"/>
      <c r="D29" s="159"/>
      <c r="E29" s="159"/>
      <c r="F29" s="160"/>
      <c r="G29" s="161"/>
      <c r="L29" s="84"/>
      <c r="M29" s="84"/>
      <c r="N29" s="84"/>
      <c r="O29" s="84"/>
      <c r="P29" s="84"/>
      <c r="Q29" s="84"/>
    </row>
    <row r="30" spans="1:17" s="62" customFormat="1" ht="18.75" customHeight="1">
      <c r="A30" s="127"/>
      <c r="B30" s="158"/>
      <c r="C30" s="159"/>
      <c r="D30" s="159"/>
      <c r="E30" s="159"/>
      <c r="F30" s="160"/>
      <c r="G30" s="161"/>
      <c r="L30" s="84"/>
      <c r="M30" s="84"/>
      <c r="N30" s="84"/>
      <c r="O30" s="84"/>
      <c r="P30" s="84"/>
      <c r="Q30" s="84"/>
    </row>
    <row r="31" spans="1:17" s="62" customFormat="1" ht="18.75" customHeight="1">
      <c r="A31" s="138" t="s">
        <v>98</v>
      </c>
      <c r="B31" s="158"/>
      <c r="C31" s="159"/>
      <c r="D31" s="159"/>
      <c r="E31" s="159"/>
      <c r="F31" s="160"/>
      <c r="G31" s="161"/>
      <c r="L31" s="84"/>
      <c r="M31" s="84"/>
      <c r="N31" s="84"/>
      <c r="O31" s="84"/>
      <c r="P31" s="84"/>
      <c r="Q31" s="84"/>
    </row>
    <row r="32" spans="1:17" s="62" customFormat="1" ht="18.75" customHeight="1" thickBot="1">
      <c r="A32" s="127"/>
      <c r="B32" s="159"/>
      <c r="C32" s="159"/>
      <c r="D32" s="159"/>
      <c r="E32" s="159"/>
      <c r="F32" s="160"/>
      <c r="G32" s="161"/>
      <c r="L32" s="84"/>
      <c r="M32" s="84"/>
      <c r="N32" s="84"/>
      <c r="O32" s="84"/>
      <c r="P32" s="84"/>
      <c r="Q32" s="84"/>
    </row>
    <row r="33" spans="1:14" s="62" customFormat="1" ht="18.75" customHeight="1">
      <c r="A33" s="235" t="s">
        <v>68</v>
      </c>
      <c r="B33" s="229" t="s">
        <v>100</v>
      </c>
      <c r="C33" s="231"/>
      <c r="D33" s="225" t="s">
        <v>114</v>
      </c>
      <c r="E33" s="171"/>
      <c r="F33" s="227"/>
      <c r="G33" s="229" t="s">
        <v>102</v>
      </c>
      <c r="H33" s="230"/>
      <c r="I33" s="231"/>
      <c r="J33" s="84"/>
      <c r="K33" s="84"/>
      <c r="L33" s="84"/>
      <c r="M33" s="84"/>
      <c r="N33" s="84"/>
    </row>
    <row r="34" spans="1:14" s="62" customFormat="1" ht="18.75" customHeight="1" thickBot="1">
      <c r="A34" s="236"/>
      <c r="B34" s="232"/>
      <c r="C34" s="234"/>
      <c r="D34" s="226"/>
      <c r="E34" s="171"/>
      <c r="F34" s="228"/>
      <c r="G34" s="232"/>
      <c r="H34" s="233"/>
      <c r="I34" s="234"/>
      <c r="J34" s="84"/>
      <c r="K34" s="84"/>
      <c r="L34" s="84"/>
      <c r="M34" s="84"/>
      <c r="N34" s="84"/>
    </row>
    <row r="35" spans="1:14" s="156" customFormat="1" ht="18.75" customHeight="1" thickBot="1">
      <c r="A35" s="148" t="s">
        <v>99</v>
      </c>
      <c r="B35" s="154">
        <v>2008</v>
      </c>
      <c r="C35" s="155">
        <v>2009</v>
      </c>
      <c r="D35" s="192" t="s">
        <v>144</v>
      </c>
      <c r="F35" s="148" t="s">
        <v>99</v>
      </c>
      <c r="G35" s="121" t="s">
        <v>89</v>
      </c>
      <c r="H35" s="121" t="s">
        <v>88</v>
      </c>
      <c r="I35" s="122" t="s">
        <v>95</v>
      </c>
      <c r="J35" s="157"/>
      <c r="K35" s="157"/>
      <c r="L35" s="157"/>
      <c r="M35" s="49"/>
    </row>
    <row r="36" spans="1:14" s="62" customFormat="1" ht="18.75" customHeight="1">
      <c r="A36" s="149" t="s">
        <v>115</v>
      </c>
      <c r="B36" s="150">
        <v>0</v>
      </c>
      <c r="C36" s="153">
        <f>IF($C$35='Andre projekter eksempel'!B7,'Andre projekter eksempel'!B12,0)</f>
        <v>7130</v>
      </c>
      <c r="D36" s="202">
        <f>IF('Samlet opgørelse eksempel'!C36&lt;='Bygn el og varmeforbrug mm'!E101,'Samlet opgørelse eksempel'!C36,'Bygn el og varmeforbrug mm'!E101)</f>
        <v>5106.5280563242777</v>
      </c>
      <c r="F36" s="203" t="s">
        <v>145</v>
      </c>
      <c r="G36" s="150">
        <f>C27</f>
        <v>15977</v>
      </c>
      <c r="H36" s="153">
        <f>E27</f>
        <v>14080.939262564778</v>
      </c>
      <c r="I36" s="164">
        <f>G27</f>
        <v>-0.11867439052608263</v>
      </c>
      <c r="J36" s="128"/>
      <c r="K36" s="128"/>
      <c r="L36" s="129"/>
      <c r="M36" s="84"/>
    </row>
    <row r="37" spans="1:14" s="62" customFormat="1" ht="18.75" customHeight="1" thickBot="1">
      <c r="A37" s="152" t="s">
        <v>116</v>
      </c>
      <c r="B37" s="151">
        <v>0</v>
      </c>
      <c r="C37" s="162">
        <f>IF($C$35='Andre projekter eksempel'!B20,'Andre projekter eksempel'!B25,0)</f>
        <v>0</v>
      </c>
      <c r="D37" s="162">
        <f>C37</f>
        <v>0</v>
      </c>
      <c r="E37" s="133"/>
      <c r="F37" s="204" t="s">
        <v>103</v>
      </c>
      <c r="G37" s="151">
        <f>B38</f>
        <v>0</v>
      </c>
      <c r="H37" s="162">
        <f>D38</f>
        <v>5106.5280563242777</v>
      </c>
      <c r="I37" s="165"/>
      <c r="J37" s="128"/>
      <c r="K37" s="128"/>
      <c r="L37" s="129"/>
      <c r="M37" s="84"/>
    </row>
    <row r="38" spans="1:14" s="62" customFormat="1" ht="18.75" customHeight="1" thickBot="1">
      <c r="A38" s="135" t="s">
        <v>113</v>
      </c>
      <c r="B38" s="136">
        <f>SUM(B36:B37)</f>
        <v>0</v>
      </c>
      <c r="C38" s="162">
        <f>SUM(C36:C37)</f>
        <v>7130</v>
      </c>
      <c r="D38" s="162">
        <f>SUM(D36:D37)</f>
        <v>5106.5280563242777</v>
      </c>
      <c r="F38" s="135" t="s">
        <v>23</v>
      </c>
      <c r="G38" s="163">
        <f>G36-G37</f>
        <v>15977</v>
      </c>
      <c r="H38" s="136">
        <f>H36-H37</f>
        <v>8974.4112062405002</v>
      </c>
      <c r="I38" s="166">
        <f>(H38-G38)/G38</f>
        <v>-0.4382918441359141</v>
      </c>
    </row>
    <row r="39" spans="1:14" s="62" customFormat="1" ht="18.75" customHeight="1"/>
  </sheetData>
  <mergeCells count="9">
    <mergeCell ref="G5:G6"/>
    <mergeCell ref="F33:F34"/>
    <mergeCell ref="G33:I34"/>
    <mergeCell ref="A5:A6"/>
    <mergeCell ref="B5:F5"/>
    <mergeCell ref="B6:F6"/>
    <mergeCell ref="A33:A34"/>
    <mergeCell ref="B33:C34"/>
    <mergeCell ref="D33:D3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>
      <selection activeCell="D9" sqref="D9"/>
    </sheetView>
  </sheetViews>
  <sheetFormatPr defaultColWidth="18.5703125" defaultRowHeight="14.25"/>
  <cols>
    <col min="1" max="1" width="45.85546875" style="7" customWidth="1"/>
    <col min="2" max="2" width="26.5703125" style="7" customWidth="1"/>
    <col min="3" max="4" width="11.85546875" style="7" customWidth="1"/>
    <col min="5" max="16384" width="18.5703125" style="7"/>
  </cols>
  <sheetData>
    <row r="1" spans="1:4" s="44" customFormat="1" ht="19.5">
      <c r="A1" s="44" t="s">
        <v>37</v>
      </c>
    </row>
    <row r="2" spans="1:4">
      <c r="A2" s="172" t="s">
        <v>117</v>
      </c>
    </row>
    <row r="3" spans="1:4" ht="15" thickBot="1">
      <c r="A3" s="172"/>
    </row>
    <row r="4" spans="1:4" ht="15" thickBot="1">
      <c r="A4" s="174" t="s">
        <v>50</v>
      </c>
      <c r="B4" s="3" t="s">
        <v>29</v>
      </c>
      <c r="C4" s="4" t="s">
        <v>12</v>
      </c>
      <c r="D4" s="175" t="s">
        <v>13</v>
      </c>
    </row>
    <row r="5" spans="1:4">
      <c r="A5" s="176" t="s">
        <v>0</v>
      </c>
      <c r="B5" s="177" t="s">
        <v>14</v>
      </c>
      <c r="C5" s="178" t="s">
        <v>15</v>
      </c>
      <c r="D5" s="179">
        <v>35.9</v>
      </c>
    </row>
    <row r="6" spans="1:4" ht="15" thickBot="1">
      <c r="A6" s="180" t="s">
        <v>1</v>
      </c>
      <c r="B6" s="1" t="s">
        <v>14</v>
      </c>
      <c r="C6" s="5" t="s">
        <v>16</v>
      </c>
      <c r="D6" s="181">
        <v>39.700000000000003</v>
      </c>
    </row>
    <row r="7" spans="1:4" ht="15" thickBot="1">
      <c r="A7" s="2"/>
    </row>
    <row r="8" spans="1:4" ht="15" thickBot="1">
      <c r="A8" s="45" t="s">
        <v>43</v>
      </c>
      <c r="B8" s="205" t="s">
        <v>29</v>
      </c>
      <c r="C8" s="46" t="s">
        <v>12</v>
      </c>
      <c r="D8" s="47" t="s">
        <v>13</v>
      </c>
    </row>
    <row r="9" spans="1:4">
      <c r="A9" s="206" t="s">
        <v>241</v>
      </c>
      <c r="B9" s="49" t="s">
        <v>30</v>
      </c>
      <c r="C9" s="50" t="s">
        <v>17</v>
      </c>
      <c r="D9" s="237">
        <v>438.5</v>
      </c>
    </row>
    <row r="10" spans="1:4">
      <c r="A10" s="48" t="s">
        <v>9</v>
      </c>
      <c r="B10" s="49" t="s">
        <v>31</v>
      </c>
      <c r="C10" s="50" t="s">
        <v>17</v>
      </c>
      <c r="D10" s="51">
        <v>129.94999999999999</v>
      </c>
    </row>
    <row r="11" spans="1:4">
      <c r="A11" s="48" t="s">
        <v>2</v>
      </c>
      <c r="B11" s="49" t="s">
        <v>14</v>
      </c>
      <c r="C11" s="50" t="s">
        <v>18</v>
      </c>
      <c r="D11" s="51">
        <v>2650</v>
      </c>
    </row>
    <row r="12" spans="1:4">
      <c r="A12" s="48" t="s">
        <v>3</v>
      </c>
      <c r="B12" s="49" t="s">
        <v>14</v>
      </c>
      <c r="C12" s="50" t="s">
        <v>18</v>
      </c>
      <c r="D12" s="51">
        <v>2400</v>
      </c>
    </row>
    <row r="13" spans="1:4">
      <c r="A13" s="48" t="s">
        <v>0</v>
      </c>
      <c r="B13" s="49" t="s">
        <v>14</v>
      </c>
      <c r="C13" s="50" t="s">
        <v>18</v>
      </c>
      <c r="D13" s="51">
        <v>2650</v>
      </c>
    </row>
    <row r="14" spans="1:4" s="188" customFormat="1" ht="15">
      <c r="A14" s="206" t="s">
        <v>1</v>
      </c>
      <c r="B14" s="207" t="s">
        <v>14</v>
      </c>
      <c r="C14" s="208" t="s">
        <v>146</v>
      </c>
      <c r="D14" s="209">
        <v>2245</v>
      </c>
    </row>
    <row r="15" spans="1:4">
      <c r="A15" s="48" t="s">
        <v>39</v>
      </c>
      <c r="B15" s="49" t="s">
        <v>14</v>
      </c>
      <c r="C15" s="52" t="s">
        <v>10</v>
      </c>
      <c r="D15" s="53">
        <v>132</v>
      </c>
    </row>
    <row r="16" spans="1:4">
      <c r="A16" s="48" t="s">
        <v>40</v>
      </c>
      <c r="B16" s="49" t="s">
        <v>14</v>
      </c>
      <c r="C16" s="52" t="s">
        <v>10</v>
      </c>
      <c r="D16" s="53">
        <v>128</v>
      </c>
    </row>
    <row r="17" spans="1:4">
      <c r="A17" s="48" t="s">
        <v>41</v>
      </c>
      <c r="B17" s="49" t="s">
        <v>14</v>
      </c>
      <c r="C17" s="52" t="s">
        <v>10</v>
      </c>
      <c r="D17" s="53">
        <v>130</v>
      </c>
    </row>
    <row r="18" spans="1:4">
      <c r="A18" s="48" t="s">
        <v>141</v>
      </c>
      <c r="B18" s="49" t="s">
        <v>142</v>
      </c>
      <c r="C18" s="52" t="s">
        <v>10</v>
      </c>
      <c r="D18" s="53">
        <v>300</v>
      </c>
    </row>
    <row r="19" spans="1:4" ht="15" thickBot="1">
      <c r="A19" s="54" t="s">
        <v>38</v>
      </c>
      <c r="B19" s="55" t="s">
        <v>14</v>
      </c>
      <c r="C19" s="56" t="s">
        <v>42</v>
      </c>
      <c r="D19" s="57">
        <v>2901</v>
      </c>
    </row>
    <row r="20" spans="1:4" ht="15" thickBot="1">
      <c r="A20" s="49"/>
      <c r="B20" s="49"/>
      <c r="C20" s="52"/>
      <c r="D20" s="173"/>
    </row>
    <row r="21" spans="1:4" ht="15" thickBot="1">
      <c r="A21" s="174" t="s">
        <v>118</v>
      </c>
      <c r="B21" s="3" t="s">
        <v>29</v>
      </c>
      <c r="C21" s="4" t="s">
        <v>12</v>
      </c>
      <c r="D21" s="175" t="s">
        <v>13</v>
      </c>
    </row>
    <row r="22" spans="1:4" ht="15" thickBot="1">
      <c r="A22" s="107" t="s">
        <v>63</v>
      </c>
      <c r="B22" s="108" t="s">
        <v>62</v>
      </c>
      <c r="C22" s="109" t="s">
        <v>61</v>
      </c>
      <c r="D22" s="110">
        <v>3.42</v>
      </c>
    </row>
    <row r="23" spans="1:4" ht="26.25" thickBot="1">
      <c r="A23" s="107" t="s">
        <v>139</v>
      </c>
      <c r="B23" s="189" t="s">
        <v>140</v>
      </c>
      <c r="C23" s="109" t="s">
        <v>61</v>
      </c>
      <c r="D23" s="190">
        <f>204538508/20571233</f>
        <v>9.942938665854399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Introark</vt:lpstr>
      <vt:lpstr>Bygn el og varmeforbrug mm</vt:lpstr>
      <vt:lpstr>Transport eksempel</vt:lpstr>
      <vt:lpstr>Andre projekter eksempel</vt:lpstr>
      <vt:lpstr>Samlet opgørelse eksempel</vt:lpstr>
      <vt:lpstr>Emissionsfaktorer</vt:lpstr>
      <vt:lpstr>'Andre projekter eksempel'!Udskriftsområde</vt:lpstr>
      <vt:lpstr>'Bygn el og varmeforbrug mm'!Udskriftsområde</vt:lpstr>
      <vt:lpstr>Emissionsfaktorer!Udskriftsområde</vt:lpstr>
      <vt:lpstr>Introark!Udskriftsområde</vt:lpstr>
      <vt:lpstr>'Samlet opgørelse eksempel'!Udskriftsområde</vt:lpstr>
      <vt:lpstr>'Transport eksempel'!Udskriftsområde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Marc Eskelund</cp:lastModifiedBy>
  <cp:lastPrinted>2012-03-09T14:11:58Z</cp:lastPrinted>
  <dcterms:created xsi:type="dcterms:W3CDTF">2011-04-15T12:33:31Z</dcterms:created>
  <dcterms:modified xsi:type="dcterms:W3CDTF">2012-09-24T14:24:46Z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