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990" windowHeight="8445" tabRatio="640"/>
  </bookViews>
  <sheets>
    <sheet name="Introark" sheetId="6" r:id="rId1"/>
    <sheet name="Bygn el og varmeforbrug mm" sheetId="1" r:id="rId2"/>
    <sheet name="Transport" sheetId="3" r:id="rId3"/>
    <sheet name="Andre projekter" sheetId="4" r:id="rId4"/>
    <sheet name="Samlet opgørelse" sheetId="5" r:id="rId5"/>
    <sheet name="Emissionsfaktorer" sheetId="2" r:id="rId6"/>
  </sheets>
  <definedNames>
    <definedName name="_xlnm.Print_Area" localSheetId="3">'Andre projekter'!$A$1:$C$26</definedName>
    <definedName name="_xlnm.Print_Area" localSheetId="1">'Bygn el og varmeforbrug mm'!$A$1:$M$43</definedName>
    <definedName name="_xlnm.Print_Area" localSheetId="5">Emissionsfaktorer!$A$1:$D$23</definedName>
    <definedName name="_xlnm.Print_Area" localSheetId="0">Introark!$A$1:$L$20</definedName>
    <definedName name="_xlnm.Print_Area" localSheetId="4">'Samlet opgørelse'!$A$1:$I$38</definedName>
    <definedName name="_xlnm.Print_Area" localSheetId="2">Transport!$A$1:$E$24</definedName>
  </definedNames>
  <calcPr calcId="125725" calcMode="manual"/>
</workbook>
</file>

<file path=xl/calcChain.xml><?xml version="1.0" encoding="utf-8"?>
<calcChain xmlns="http://schemas.openxmlformats.org/spreadsheetml/2006/main">
  <c r="C27" i="5"/>
  <c r="B27"/>
  <c r="E36" i="1"/>
  <c r="B22" i="5"/>
  <c r="B17"/>
  <c r="D21"/>
  <c r="F21" s="1"/>
  <c r="D23" i="2"/>
  <c r="C23" i="3"/>
  <c r="C24" s="1"/>
  <c r="B8" i="5"/>
  <c r="B10" i="4"/>
  <c r="B12" s="1"/>
  <c r="C16" i="3"/>
  <c r="C17" s="1"/>
  <c r="C10"/>
  <c r="B10"/>
  <c r="E7"/>
  <c r="D9"/>
  <c r="D8"/>
  <c r="K41" i="1"/>
  <c r="K33"/>
  <c r="K28"/>
  <c r="K24"/>
  <c r="K17"/>
  <c r="I42"/>
  <c r="E42"/>
  <c r="G42"/>
  <c r="G41"/>
  <c r="G33"/>
  <c r="G30"/>
  <c r="G28"/>
  <c r="G24"/>
  <c r="G21"/>
  <c r="G17"/>
  <c r="G13"/>
  <c r="G10"/>
  <c r="E10"/>
  <c r="E13"/>
  <c r="E24"/>
  <c r="E28"/>
  <c r="E30"/>
  <c r="E33"/>
  <c r="E41"/>
  <c r="E43" s="1"/>
  <c r="C41"/>
  <c r="C33"/>
  <c r="C30"/>
  <c r="C28"/>
  <c r="C24"/>
  <c r="C21"/>
  <c r="C17"/>
  <c r="C13"/>
  <c r="C10"/>
  <c r="C22" i="5" l="1"/>
  <c r="E10" i="3"/>
  <c r="C37" i="5"/>
  <c r="D37" s="1"/>
  <c r="C36"/>
  <c r="B23" i="4"/>
  <c r="B38" i="5"/>
  <c r="G37" s="1"/>
  <c r="C17"/>
  <c r="G36" s="1"/>
  <c r="B25" i="4"/>
  <c r="E8" i="3"/>
  <c r="D19" i="5" s="1"/>
  <c r="F19" s="1"/>
  <c r="D18"/>
  <c r="D7" i="3"/>
  <c r="D10" s="1"/>
  <c r="D20" i="5"/>
  <c r="F20" s="1"/>
  <c r="K36" i="1"/>
  <c r="I36"/>
  <c r="G36"/>
  <c r="C36"/>
  <c r="I33"/>
  <c r="C9" i="3"/>
  <c r="B9"/>
  <c r="K30" i="1"/>
  <c r="K21"/>
  <c r="K13"/>
  <c r="K10"/>
  <c r="I30"/>
  <c r="I28"/>
  <c r="I24"/>
  <c r="I21"/>
  <c r="I17"/>
  <c r="I13"/>
  <c r="I10"/>
  <c r="I41" s="1"/>
  <c r="E21"/>
  <c r="E17"/>
  <c r="F18" i="5" l="1"/>
  <c r="D17"/>
  <c r="F17" s="1"/>
  <c r="D36"/>
  <c r="D38" s="1"/>
  <c r="H37" s="1"/>
  <c r="C38"/>
  <c r="G38"/>
  <c r="K42" i="1"/>
  <c r="L17"/>
  <c r="L30"/>
  <c r="L13"/>
  <c r="L28"/>
  <c r="L33"/>
  <c r="L10"/>
  <c r="L24"/>
  <c r="L21"/>
  <c r="L36"/>
  <c r="D24" i="5" s="1"/>
  <c r="M30" i="1" l="1"/>
  <c r="D15" i="5"/>
  <c r="F15" s="1"/>
  <c r="M24" i="1"/>
  <c r="D13" i="5"/>
  <c r="F13" s="1"/>
  <c r="M13" i="1"/>
  <c r="D10" i="5"/>
  <c r="F10" s="1"/>
  <c r="M21" i="1"/>
  <c r="D12" i="5"/>
  <c r="F12" s="1"/>
  <c r="M28" i="1"/>
  <c r="D14" i="5"/>
  <c r="F14" s="1"/>
  <c r="M10" i="1"/>
  <c r="D9" i="5"/>
  <c r="F24"/>
  <c r="D22"/>
  <c r="M33" i="1"/>
  <c r="D16" i="5"/>
  <c r="F16" s="1"/>
  <c r="M17" i="1"/>
  <c r="D11" i="5"/>
  <c r="F11" s="1"/>
  <c r="L43" i="1"/>
  <c r="E8" i="5" s="1"/>
  <c r="G8" s="1"/>
  <c r="L42" i="1"/>
  <c r="E17" i="5"/>
  <c r="E27" l="1"/>
  <c r="E22"/>
  <c r="G22" s="1"/>
  <c r="F22"/>
  <c r="F9"/>
  <c r="D8"/>
  <c r="G17"/>
  <c r="F8" l="1"/>
  <c r="D27"/>
  <c r="F27" s="1"/>
  <c r="H36"/>
  <c r="H38" s="1"/>
  <c r="I38" s="1"/>
  <c r="G27"/>
  <c r="I36" s="1"/>
</calcChain>
</file>

<file path=xl/sharedStrings.xml><?xml version="1.0" encoding="utf-8"?>
<sst xmlns="http://schemas.openxmlformats.org/spreadsheetml/2006/main" count="248" uniqueCount="184">
  <si>
    <t>Fyringsolie</t>
  </si>
  <si>
    <t>Naturgas</t>
  </si>
  <si>
    <t>Diesel</t>
  </si>
  <si>
    <t>Benzin</t>
  </si>
  <si>
    <t>Plejepersonalekørsel (hjemmehjælp)</t>
  </si>
  <si>
    <t>Kørsel i privatbiler</t>
  </si>
  <si>
    <t>Kr.</t>
  </si>
  <si>
    <t xml:space="preserve"> km/år </t>
  </si>
  <si>
    <t>Sportsanlæg</t>
  </si>
  <si>
    <t>El</t>
  </si>
  <si>
    <t>Varme</t>
  </si>
  <si>
    <t>g/km</t>
  </si>
  <si>
    <t>ton/år</t>
  </si>
  <si>
    <t>Enhed</t>
  </si>
  <si>
    <t>Værdi</t>
  </si>
  <si>
    <t>Energistyrelsen</t>
  </si>
  <si>
    <t>MJ/liter</t>
  </si>
  <si>
    <r>
      <t>MJ/Nm</t>
    </r>
    <r>
      <rPr>
        <vertAlign val="superscript"/>
        <sz val="9"/>
        <color theme="1"/>
        <rFont val="Verdana"/>
        <family val="2"/>
      </rPr>
      <t>3</t>
    </r>
  </si>
  <si>
    <t>g/kwh</t>
  </si>
  <si>
    <t>g/liter</t>
  </si>
  <si>
    <r>
      <t>Total CO</t>
    </r>
    <r>
      <rPr>
        <b/>
        <vertAlign val="subscript"/>
        <sz val="8"/>
        <color theme="1"/>
        <rFont val="Verdana"/>
        <family val="2"/>
      </rPr>
      <t>2</t>
    </r>
    <r>
      <rPr>
        <b/>
        <sz val="8"/>
        <color theme="1"/>
        <rFont val="Verdana"/>
        <family val="2"/>
      </rPr>
      <t xml:space="preserve"> udledning</t>
    </r>
  </si>
  <si>
    <t>Område/delområde</t>
  </si>
  <si>
    <t>Ændring (%)</t>
  </si>
  <si>
    <t>Transport i alt</t>
  </si>
  <si>
    <t>I alt</t>
  </si>
  <si>
    <t>kWh</t>
  </si>
  <si>
    <t>liter</t>
  </si>
  <si>
    <t>Naturkøbing Kommune</t>
  </si>
  <si>
    <t>Areal</t>
  </si>
  <si>
    <t>Fjernvarme</t>
  </si>
  <si>
    <t>Antal borgere =</t>
  </si>
  <si>
    <t>Kilde</t>
  </si>
  <si>
    <t>Energinet.dk</t>
  </si>
  <si>
    <t>Lokal fjernvarmeværk</t>
  </si>
  <si>
    <t>Adm. bygninger i alt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</si>
  <si>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Rådhuset, Torvet 1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</si>
  <si>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Socialforv., Åvej 43</t>
    </r>
  </si>
  <si>
    <t>Skoler i alt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</si>
  <si>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Lyngskolen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</si>
  <si>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Søndre Gymnasium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</si>
  <si>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Nørreskole</t>
    </r>
  </si>
  <si>
    <t>Daginstitutioner i alt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</si>
  <si>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Solsikken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</si>
  <si>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Gummigeden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</si>
  <si>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Naturbasserne</t>
    </r>
  </si>
  <si>
    <t>Fritidsklubber i alt</t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</si>
  <si>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Ungdomsgaarden</t>
    </r>
  </si>
  <si>
    <r>
      <t>-</t>
    </r>
    <r>
      <rPr>
        <sz val="7"/>
        <color rgb="FF000000"/>
        <rFont val="Times New Roman"/>
        <family val="1"/>
      </rPr>
      <t xml:space="preserve">       </t>
    </r>
    <r>
      <rPr>
        <sz val="9"/>
        <color rgb="FF000000"/>
        <rFont val="Verdana"/>
        <family val="2"/>
      </rPr>
      <t>Nørreklubben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</si>
  <si>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Oldehuset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</si>
  <si>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Sørohus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</si>
  <si>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Birkelund</t>
    </r>
  </si>
  <si>
    <t>Specialinstitutioner i alt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</si>
  <si>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Æblely</t>
    </r>
  </si>
  <si>
    <t>Kulturinstitutioner i alt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</si>
  <si>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Biblioteket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</si>
  <si>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Kulturhuset</t>
    </r>
  </si>
  <si>
    <t>Energiforbrug i kommunens bygninger i 2009</t>
  </si>
  <si>
    <t>m2</t>
  </si>
  <si>
    <t>Ældrepleje i alt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</si>
  <si>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</si>
  <si>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</si>
  <si>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</si>
  <si>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</si>
  <si>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</si>
  <si>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</si>
  <si>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</si>
  <si>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-udledninger</t>
    </r>
  </si>
  <si>
    <t>CO2-emission (tons)</t>
  </si>
  <si>
    <t>Opgørelse for transport</t>
  </si>
  <si>
    <t>Forvaltningens køretøjer</t>
  </si>
  <si>
    <t>Kørsel i private køretøjer</t>
  </si>
  <si>
    <t>Udbetalt refusion</t>
  </si>
  <si>
    <t>Teknisk forvaltnings forbrug</t>
  </si>
  <si>
    <t>Energiindhold</t>
  </si>
  <si>
    <t>tons CO2</t>
  </si>
  <si>
    <t>CO2-emission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</si>
  <si>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Sportshallen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</si>
  <si>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Svømmehallen</t>
    </r>
  </si>
  <si>
    <t>Opgørelse for andre projekter</t>
  </si>
  <si>
    <t>Opstilling af vedvarende energi</t>
  </si>
  <si>
    <t>Projektbeskrivelse</t>
  </si>
  <si>
    <t>Opstilling af i alt 6,2 MW vindmøller på havnen</t>
  </si>
  <si>
    <t>Startår</t>
  </si>
  <si>
    <t>dokumentnavn</t>
  </si>
  <si>
    <t>årstal</t>
  </si>
  <si>
    <t>MW</t>
  </si>
  <si>
    <t>kr./km</t>
  </si>
  <si>
    <t>Kommunen</t>
  </si>
  <si>
    <t>Sats for kilometergodtgørelse 2009</t>
  </si>
  <si>
    <t>Brændstofforbrug</t>
  </si>
  <si>
    <t>Kørte km</t>
  </si>
  <si>
    <t>CO2-emission pr. m2</t>
  </si>
  <si>
    <t>kg CO2 pr. m2</t>
  </si>
  <si>
    <r>
      <t>Naturkøbing Kommune</t>
    </r>
    <r>
      <rPr>
        <b/>
        <sz val="10"/>
        <color rgb="FF000000"/>
        <rFont val="Verdana"/>
        <family val="2"/>
      </rPr>
      <t xml:space="preserve"> </t>
    </r>
  </si>
  <si>
    <t xml:space="preserve">  - Adm. bygninger i alt</t>
  </si>
  <si>
    <t xml:space="preserve">  - Skoler i alt</t>
  </si>
  <si>
    <t xml:space="preserve">  - Daginstitutioner i alt</t>
  </si>
  <si>
    <t xml:space="preserve">  - Fritidsklubber i alt</t>
  </si>
  <si>
    <t xml:space="preserve">  - Ældrepleje i alt</t>
  </si>
  <si>
    <t xml:space="preserve">  - Specialinstitutioner i alt</t>
  </si>
  <si>
    <t xml:space="preserve">  - Kulturinstitutioner i alt</t>
  </si>
  <si>
    <t xml:space="preserve">  - Sportsanlæg</t>
  </si>
  <si>
    <t>Bygningers el og varmeforbrug i alt</t>
  </si>
  <si>
    <t>Fiktiv CO2-emission til sammenligning (500 g CO2/kWh)</t>
  </si>
  <si>
    <t>Energiproduktion</t>
  </si>
  <si>
    <t>MWh/år</t>
  </si>
  <si>
    <t>Skovrejsning</t>
  </si>
  <si>
    <t>Rejsning af 3 ha skov - status fredskov</t>
  </si>
  <si>
    <t>ha</t>
  </si>
  <si>
    <t>CO2-binding</t>
  </si>
  <si>
    <t>Additionalitet og effekt dokumenteret ved</t>
  </si>
  <si>
    <t>tons CO2/år</t>
  </si>
  <si>
    <t>CO2-emissionsreduktion pr. år i perioden</t>
  </si>
  <si>
    <t>2009*</t>
  </si>
  <si>
    <t>2008*</t>
  </si>
  <si>
    <t xml:space="preserve">  - Plejepersonalekørsel</t>
  </si>
  <si>
    <t xml:space="preserve">  - Teknisk forvaltning</t>
  </si>
  <si>
    <t>Samlet opgørelse</t>
  </si>
  <si>
    <t>* Fiktivt tal til sammenligning imellem årene (500 g CO2/kWh for el)</t>
  </si>
  <si>
    <t xml:space="preserve">  - Kørsel i private køretøjer</t>
  </si>
  <si>
    <t>Ændring (%)*</t>
  </si>
  <si>
    <t>Kørsel i private køretøjer (benzin eller diesel)</t>
  </si>
  <si>
    <t>Energibesparende tiltag (kerneområder)</t>
  </si>
  <si>
    <t>Andre klimaprojekter</t>
  </si>
  <si>
    <t>Projekt</t>
  </si>
  <si>
    <t>ton CO2 / år</t>
  </si>
  <si>
    <t>Fiktiv til sammenligning</t>
  </si>
  <si>
    <t>CO2-reduktion indregnet andre projekter</t>
  </si>
  <si>
    <t>Andre proj.</t>
  </si>
  <si>
    <t>MWh/MW/år</t>
  </si>
  <si>
    <t>CO2-binding pr. hektar</t>
  </si>
  <si>
    <t>tons CO2/ha/år</t>
  </si>
  <si>
    <t>Skov_Kipnæs_2010.docx</t>
  </si>
  <si>
    <t>Vind_på_havnen_2009.docx</t>
  </si>
  <si>
    <t>Driftstartår</t>
  </si>
  <si>
    <t>Levetid</t>
  </si>
  <si>
    <t>år</t>
  </si>
  <si>
    <t>Vækstperiode</t>
  </si>
  <si>
    <t>I alt bidrag til reduceret CO2-emission på elforbruget</t>
  </si>
  <si>
    <t>Reduktions-andel</t>
  </si>
  <si>
    <t>Opstilling og drift af vindmøller (elproduktion)</t>
  </si>
  <si>
    <t>Skovrejsning (CO2-binding)</t>
  </si>
  <si>
    <t>- og andre faktorer</t>
  </si>
  <si>
    <t>Anden faktor</t>
  </si>
  <si>
    <t>Additionalitet og effekt dokumenteret ved*</t>
  </si>
  <si>
    <t>* http://www.sns.dk/udgivelser/2003/nyeskove/html/kap08.htm</t>
  </si>
  <si>
    <t>Produktion (MWh/MW/år vindkorr.)*</t>
  </si>
  <si>
    <t>* http://www.dkvind.dk/materiale/statistik/pdf/elprod_apr11.pdf</t>
  </si>
  <si>
    <t>Graddagskorrigerede tal for varmeforbrug</t>
  </si>
  <si>
    <t>Bilag 1 – Regneark med opstillet CO2-opgørelse for en fiktiv kommune</t>
  </si>
  <si>
    <t>Bilag til:</t>
  </si>
  <si>
    <t>Klimakommuner</t>
  </si>
  <si>
    <r>
      <t>Vejledning til opgørelse af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-udledninger og</t>
    </r>
  </si>
  <si>
    <t>-reduktioner for kommunen som virksomhed</t>
  </si>
  <si>
    <t>Se vejledningens afsnit 7 for forklaring på dette regneark</t>
  </si>
  <si>
    <t>Christian Poll</t>
  </si>
  <si>
    <t>Danmarks Naturfredningsforening</t>
  </si>
  <si>
    <t>Masnedøgade 20</t>
  </si>
  <si>
    <t>2100 Ø</t>
  </si>
  <si>
    <t>tlf. 31193249</t>
  </si>
  <si>
    <t>cpo@dn.dk</t>
  </si>
  <si>
    <t>Kontakt:</t>
  </si>
  <si>
    <t>Kørsel i taxa</t>
  </si>
  <si>
    <t>Udlæg til taxa</t>
  </si>
  <si>
    <t>Sats for taxakørsel</t>
  </si>
  <si>
    <t>Beregnet fra Taxanævnets statistik 2009</t>
  </si>
  <si>
    <t>Gnsn CO2-emission pr. km for taxa</t>
  </si>
  <si>
    <t>Miljø og Sundhed</t>
  </si>
  <si>
    <t xml:space="preserve">  - Kørsel i taxa</t>
  </si>
  <si>
    <t>*</t>
  </si>
  <si>
    <t>Kerneområder</t>
  </si>
  <si>
    <t>El, 2009</t>
  </si>
  <si>
    <r>
      <t>g/Nm</t>
    </r>
    <r>
      <rPr>
        <vertAlign val="superscript"/>
        <sz val="10"/>
        <rFont val="Verdana"/>
        <family val="2"/>
      </rPr>
      <t>3</t>
    </r>
  </si>
  <si>
    <t>Andet</t>
  </si>
  <si>
    <t xml:space="preserve">  - Havn</t>
  </si>
  <si>
    <t xml:space="preserve">  - Affaldsbehandling</t>
  </si>
  <si>
    <t xml:space="preserve">  - Vejbelysning</t>
  </si>
  <si>
    <t>Opgørelse for bygningers el-og varmeforbrug samt andet</t>
  </si>
  <si>
    <t xml:space="preserve">  - Rensningsanlæg</t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</si>
  <si>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Affaldsbehandling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</si>
  <si>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Vejbelysning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</si>
  <si>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Havn</t>
    </r>
  </si>
  <si>
    <r>
      <t>-</t>
    </r>
    <r>
      <rPr>
        <sz val="7"/>
        <color theme="1"/>
        <rFont val="Times New Roman"/>
        <family val="1"/>
      </rPr>
      <t xml:space="preserve">       </t>
    </r>
    <r>
      <rPr>
        <sz val="9"/>
        <color theme="1"/>
        <rFont val="Verdana"/>
        <family val="2"/>
      </rPr>
      <t>Rensningsanlæg</t>
    </r>
  </si>
  <si>
    <t>Version II-A – 12. marts 2012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</si>
</sst>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9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b/>
      <vertAlign val="subscript"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sz val="7"/>
      <color theme="1"/>
      <name val="Times New Roman"/>
      <family val="1"/>
    </font>
    <font>
      <sz val="7"/>
      <color rgb="FF000000"/>
      <name val="Times New Roman"/>
      <family val="1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u/>
      <sz val="11"/>
      <color theme="10"/>
      <name val="Calibri"/>
      <family val="2"/>
    </font>
    <font>
      <u/>
      <sz val="14"/>
      <color theme="10"/>
      <name val="Verdana"/>
      <family val="2"/>
    </font>
    <font>
      <sz val="11"/>
      <color rgb="FFFF0000"/>
      <name val="Verdana"/>
      <family val="2"/>
    </font>
    <font>
      <b/>
      <sz val="9"/>
      <color rgb="FFFF0000"/>
      <name val="Verdana"/>
      <family val="2"/>
    </font>
    <font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</cellStyleXfs>
  <cellXfs count="242">
    <xf numFmtId="0" fontId="0" fillId="0" borderId="0" xfId="0"/>
    <xf numFmtId="0" fontId="7" fillId="0" borderId="2" xfId="0" applyFont="1" applyBorder="1"/>
    <xf numFmtId="0" fontId="3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6" fillId="0" borderId="0" xfId="0" applyFont="1" applyAlignment="1">
      <alignment vertical="top"/>
    </xf>
    <xf numFmtId="0" fontId="16" fillId="0" borderId="0" xfId="0" applyFont="1"/>
    <xf numFmtId="0" fontId="5" fillId="0" borderId="0" xfId="0" applyFont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16" fillId="0" borderId="11" xfId="0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8" fillId="2" borderId="13" xfId="0" applyFont="1" applyFill="1" applyBorder="1" applyAlignment="1">
      <alignment horizontal="right" vertical="top"/>
    </xf>
    <xf numFmtId="0" fontId="18" fillId="2" borderId="14" xfId="0" applyFont="1" applyFill="1" applyBorder="1" applyAlignment="1">
      <alignment horizontal="right" vertical="top"/>
    </xf>
    <xf numFmtId="0" fontId="16" fillId="2" borderId="15" xfId="0" applyFont="1" applyFill="1" applyBorder="1" applyAlignment="1">
      <alignment horizontal="right" vertical="top"/>
    </xf>
    <xf numFmtId="0" fontId="16" fillId="2" borderId="16" xfId="0" applyFont="1" applyFill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16" fillId="2" borderId="15" xfId="0" applyFont="1" applyFill="1" applyBorder="1" applyAlignment="1">
      <alignment horizontal="right" vertical="top" wrapText="1"/>
    </xf>
    <xf numFmtId="0" fontId="16" fillId="2" borderId="16" xfId="0" applyFont="1" applyFill="1" applyBorder="1" applyAlignment="1">
      <alignment horizontal="right" vertical="top" wrapText="1"/>
    </xf>
    <xf numFmtId="0" fontId="19" fillId="2" borderId="7" xfId="0" applyFont="1" applyFill="1" applyBorder="1" applyAlignment="1">
      <alignment vertical="top" wrapText="1"/>
    </xf>
    <xf numFmtId="0" fontId="18" fillId="2" borderId="13" xfId="0" applyFont="1" applyFill="1" applyBorder="1" applyAlignment="1">
      <alignment horizontal="right" vertical="top" wrapText="1"/>
    </xf>
    <xf numFmtId="0" fontId="18" fillId="2" borderId="14" xfId="0" applyFont="1" applyFill="1" applyBorder="1" applyAlignment="1">
      <alignment horizontal="right" vertical="top" wrapText="1"/>
    </xf>
    <xf numFmtId="0" fontId="18" fillId="2" borderId="5" xfId="0" applyFont="1" applyFill="1" applyBorder="1" applyAlignment="1">
      <alignment horizontal="right" vertical="top" wrapText="1"/>
    </xf>
    <xf numFmtId="0" fontId="17" fillId="2" borderId="8" xfId="0" applyFont="1" applyFill="1" applyBorder="1" applyAlignment="1">
      <alignment vertical="top" wrapText="1"/>
    </xf>
    <xf numFmtId="0" fontId="16" fillId="2" borderId="6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 vertical="top"/>
    </xf>
    <xf numFmtId="164" fontId="5" fillId="0" borderId="19" xfId="1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5" fillId="0" borderId="11" xfId="1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horizontal="right" vertical="top" wrapText="1"/>
    </xf>
    <xf numFmtId="0" fontId="23" fillId="0" borderId="0" xfId="0" applyFont="1" applyAlignment="1">
      <alignment vertical="top"/>
    </xf>
    <xf numFmtId="0" fontId="23" fillId="0" borderId="11" xfId="0" applyFont="1" applyBorder="1" applyAlignment="1">
      <alignment vertical="top"/>
    </xf>
    <xf numFmtId="0" fontId="23" fillId="0" borderId="12" xfId="0" applyFont="1" applyBorder="1" applyAlignment="1">
      <alignment vertical="top"/>
    </xf>
    <xf numFmtId="0" fontId="16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" fontId="22" fillId="0" borderId="0" xfId="1" applyNumberFormat="1" applyFont="1" applyBorder="1" applyAlignment="1">
      <alignment vertical="top"/>
    </xf>
    <xf numFmtId="0" fontId="23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164" fontId="2" fillId="0" borderId="9" xfId="1" applyNumberFormat="1" applyFont="1" applyBorder="1" applyAlignment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64" fontId="2" fillId="0" borderId="9" xfId="1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164" fontId="2" fillId="0" borderId="6" xfId="1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164" fontId="5" fillId="0" borderId="11" xfId="1" applyNumberFormat="1" applyFont="1" applyBorder="1" applyAlignment="1">
      <alignment vertical="top"/>
    </xf>
    <xf numFmtId="164" fontId="5" fillId="0" borderId="12" xfId="1" applyNumberFormat="1" applyFont="1" applyBorder="1" applyAlignment="1">
      <alignment vertical="top"/>
    </xf>
    <xf numFmtId="0" fontId="18" fillId="0" borderId="0" xfId="0" applyFont="1" applyFill="1" applyBorder="1" applyAlignment="1">
      <alignment horizontal="right" vertical="top"/>
    </xf>
    <xf numFmtId="0" fontId="16" fillId="0" borderId="0" xfId="0" applyFont="1" applyAlignment="1">
      <alignment vertical="center"/>
    </xf>
    <xf numFmtId="0" fontId="18" fillId="2" borderId="7" xfId="0" applyFont="1" applyFill="1" applyBorder="1" applyAlignment="1">
      <alignment vertical="center"/>
    </xf>
    <xf numFmtId="0" fontId="18" fillId="2" borderId="13" xfId="0" applyFont="1" applyFill="1" applyBorder="1" applyAlignment="1">
      <alignment horizontal="right" vertical="center"/>
    </xf>
    <xf numFmtId="0" fontId="16" fillId="2" borderId="20" xfId="0" applyFont="1" applyFill="1" applyBorder="1" applyAlignment="1">
      <alignment vertical="center"/>
    </xf>
    <xf numFmtId="0" fontId="16" fillId="2" borderId="11" xfId="0" applyFont="1" applyFill="1" applyBorder="1" applyAlignment="1">
      <alignment horizontal="right" vertical="center"/>
    </xf>
    <xf numFmtId="0" fontId="16" fillId="0" borderId="20" xfId="0" applyFont="1" applyBorder="1" applyAlignment="1">
      <alignment horizontal="left" vertical="center"/>
    </xf>
    <xf numFmtId="164" fontId="16" fillId="0" borderId="11" xfId="1" applyNumberFormat="1" applyFont="1" applyBorder="1" applyAlignment="1">
      <alignment vertical="center"/>
    </xf>
    <xf numFmtId="0" fontId="16" fillId="0" borderId="8" xfId="0" applyFont="1" applyBorder="1" applyAlignment="1">
      <alignment horizontal="left" vertical="center"/>
    </xf>
    <xf numFmtId="164" fontId="16" fillId="0" borderId="15" xfId="1" applyNumberFormat="1" applyFont="1" applyBorder="1" applyAlignment="1">
      <alignment horizontal="right" vertical="center"/>
    </xf>
    <xf numFmtId="0" fontId="16" fillId="0" borderId="10" xfId="0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164" fontId="16" fillId="0" borderId="11" xfId="0" applyNumberFormat="1" applyFont="1" applyBorder="1" applyAlignment="1">
      <alignment vertical="center"/>
    </xf>
    <xf numFmtId="0" fontId="23" fillId="0" borderId="0" xfId="0" applyFont="1" applyAlignment="1">
      <alignment vertical="center"/>
    </xf>
    <xf numFmtId="0" fontId="18" fillId="2" borderId="5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right" vertical="center"/>
    </xf>
    <xf numFmtId="0" fontId="16" fillId="2" borderId="9" xfId="0" applyFont="1" applyFill="1" applyBorder="1" applyAlignment="1">
      <alignment horizontal="right" vertical="center"/>
    </xf>
    <xf numFmtId="164" fontId="16" fillId="0" borderId="9" xfId="1" applyNumberFormat="1" applyFont="1" applyBorder="1" applyAlignment="1">
      <alignment horizontal="right" vertical="center"/>
    </xf>
    <xf numFmtId="164" fontId="16" fillId="0" borderId="0" xfId="1" applyNumberFormat="1" applyFont="1" applyAlignment="1">
      <alignment horizontal="right" vertical="center"/>
    </xf>
    <xf numFmtId="164" fontId="16" fillId="0" borderId="6" xfId="1" applyNumberFormat="1" applyFont="1" applyBorder="1" applyAlignment="1">
      <alignment horizontal="right" vertical="center"/>
    </xf>
    <xf numFmtId="164" fontId="16" fillId="0" borderId="0" xfId="1" applyNumberFormat="1" applyFont="1" applyBorder="1" applyAlignment="1">
      <alignment horizontal="right" vertical="center"/>
    </xf>
    <xf numFmtId="164" fontId="16" fillId="0" borderId="21" xfId="0" applyNumberFormat="1" applyFont="1" applyBorder="1" applyAlignment="1">
      <alignment vertical="center"/>
    </xf>
    <xf numFmtId="164" fontId="16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16" fillId="2" borderId="15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right" vertical="center"/>
    </xf>
    <xf numFmtId="0" fontId="5" fillId="0" borderId="10" xfId="0" applyFont="1" applyBorder="1" applyAlignment="1">
      <alignment vertical="center"/>
    </xf>
    <xf numFmtId="164" fontId="16" fillId="0" borderId="4" xfId="0" applyNumberFormat="1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8" fillId="0" borderId="4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3" xfId="0" applyFont="1" applyBorder="1" applyAlignment="1">
      <alignment vertical="center"/>
    </xf>
    <xf numFmtId="164" fontId="16" fillId="0" borderId="18" xfId="1" applyNumberFormat="1" applyFont="1" applyBorder="1" applyAlignment="1">
      <alignment horizontal="right" vertical="center"/>
    </xf>
    <xf numFmtId="164" fontId="16" fillId="0" borderId="4" xfId="1" applyNumberFormat="1" applyFont="1" applyBorder="1" applyAlignment="1">
      <alignment horizontal="right" vertical="center"/>
    </xf>
    <xf numFmtId="0" fontId="19" fillId="2" borderId="7" xfId="0" applyFont="1" applyFill="1" applyBorder="1" applyAlignment="1">
      <alignment vertical="top"/>
    </xf>
    <xf numFmtId="0" fontId="16" fillId="2" borderId="8" xfId="0" applyFont="1" applyFill="1" applyBorder="1" applyAlignment="1">
      <alignment horizontal="justify" vertical="center"/>
    </xf>
    <xf numFmtId="0" fontId="16" fillId="2" borderId="6" xfId="0" applyFont="1" applyFill="1" applyBorder="1" applyAlignment="1">
      <alignment horizontal="right" vertical="center"/>
    </xf>
    <xf numFmtId="164" fontId="5" fillId="0" borderId="17" xfId="0" applyNumberFormat="1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7" fillId="0" borderId="20" xfId="0" applyFont="1" applyBorder="1" applyAlignment="1">
      <alignment horizontal="left" wrapText="1" indent="5"/>
    </xf>
    <xf numFmtId="0" fontId="4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 indent="5"/>
    </xf>
    <xf numFmtId="0" fontId="7" fillId="0" borderId="20" xfId="0" quotePrefix="1" applyFont="1" applyBorder="1" applyAlignment="1">
      <alignment horizontal="left" wrapText="1" indent="5"/>
    </xf>
    <xf numFmtId="0" fontId="16" fillId="0" borderId="15" xfId="1" applyNumberFormat="1" applyFont="1" applyBorder="1" applyAlignment="1">
      <alignment horizontal="right" vertical="center"/>
    </xf>
    <xf numFmtId="0" fontId="16" fillId="0" borderId="11" xfId="1" applyNumberFormat="1" applyFont="1" applyBorder="1" applyAlignment="1">
      <alignment vertical="center"/>
    </xf>
    <xf numFmtId="165" fontId="16" fillId="0" borderId="11" xfId="1" applyNumberFormat="1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164" fontId="16" fillId="3" borderId="4" xfId="0" applyNumberFormat="1" applyFont="1" applyFill="1" applyBorder="1" applyAlignment="1">
      <alignment vertical="center"/>
    </xf>
    <xf numFmtId="164" fontId="16" fillId="3" borderId="21" xfId="0" applyNumberFormat="1" applyFont="1" applyFill="1" applyBorder="1" applyAlignment="1">
      <alignment vertical="center"/>
    </xf>
    <xf numFmtId="164" fontId="16" fillId="3" borderId="18" xfId="0" applyNumberFormat="1" applyFont="1" applyFill="1" applyBorder="1" applyAlignment="1">
      <alignment vertical="center"/>
    </xf>
    <xf numFmtId="164" fontId="5" fillId="3" borderId="19" xfId="1" applyNumberFormat="1" applyFont="1" applyFill="1" applyBorder="1" applyAlignment="1">
      <alignment vertical="top"/>
    </xf>
    <xf numFmtId="164" fontId="5" fillId="3" borderId="18" xfId="1" applyNumberFormat="1" applyFont="1" applyFill="1" applyBorder="1" applyAlignment="1">
      <alignment vertical="top"/>
    </xf>
    <xf numFmtId="164" fontId="5" fillId="3" borderId="3" xfId="1" applyNumberFormat="1" applyFont="1" applyFill="1" applyBorder="1" applyAlignment="1">
      <alignment vertical="top"/>
    </xf>
    <xf numFmtId="164" fontId="5" fillId="0" borderId="18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wrapText="1"/>
    </xf>
    <xf numFmtId="9" fontId="5" fillId="0" borderId="0" xfId="2" applyFont="1" applyBorder="1" applyAlignment="1">
      <alignment wrapText="1"/>
    </xf>
    <xf numFmtId="10" fontId="14" fillId="0" borderId="0" xfId="0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10" fontId="14" fillId="0" borderId="0" xfId="0" applyNumberFormat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center" wrapText="1"/>
    </xf>
    <xf numFmtId="164" fontId="7" fillId="0" borderId="20" xfId="1" applyNumberFormat="1" applyFont="1" applyBorder="1" applyAlignment="1">
      <alignment vertical="center" wrapText="1"/>
    </xf>
    <xf numFmtId="166" fontId="7" fillId="0" borderId="20" xfId="2" applyNumberFormat="1" applyFont="1" applyBorder="1" applyAlignment="1">
      <alignment vertical="center" wrapText="1"/>
    </xf>
    <xf numFmtId="166" fontId="16" fillId="0" borderId="0" xfId="0" applyNumberFormat="1" applyFont="1" applyAlignment="1">
      <alignment vertical="center"/>
    </xf>
    <xf numFmtId="10" fontId="10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164" fontId="5" fillId="0" borderId="17" xfId="1" applyNumberFormat="1" applyFont="1" applyBorder="1" applyAlignment="1">
      <alignment vertical="center" wrapText="1"/>
    </xf>
    <xf numFmtId="166" fontId="5" fillId="0" borderId="17" xfId="2" applyNumberFormat="1" applyFont="1" applyBorder="1" applyAlignment="1">
      <alignment vertical="center" wrapText="1"/>
    </xf>
    <xf numFmtId="0" fontId="25" fillId="0" borderId="0" xfId="0" applyFont="1" applyAlignment="1">
      <alignment vertical="top"/>
    </xf>
    <xf numFmtId="0" fontId="25" fillId="0" borderId="11" xfId="0" applyFont="1" applyBorder="1" applyAlignment="1">
      <alignment vertical="top"/>
    </xf>
    <xf numFmtId="0" fontId="25" fillId="0" borderId="12" xfId="0" applyFont="1" applyBorder="1" applyAlignment="1">
      <alignment vertical="top"/>
    </xf>
    <xf numFmtId="0" fontId="25" fillId="0" borderId="0" xfId="0" applyFont="1" applyBorder="1" applyAlignment="1">
      <alignment vertical="top"/>
    </xf>
    <xf numFmtId="0" fontId="26" fillId="0" borderId="0" xfId="0" applyFont="1"/>
    <xf numFmtId="0" fontId="18" fillId="2" borderId="20" xfId="0" applyFont="1" applyFill="1" applyBorder="1" applyAlignment="1">
      <alignment vertical="center"/>
    </xf>
    <xf numFmtId="0" fontId="18" fillId="2" borderId="11" xfId="0" applyFont="1" applyFill="1" applyBorder="1" applyAlignment="1">
      <alignment horizontal="right" vertical="center"/>
    </xf>
    <xf numFmtId="0" fontId="18" fillId="2" borderId="10" xfId="0" applyFont="1" applyFill="1" applyBorder="1" applyAlignment="1">
      <alignment vertical="center"/>
    </xf>
    <xf numFmtId="0" fontId="18" fillId="2" borderId="3" xfId="0" applyFont="1" applyFill="1" applyBorder="1" applyAlignment="1">
      <alignment vertical="center"/>
    </xf>
    <xf numFmtId="0" fontId="18" fillId="2" borderId="4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164" fontId="5" fillId="0" borderId="7" xfId="1" applyNumberFormat="1" applyFont="1" applyBorder="1" applyAlignment="1">
      <alignment vertical="center" wrapText="1"/>
    </xf>
    <xf numFmtId="164" fontId="7" fillId="0" borderId="8" xfId="1" applyNumberFormat="1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5" fillId="0" borderId="22" xfId="1" applyNumberFormat="1" applyFont="1" applyBorder="1" applyAlignment="1">
      <alignment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64" fontId="5" fillId="0" borderId="0" xfId="1" quotePrefix="1" applyNumberFormat="1" applyFont="1" applyBorder="1" applyAlignment="1">
      <alignment vertical="center"/>
    </xf>
    <xf numFmtId="164" fontId="5" fillId="0" borderId="0" xfId="1" applyNumberFormat="1" applyFont="1" applyBorder="1" applyAlignment="1">
      <alignment vertical="center" wrapText="1"/>
    </xf>
    <xf numFmtId="9" fontId="5" fillId="0" borderId="0" xfId="2" applyFont="1" applyBorder="1" applyAlignment="1">
      <alignment vertical="center" wrapText="1"/>
    </xf>
    <xf numFmtId="10" fontId="14" fillId="0" borderId="0" xfId="0" applyNumberFormat="1" applyFont="1" applyFill="1" applyBorder="1" applyAlignment="1">
      <alignment horizontal="center" vertical="center" wrapText="1"/>
    </xf>
    <xf numFmtId="164" fontId="5" fillId="0" borderId="23" xfId="1" applyNumberFormat="1" applyFont="1" applyBorder="1" applyAlignment="1">
      <alignment vertical="center" wrapText="1"/>
    </xf>
    <xf numFmtId="164" fontId="5" fillId="0" borderId="8" xfId="1" applyNumberFormat="1" applyFont="1" applyBorder="1" applyAlignment="1">
      <alignment vertical="center" wrapText="1"/>
    </xf>
    <xf numFmtId="166" fontId="5" fillId="0" borderId="5" xfId="2" applyNumberFormat="1" applyFont="1" applyBorder="1" applyAlignment="1">
      <alignment vertical="center" wrapText="1"/>
    </xf>
    <xf numFmtId="166" fontId="7" fillId="3" borderId="9" xfId="2" applyNumberFormat="1" applyFont="1" applyFill="1" applyBorder="1" applyAlignment="1">
      <alignment vertical="center" wrapText="1"/>
    </xf>
    <xf numFmtId="166" fontId="5" fillId="0" borderId="4" xfId="2" applyNumberFormat="1" applyFont="1" applyBorder="1" applyAlignment="1">
      <alignment vertical="center" wrapText="1"/>
    </xf>
    <xf numFmtId="0" fontId="18" fillId="2" borderId="9" xfId="0" applyFont="1" applyFill="1" applyBorder="1" applyAlignment="1">
      <alignment horizontal="left" vertical="center"/>
    </xf>
    <xf numFmtId="164" fontId="16" fillId="0" borderId="9" xfId="1" applyNumberFormat="1" applyFont="1" applyBorder="1" applyAlignment="1">
      <alignment horizontal="left" vertical="center"/>
    </xf>
    <xf numFmtId="164" fontId="16" fillId="0" borderId="6" xfId="1" applyNumberFormat="1" applyFont="1" applyBorder="1" applyAlignment="1">
      <alignment horizontal="left" vertical="center"/>
    </xf>
    <xf numFmtId="164" fontId="16" fillId="0" borderId="4" xfId="0" applyNumberFormat="1" applyFont="1" applyBorder="1" applyAlignment="1">
      <alignment horizontal="left" vertical="center"/>
    </xf>
    <xf numFmtId="0" fontId="10" fillId="0" borderId="0" xfId="0" applyFont="1" applyFill="1" applyBorder="1" applyAlignment="1">
      <alignment vertical="center" wrapText="1"/>
    </xf>
    <xf numFmtId="0" fontId="16" fillId="0" borderId="0" xfId="0" quotePrefix="1" applyFont="1"/>
    <xf numFmtId="164" fontId="2" fillId="0" borderId="0" xfId="1" applyNumberFormat="1" applyFont="1" applyBorder="1" applyAlignment="1">
      <alignment vertic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2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165" fontId="7" fillId="0" borderId="9" xfId="1" applyNumberFormat="1" applyFont="1" applyBorder="1" applyAlignment="1">
      <alignment horizontal="right"/>
    </xf>
    <xf numFmtId="0" fontId="7" fillId="0" borderId="8" xfId="0" applyFont="1" applyBorder="1"/>
    <xf numFmtId="165" fontId="7" fillId="0" borderId="6" xfId="1" applyNumberFormat="1" applyFont="1" applyBorder="1" applyAlignment="1">
      <alignment horizontal="right"/>
    </xf>
    <xf numFmtId="0" fontId="14" fillId="0" borderId="0" xfId="0" quotePrefix="1" applyFont="1" applyBorder="1" applyAlignment="1">
      <alignment vertical="center"/>
    </xf>
    <xf numFmtId="0" fontId="27" fillId="0" borderId="0" xfId="0" applyFont="1"/>
    <xf numFmtId="0" fontId="28" fillId="0" borderId="0" xfId="0" applyFont="1"/>
    <xf numFmtId="0" fontId="2" fillId="0" borderId="0" xfId="0" applyFont="1"/>
    <xf numFmtId="0" fontId="25" fillId="0" borderId="0" xfId="0" applyFont="1"/>
    <xf numFmtId="0" fontId="31" fillId="0" borderId="0" xfId="3" applyFont="1" applyAlignment="1" applyProtection="1"/>
    <xf numFmtId="0" fontId="32" fillId="0" borderId="0" xfId="0" applyFont="1"/>
    <xf numFmtId="0" fontId="2" fillId="0" borderId="3" xfId="0" applyFont="1" applyBorder="1" applyAlignment="1">
      <alignment vertical="center" wrapText="1"/>
    </xf>
    <xf numFmtId="165" fontId="2" fillId="0" borderId="4" xfId="1" applyNumberFormat="1" applyFont="1" applyBorder="1" applyAlignment="1">
      <alignment vertical="center"/>
    </xf>
    <xf numFmtId="0" fontId="1" fillId="0" borderId="20" xfId="0" quotePrefix="1" applyFont="1" applyBorder="1" applyAlignment="1">
      <alignment vertical="center" wrapText="1"/>
    </xf>
    <xf numFmtId="0" fontId="3" fillId="2" borderId="17" xfId="0" quotePrefix="1" applyFont="1" applyFill="1" applyBorder="1" applyAlignment="1">
      <alignment horizontal="center" vertical="center" wrapText="1"/>
    </xf>
    <xf numFmtId="164" fontId="5" fillId="0" borderId="0" xfId="1" applyNumberFormat="1" applyFont="1" applyBorder="1" applyAlignment="1">
      <alignment horizontal="right" vertical="top"/>
    </xf>
    <xf numFmtId="164" fontId="33" fillId="0" borderId="0" xfId="0" applyNumberFormat="1" applyFont="1" applyBorder="1" applyAlignment="1">
      <alignment vertical="top"/>
    </xf>
    <xf numFmtId="164" fontId="5" fillId="0" borderId="17" xfId="1" applyNumberFormat="1" applyFont="1" applyBorder="1" applyAlignment="1">
      <alignment horizontal="right" vertical="top"/>
    </xf>
    <xf numFmtId="0" fontId="16" fillId="2" borderId="9" xfId="0" applyFont="1" applyFill="1" applyBorder="1" applyAlignment="1">
      <alignment horizontal="right" vertical="top" wrapText="1"/>
    </xf>
    <xf numFmtId="164" fontId="5" fillId="0" borderId="25" xfId="1" applyNumberFormat="1" applyFont="1" applyBorder="1" applyAlignment="1">
      <alignment horizontal="right" vertical="top"/>
    </xf>
    <xf numFmtId="0" fontId="16" fillId="0" borderId="26" xfId="0" applyFont="1" applyBorder="1" applyAlignment="1">
      <alignment vertical="top"/>
    </xf>
    <xf numFmtId="164" fontId="5" fillId="0" borderId="26" xfId="1" applyNumberFormat="1" applyFont="1" applyBorder="1" applyAlignment="1">
      <alignment horizontal="right" vertical="top"/>
    </xf>
    <xf numFmtId="0" fontId="16" fillId="0" borderId="27" xfId="0" applyFont="1" applyBorder="1" applyAlignment="1">
      <alignment vertical="top"/>
    </xf>
    <xf numFmtId="0" fontId="34" fillId="2" borderId="9" xfId="0" applyFont="1" applyFill="1" applyBorder="1" applyAlignment="1">
      <alignment horizontal="right" vertical="center"/>
    </xf>
    <xf numFmtId="0" fontId="34" fillId="2" borderId="6" xfId="0" applyFont="1" applyFill="1" applyBorder="1" applyAlignment="1">
      <alignment horizontal="right" vertical="top" wrapText="1"/>
    </xf>
    <xf numFmtId="0" fontId="34" fillId="0" borderId="11" xfId="1" applyNumberFormat="1" applyFont="1" applyBorder="1" applyAlignment="1">
      <alignment vertical="center"/>
    </xf>
    <xf numFmtId="164" fontId="35" fillId="0" borderId="22" xfId="1" applyNumberFormat="1" applyFont="1" applyBorder="1" applyAlignment="1">
      <alignment vertical="center" wrapText="1"/>
    </xf>
    <xf numFmtId="0" fontId="35" fillId="0" borderId="7" xfId="0" applyFont="1" applyBorder="1" applyAlignment="1">
      <alignment vertical="center" wrapText="1"/>
    </xf>
    <xf numFmtId="0" fontId="35" fillId="0" borderId="8" xfId="0" applyFont="1" applyBorder="1" applyAlignment="1">
      <alignment vertical="center" wrapText="1"/>
    </xf>
    <xf numFmtId="0" fontId="36" fillId="2" borderId="3" xfId="0" applyFont="1" applyFill="1" applyBorder="1" applyAlignment="1">
      <alignment vertical="center"/>
    </xf>
    <xf numFmtId="0" fontId="37" fillId="0" borderId="20" xfId="0" applyFont="1" applyBorder="1" applyAlignment="1">
      <alignment vertical="center"/>
    </xf>
    <xf numFmtId="0" fontId="37" fillId="0" borderId="0" xfId="0" applyFont="1" applyBorder="1" applyAlignment="1">
      <alignment vertical="center"/>
    </xf>
    <xf numFmtId="0" fontId="37" fillId="0" borderId="0" xfId="0" applyFont="1" applyBorder="1" applyAlignment="1">
      <alignment horizontal="center" vertical="center"/>
    </xf>
    <xf numFmtId="164" fontId="37" fillId="0" borderId="9" xfId="1" applyNumberFormat="1" applyFont="1" applyBorder="1" applyAlignment="1">
      <alignment horizontal="right" vertical="center"/>
    </xf>
    <xf numFmtId="0" fontId="10" fillId="2" borderId="22" xfId="0" applyFont="1" applyFill="1" applyBorder="1" applyAlignment="1">
      <alignment horizontal="center" vertical="center" wrapText="1"/>
    </xf>
    <xf numFmtId="0" fontId="1" fillId="0" borderId="20" xfId="0" quotePrefix="1" applyFont="1" applyBorder="1" applyAlignment="1">
      <alignment horizontal="left" wrapText="1" indent="5"/>
    </xf>
    <xf numFmtId="164" fontId="1" fillId="0" borderId="11" xfId="1" applyNumberFormat="1" applyFont="1" applyBorder="1" applyAlignment="1">
      <alignment horizontal="right" vertical="top"/>
    </xf>
    <xf numFmtId="164" fontId="7" fillId="3" borderId="20" xfId="1" applyNumberFormat="1" applyFont="1" applyFill="1" applyBorder="1" applyAlignment="1">
      <alignment vertical="center" wrapText="1"/>
    </xf>
    <xf numFmtId="166" fontId="7" fillId="3" borderId="24" xfId="2" applyNumberFormat="1" applyFont="1" applyFill="1" applyBorder="1" applyAlignment="1">
      <alignment vertical="center" wrapText="1"/>
    </xf>
    <xf numFmtId="166" fontId="7" fillId="3" borderId="23" xfId="2" applyNumberFormat="1" applyFont="1" applyFill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164" fontId="5" fillId="0" borderId="29" xfId="1" applyNumberFormat="1" applyFont="1" applyBorder="1" applyAlignment="1">
      <alignment vertical="center" wrapText="1"/>
    </xf>
    <xf numFmtId="166" fontId="5" fillId="0" borderId="29" xfId="2" applyNumberFormat="1" applyFont="1" applyBorder="1" applyAlignment="1">
      <alignment vertical="center" wrapText="1"/>
    </xf>
    <xf numFmtId="166" fontId="5" fillId="0" borderId="28" xfId="2" applyNumberFormat="1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0" fillId="2" borderId="30" xfId="0" applyFont="1" applyFill="1" applyBorder="1" applyAlignment="1">
      <alignment horizontal="center" vertical="center" wrapText="1"/>
    </xf>
    <xf numFmtId="0" fontId="10" fillId="2" borderId="0" xfId="0" quotePrefix="1" applyFont="1" applyFill="1" applyBorder="1" applyAlignment="1">
      <alignment horizontal="center" vertical="center" wrapText="1"/>
    </xf>
    <xf numFmtId="0" fontId="10" fillId="2" borderId="9" xfId="0" quotePrefix="1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6" fillId="0" borderId="0" xfId="0" applyNumberFormat="1" applyFont="1" applyAlignment="1">
      <alignment vertical="center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</cellXfs>
  <cellStyles count="4">
    <cellStyle name="1000-sep (2 dec)" xfId="1" builtinId="3"/>
    <cellStyle name="Hyperlink" xfId="3" builtinId="8"/>
    <cellStyle name="Normal" xfId="0" builtinId="0"/>
    <cellStyle name="Pro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102201</xdr:colOff>
      <xdr:row>0</xdr:row>
      <xdr:rowOff>152399</xdr:rowOff>
    </xdr:from>
    <xdr:to>
      <xdr:col>11</xdr:col>
      <xdr:colOff>581025</xdr:colOff>
      <xdr:row>4</xdr:row>
      <xdr:rowOff>85724</xdr:rowOff>
    </xdr:to>
    <xdr:pic>
      <xdr:nvPicPr>
        <xdr:cNvPr id="3073" name="Picture 1" descr="DN logo RGB 11K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601" y="152399"/>
          <a:ext cx="169802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o@d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9"/>
  <sheetViews>
    <sheetView tabSelected="1" workbookViewId="0">
      <selection activeCell="A6" sqref="A6"/>
    </sheetView>
  </sheetViews>
  <sheetFormatPr defaultRowHeight="14.25"/>
  <cols>
    <col min="1" max="16384" width="9.140625" style="7"/>
  </cols>
  <sheetData>
    <row r="1" spans="1:1">
      <c r="A1" s="7" t="s">
        <v>150</v>
      </c>
    </row>
    <row r="2" spans="1:1" ht="24.75">
      <c r="A2" s="185" t="s">
        <v>151</v>
      </c>
    </row>
    <row r="3" spans="1:1" ht="21">
      <c r="A3" s="186" t="s">
        <v>152</v>
      </c>
    </row>
    <row r="4" spans="1:1" ht="18">
      <c r="A4" s="186" t="s">
        <v>153</v>
      </c>
    </row>
    <row r="5" spans="1:1">
      <c r="A5" s="187" t="s">
        <v>183</v>
      </c>
    </row>
    <row r="8" spans="1:1" ht="19.5">
      <c r="A8" s="44" t="s">
        <v>149</v>
      </c>
    </row>
    <row r="10" spans="1:1">
      <c r="A10" s="7" t="s">
        <v>154</v>
      </c>
    </row>
    <row r="13" spans="1:1">
      <c r="A13" s="7" t="s">
        <v>161</v>
      </c>
    </row>
    <row r="14" spans="1:1" ht="18">
      <c r="A14" s="188" t="s">
        <v>155</v>
      </c>
    </row>
    <row r="15" spans="1:1" ht="18">
      <c r="A15" s="188" t="s">
        <v>156</v>
      </c>
    </row>
    <row r="16" spans="1:1" ht="18">
      <c r="A16" s="188" t="s">
        <v>157</v>
      </c>
    </row>
    <row r="17" spans="1:1" ht="18">
      <c r="A17" s="188" t="s">
        <v>158</v>
      </c>
    </row>
    <row r="18" spans="1:1" ht="18">
      <c r="A18" s="188" t="s">
        <v>159</v>
      </c>
    </row>
    <row r="19" spans="1:1" ht="18">
      <c r="A19" s="189" t="s">
        <v>160</v>
      </c>
    </row>
  </sheetData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>
      <selection activeCell="L43" sqref="L43"/>
    </sheetView>
  </sheetViews>
  <sheetFormatPr defaultRowHeight="14.25"/>
  <cols>
    <col min="1" max="1" width="33.85546875" style="6" customWidth="1"/>
    <col min="2" max="2" width="11.28515625" style="10" customWidth="1"/>
    <col min="3" max="3" width="10.5703125" style="11" customWidth="1"/>
    <col min="4" max="4" width="11.5703125" style="6" customWidth="1"/>
    <col min="5" max="5" width="13.28515625" style="6" customWidth="1"/>
    <col min="6" max="7" width="15.85546875" style="6" customWidth="1"/>
    <col min="8" max="8" width="14.42578125" style="6" bestFit="1" customWidth="1"/>
    <col min="9" max="9" width="14.42578125" style="6" customWidth="1"/>
    <col min="10" max="10" width="14.42578125" style="6" bestFit="1" customWidth="1"/>
    <col min="11" max="11" width="14.42578125" style="6" customWidth="1"/>
    <col min="12" max="13" width="19.28515625" style="6" customWidth="1"/>
    <col min="14" max="14" width="12.85546875" style="6" customWidth="1"/>
    <col min="15" max="15" width="12.28515625" style="6" customWidth="1"/>
    <col min="16" max="16" width="12.5703125" style="6" customWidth="1"/>
    <col min="17" max="17" width="8.140625" style="6" customWidth="1"/>
    <col min="18" max="16384" width="9.140625" style="6"/>
  </cols>
  <sheetData>
    <row r="1" spans="1:13" s="37" customFormat="1" ht="19.5">
      <c r="A1" s="37" t="s">
        <v>177</v>
      </c>
      <c r="B1" s="38"/>
      <c r="C1" s="39"/>
    </row>
    <row r="2" spans="1:13">
      <c r="B2" s="40"/>
      <c r="C2" s="40"/>
    </row>
    <row r="3" spans="1:13" s="30" customFormat="1" ht="15">
      <c r="A3" s="30" t="s">
        <v>27</v>
      </c>
      <c r="B3" s="41"/>
      <c r="C3" s="43">
        <v>2009</v>
      </c>
    </row>
    <row r="4" spans="1:13" s="30" customFormat="1" ht="15">
      <c r="B4" s="41"/>
      <c r="C4" s="43"/>
    </row>
    <row r="5" spans="1:13" s="32" customFormat="1" ht="12.75">
      <c r="A5" s="31" t="s">
        <v>30</v>
      </c>
      <c r="B5" s="42"/>
      <c r="C5" s="42">
        <v>50000</v>
      </c>
    </row>
    <row r="6" spans="1:13" s="32" customFormat="1" ht="12.75">
      <c r="A6" s="31" t="s">
        <v>148</v>
      </c>
      <c r="B6" s="42"/>
      <c r="C6" s="42"/>
    </row>
    <row r="7" spans="1:13" ht="15" thickBot="1">
      <c r="B7" s="40"/>
      <c r="C7" s="40"/>
    </row>
    <row r="8" spans="1:13" ht="42.75">
      <c r="A8" s="20" t="s">
        <v>56</v>
      </c>
      <c r="B8" s="12"/>
      <c r="C8" s="13" t="s">
        <v>28</v>
      </c>
      <c r="D8" s="12"/>
      <c r="E8" s="13" t="s">
        <v>9</v>
      </c>
      <c r="F8" s="12"/>
      <c r="G8" s="13" t="s">
        <v>29</v>
      </c>
      <c r="H8" s="21"/>
      <c r="I8" s="22" t="s">
        <v>0</v>
      </c>
      <c r="J8" s="21"/>
      <c r="K8" s="23" t="s">
        <v>1</v>
      </c>
      <c r="L8" s="23" t="s">
        <v>75</v>
      </c>
      <c r="M8" s="23" t="s">
        <v>91</v>
      </c>
    </row>
    <row r="9" spans="1:13" ht="15" thickBot="1">
      <c r="A9" s="24"/>
      <c r="B9" s="14"/>
      <c r="C9" s="15" t="s">
        <v>57</v>
      </c>
      <c r="D9" s="14"/>
      <c r="E9" s="15" t="s">
        <v>25</v>
      </c>
      <c r="F9" s="14"/>
      <c r="G9" s="15" t="s">
        <v>25</v>
      </c>
      <c r="H9" s="18"/>
      <c r="I9" s="19" t="s">
        <v>26</v>
      </c>
      <c r="J9" s="18"/>
      <c r="K9" s="25" t="s">
        <v>59</v>
      </c>
      <c r="L9" s="25" t="s">
        <v>74</v>
      </c>
      <c r="M9" s="198" t="s">
        <v>92</v>
      </c>
    </row>
    <row r="10" spans="1:13">
      <c r="A10" s="101" t="s">
        <v>34</v>
      </c>
      <c r="B10" s="33"/>
      <c r="C10" s="34">
        <f>SUM(B11:B12)</f>
        <v>5360</v>
      </c>
      <c r="D10" s="33"/>
      <c r="E10" s="34">
        <f>SUM(D11:D12)</f>
        <v>465560</v>
      </c>
      <c r="F10" s="33"/>
      <c r="G10" s="34">
        <f>SUM(F11:F12)</f>
        <v>610058</v>
      </c>
      <c r="H10" s="35"/>
      <c r="I10" s="34">
        <f>SUM(H11:H12)</f>
        <v>0</v>
      </c>
      <c r="J10" s="35"/>
      <c r="K10" s="34">
        <f>SUM(J11:J12)</f>
        <v>0</v>
      </c>
      <c r="L10" s="195">
        <f>(E10*Emissionsfaktorer!$D$9+'Bygn el og varmeforbrug mm'!G10*Emissionsfaktorer!$D$10+'Bygn el og varmeforbrug mm'!I10*Emissionsfaktorer!$D$13+'Bygn el og varmeforbrug mm'!K10*Emissionsfaktorer!$D$14)/1000000</f>
        <v>378.87326000000002</v>
      </c>
      <c r="M10" s="199">
        <f>L10*1000/C10</f>
        <v>70.685309701492542</v>
      </c>
    </row>
    <row r="11" spans="1:13">
      <c r="A11" s="102" t="s">
        <v>35</v>
      </c>
      <c r="B11" s="16">
        <v>4200</v>
      </c>
      <c r="C11" s="17"/>
      <c r="D11" s="16">
        <v>400000</v>
      </c>
      <c r="E11" s="17"/>
      <c r="F11" s="16">
        <v>410000</v>
      </c>
      <c r="G11" s="17"/>
      <c r="H11" s="36"/>
      <c r="I11" s="17"/>
      <c r="J11" s="36"/>
      <c r="K11" s="17"/>
      <c r="L11" s="40"/>
      <c r="M11" s="200"/>
    </row>
    <row r="12" spans="1:13">
      <c r="A12" s="102" t="s">
        <v>36</v>
      </c>
      <c r="B12" s="16">
        <v>1160</v>
      </c>
      <c r="C12" s="17"/>
      <c r="D12" s="16">
        <v>65560</v>
      </c>
      <c r="E12" s="17"/>
      <c r="F12" s="16">
        <v>200058</v>
      </c>
      <c r="G12" s="17"/>
      <c r="H12" s="36"/>
      <c r="I12" s="17"/>
      <c r="J12" s="36"/>
      <c r="K12" s="17"/>
      <c r="L12" s="40"/>
      <c r="M12" s="200"/>
    </row>
    <row r="13" spans="1:13">
      <c r="A13" s="101" t="s">
        <v>37</v>
      </c>
      <c r="B13" s="33"/>
      <c r="C13" s="34">
        <f>SUM(B14:B16)</f>
        <v>34514</v>
      </c>
      <c r="D13" s="33"/>
      <c r="E13" s="34">
        <f>SUM(D14:D16)</f>
        <v>805450</v>
      </c>
      <c r="F13" s="33"/>
      <c r="G13" s="34">
        <f>SUM(F14:F16)</f>
        <v>3695623</v>
      </c>
      <c r="H13" s="35"/>
      <c r="I13" s="34">
        <f>SUM(H14:H16)</f>
        <v>0</v>
      </c>
      <c r="J13" s="35"/>
      <c r="K13" s="34">
        <f>SUM(J14:J16)</f>
        <v>0</v>
      </c>
      <c r="L13" s="195">
        <f>(E13*Emissionsfaktorer!$D$9+'Bygn el og varmeforbrug mm'!G13*Emissionsfaktorer!$D$10+'Bygn el og varmeforbrug mm'!I13*Emissionsfaktorer!$D$13+'Bygn el og varmeforbrug mm'!K13*Emissionsfaktorer!$D$14)/1000000</f>
        <v>1368.32521</v>
      </c>
      <c r="M13" s="201">
        <f>L13*1000/C13</f>
        <v>39.645512255896158</v>
      </c>
    </row>
    <row r="14" spans="1:13">
      <c r="A14" s="102" t="s">
        <v>38</v>
      </c>
      <c r="B14" s="16">
        <v>10000</v>
      </c>
      <c r="C14" s="17"/>
      <c r="D14" s="16">
        <v>300000</v>
      </c>
      <c r="E14" s="17"/>
      <c r="F14" s="16">
        <v>1600000</v>
      </c>
      <c r="G14" s="17"/>
      <c r="H14" s="36"/>
      <c r="I14" s="17"/>
      <c r="J14" s="36"/>
      <c r="K14" s="17"/>
      <c r="L14" s="40"/>
      <c r="M14" s="200"/>
    </row>
    <row r="15" spans="1:13">
      <c r="A15" s="102" t="s">
        <v>39</v>
      </c>
      <c r="B15" s="16">
        <v>12000</v>
      </c>
      <c r="C15" s="17"/>
      <c r="D15" s="16">
        <v>205000</v>
      </c>
      <c r="E15" s="17"/>
      <c r="F15" s="16">
        <v>1095000</v>
      </c>
      <c r="G15" s="17"/>
      <c r="H15" s="36"/>
      <c r="I15" s="17"/>
      <c r="J15" s="36"/>
      <c r="K15" s="17"/>
      <c r="L15" s="40"/>
      <c r="M15" s="200"/>
    </row>
    <row r="16" spans="1:13">
      <c r="A16" s="102" t="s">
        <v>40</v>
      </c>
      <c r="B16" s="16">
        <v>12514</v>
      </c>
      <c r="C16" s="17"/>
      <c r="D16" s="16">
        <v>300450</v>
      </c>
      <c r="E16" s="17"/>
      <c r="F16" s="16">
        <v>1000623</v>
      </c>
      <c r="G16" s="17"/>
      <c r="H16" s="36"/>
      <c r="I16" s="17"/>
      <c r="J16" s="36"/>
      <c r="K16" s="17"/>
      <c r="L16" s="40"/>
      <c r="M16" s="200"/>
    </row>
    <row r="17" spans="1:13">
      <c r="A17" s="101" t="s">
        <v>41</v>
      </c>
      <c r="B17" s="33"/>
      <c r="C17" s="34">
        <f>SUM(B18:B20)</f>
        <v>7682</v>
      </c>
      <c r="D17" s="33"/>
      <c r="E17" s="34">
        <f>SUM(D18:D20)</f>
        <v>319550</v>
      </c>
      <c r="F17" s="33"/>
      <c r="G17" s="34">
        <f>SUM(F18:F20)</f>
        <v>460505</v>
      </c>
      <c r="H17" s="35"/>
      <c r="I17" s="34">
        <f>SUM(H18:H20)</f>
        <v>18560</v>
      </c>
      <c r="J17" s="35"/>
      <c r="K17" s="34">
        <f>SUM(J18:J20)</f>
        <v>27760</v>
      </c>
      <c r="L17" s="195">
        <f>(E17*Emissionsfaktorer!$D$9+'Bygn el og varmeforbrug mm'!G17*Emissionsfaktorer!$D$10+'Bygn el og varmeforbrug mm'!I17*Emissionsfaktorer!$D$13+'Bygn el og varmeforbrug mm'!K17*Emissionsfaktorer!$D$14)/1000000</f>
        <v>382.83454999999998</v>
      </c>
      <c r="M17" s="201">
        <f>L17*1000/C17</f>
        <v>49.835270762822184</v>
      </c>
    </row>
    <row r="18" spans="1:13">
      <c r="A18" s="102" t="s">
        <v>42</v>
      </c>
      <c r="B18" s="16">
        <v>600</v>
      </c>
      <c r="C18" s="17"/>
      <c r="D18" s="16">
        <v>19000</v>
      </c>
      <c r="E18" s="17"/>
      <c r="F18" s="16"/>
      <c r="G18" s="17"/>
      <c r="H18" s="36">
        <v>18560</v>
      </c>
      <c r="I18" s="17"/>
      <c r="J18" s="36"/>
      <c r="K18" s="17"/>
      <c r="L18" s="40"/>
      <c r="M18" s="200"/>
    </row>
    <row r="19" spans="1:13">
      <c r="A19" s="102" t="s">
        <v>43</v>
      </c>
      <c r="B19" s="16">
        <v>4080</v>
      </c>
      <c r="C19" s="17"/>
      <c r="D19" s="16">
        <v>200050</v>
      </c>
      <c r="E19" s="17"/>
      <c r="F19" s="16">
        <v>460505</v>
      </c>
      <c r="G19" s="17"/>
      <c r="H19" s="36"/>
      <c r="I19" s="17"/>
      <c r="J19" s="36"/>
      <c r="K19" s="17"/>
      <c r="L19" s="40"/>
      <c r="M19" s="200"/>
    </row>
    <row r="20" spans="1:13">
      <c r="A20" s="102" t="s">
        <v>44</v>
      </c>
      <c r="B20" s="16">
        <v>3002</v>
      </c>
      <c r="C20" s="17"/>
      <c r="D20" s="16">
        <v>100500</v>
      </c>
      <c r="E20" s="17"/>
      <c r="F20" s="16"/>
      <c r="G20" s="17"/>
      <c r="H20" s="36"/>
      <c r="I20" s="17"/>
      <c r="J20" s="36">
        <v>27760</v>
      </c>
      <c r="K20" s="17"/>
      <c r="L20" s="40"/>
      <c r="M20" s="200"/>
    </row>
    <row r="21" spans="1:13">
      <c r="A21" s="103" t="s">
        <v>45</v>
      </c>
      <c r="B21" s="33"/>
      <c r="C21" s="34">
        <f>SUM(B22:B23)</f>
        <v>1800</v>
      </c>
      <c r="D21" s="33"/>
      <c r="E21" s="34">
        <f>SUM(D22:D23)</f>
        <v>54842</v>
      </c>
      <c r="F21" s="33"/>
      <c r="G21" s="34">
        <f>SUM(F22:F23)</f>
        <v>224635</v>
      </c>
      <c r="H21" s="35"/>
      <c r="I21" s="34">
        <f>SUM(H22:H23)</f>
        <v>0</v>
      </c>
      <c r="J21" s="35"/>
      <c r="K21" s="34">
        <f>SUM(J22:J23)</f>
        <v>0</v>
      </c>
      <c r="L21" s="195">
        <f>(E21*Emissionsfaktorer!$D$9+'Bygn el og varmeforbrug mm'!G21*Emissionsfaktorer!$D$10+'Bygn el og varmeforbrug mm'!I21*Emissionsfaktorer!$D$13+'Bygn el og varmeforbrug mm'!K21*Emissionsfaktorer!$D$14)/1000000</f>
        <v>85.878770000000003</v>
      </c>
      <c r="M21" s="201">
        <f>L21*1000/C21</f>
        <v>47.710427777777781</v>
      </c>
    </row>
    <row r="22" spans="1:13">
      <c r="A22" s="104" t="s">
        <v>46</v>
      </c>
      <c r="B22" s="16">
        <v>950</v>
      </c>
      <c r="C22" s="17"/>
      <c r="D22" s="16">
        <v>30000</v>
      </c>
      <c r="E22" s="17"/>
      <c r="F22" s="16">
        <v>100635</v>
      </c>
      <c r="G22" s="17"/>
      <c r="H22" s="36"/>
      <c r="I22" s="17"/>
      <c r="J22" s="36"/>
      <c r="K22" s="17"/>
      <c r="L22" s="40"/>
      <c r="M22" s="200"/>
    </row>
    <row r="23" spans="1:13">
      <c r="A23" s="104" t="s">
        <v>47</v>
      </c>
      <c r="B23" s="16">
        <v>850</v>
      </c>
      <c r="C23" s="17"/>
      <c r="D23" s="16">
        <v>24842</v>
      </c>
      <c r="E23" s="17"/>
      <c r="F23" s="16">
        <v>124000</v>
      </c>
      <c r="G23" s="17"/>
      <c r="H23" s="36"/>
      <c r="I23" s="17"/>
      <c r="J23" s="36"/>
      <c r="K23" s="17"/>
      <c r="L23" s="40"/>
      <c r="M23" s="200"/>
    </row>
    <row r="24" spans="1:13">
      <c r="A24" s="101" t="s">
        <v>58</v>
      </c>
      <c r="B24" s="33"/>
      <c r="C24" s="34">
        <f>SUM(B25:B27)</f>
        <v>16450</v>
      </c>
      <c r="D24" s="33"/>
      <c r="E24" s="34">
        <f>SUM(D25:D27)</f>
        <v>545119</v>
      </c>
      <c r="F24" s="33"/>
      <c r="G24" s="34">
        <f>SUM(F25:F27)</f>
        <v>2408893</v>
      </c>
      <c r="H24" s="35"/>
      <c r="I24" s="34">
        <f>SUM(H25:H27)</f>
        <v>0</v>
      </c>
      <c r="J24" s="35"/>
      <c r="K24" s="34">
        <f>SUM(J25:J27)</f>
        <v>3605</v>
      </c>
      <c r="L24" s="195">
        <f>(E24*Emissionsfaktorer!$D$9+'Bygn el og varmeforbrug mm'!G24*Emissionsfaktorer!$D$10+'Bygn el og varmeforbrug mm'!I24*Emissionsfaktorer!$D$13+'Bygn el og varmeforbrug mm'!K24*Emissionsfaktorer!$D$14)/1000000</f>
        <v>909.24907499999995</v>
      </c>
      <c r="M24" s="201">
        <f>L24*1000/C24</f>
        <v>55.273499999999999</v>
      </c>
    </row>
    <row r="25" spans="1:13">
      <c r="A25" s="102" t="s">
        <v>48</v>
      </c>
      <c r="B25" s="16">
        <v>10050</v>
      </c>
      <c r="C25" s="17"/>
      <c r="D25" s="16">
        <v>300000</v>
      </c>
      <c r="E25" s="17"/>
      <c r="F25" s="16">
        <v>1408000</v>
      </c>
      <c r="G25" s="17"/>
      <c r="H25" s="36"/>
      <c r="I25" s="17"/>
      <c r="J25" s="36"/>
      <c r="K25" s="17"/>
      <c r="L25" s="40"/>
      <c r="M25" s="200"/>
    </row>
    <row r="26" spans="1:13">
      <c r="A26" s="102" t="s">
        <v>49</v>
      </c>
      <c r="B26" s="16">
        <v>5000</v>
      </c>
      <c r="C26" s="17"/>
      <c r="D26" s="16">
        <v>200119</v>
      </c>
      <c r="E26" s="17"/>
      <c r="F26" s="16">
        <v>1000893</v>
      </c>
      <c r="G26" s="17"/>
      <c r="H26" s="36"/>
      <c r="I26" s="17"/>
      <c r="J26" s="36"/>
      <c r="K26" s="17"/>
      <c r="L26" s="40"/>
      <c r="M26" s="200"/>
    </row>
    <row r="27" spans="1:13">
      <c r="A27" s="102" t="s">
        <v>50</v>
      </c>
      <c r="B27" s="16">
        <v>1400</v>
      </c>
      <c r="C27" s="17"/>
      <c r="D27" s="16">
        <v>45000</v>
      </c>
      <c r="E27" s="17"/>
      <c r="F27" s="16"/>
      <c r="G27" s="17"/>
      <c r="H27" s="36"/>
      <c r="I27" s="17"/>
      <c r="J27" s="36">
        <v>3605</v>
      </c>
      <c r="K27" s="17"/>
      <c r="L27" s="40"/>
      <c r="M27" s="200"/>
    </row>
    <row r="28" spans="1:13">
      <c r="A28" s="101" t="s">
        <v>51</v>
      </c>
      <c r="B28" s="33"/>
      <c r="C28" s="34">
        <f>SUM(B29)</f>
        <v>1085</v>
      </c>
      <c r="D28" s="33"/>
      <c r="E28" s="34">
        <f>SUM(D29)</f>
        <v>45865</v>
      </c>
      <c r="F28" s="33"/>
      <c r="G28" s="34">
        <f>SUM(F29)</f>
        <v>119443</v>
      </c>
      <c r="H28" s="35"/>
      <c r="I28" s="34">
        <f>SUM(H29)</f>
        <v>0</v>
      </c>
      <c r="J28" s="35"/>
      <c r="K28" s="34">
        <f>SUM(J29)</f>
        <v>856</v>
      </c>
      <c r="L28" s="195">
        <f>(E28*Emissionsfaktorer!$D$9+'Bygn el og varmeforbrug mm'!G28*Emissionsfaktorer!$D$10+'Bygn el og varmeforbrug mm'!I28*Emissionsfaktorer!$D$13+'Bygn el og varmeforbrug mm'!K28*Emissionsfaktorer!$D$14)/1000000</f>
        <v>55.26923</v>
      </c>
      <c r="M28" s="201">
        <f>L28*1000/C28</f>
        <v>50.939382488479268</v>
      </c>
    </row>
    <row r="29" spans="1:13">
      <c r="A29" s="102" t="s">
        <v>52</v>
      </c>
      <c r="B29" s="16">
        <v>1085</v>
      </c>
      <c r="C29" s="17"/>
      <c r="D29" s="16">
        <v>45865</v>
      </c>
      <c r="E29" s="17"/>
      <c r="F29" s="16">
        <v>119443</v>
      </c>
      <c r="G29" s="17"/>
      <c r="H29" s="36"/>
      <c r="I29" s="17"/>
      <c r="J29" s="36">
        <v>856</v>
      </c>
      <c r="K29" s="17"/>
      <c r="L29" s="40"/>
      <c r="M29" s="200"/>
    </row>
    <row r="30" spans="1:13">
      <c r="A30" s="101" t="s">
        <v>53</v>
      </c>
      <c r="B30" s="33"/>
      <c r="C30" s="34">
        <f>SUM(B31:B32)</f>
        <v>6415</v>
      </c>
      <c r="D30" s="33"/>
      <c r="E30" s="34">
        <f>SUM(D31:D32)</f>
        <v>195699</v>
      </c>
      <c r="F30" s="33"/>
      <c r="G30" s="34">
        <f>SUM(F31:F32)</f>
        <v>879462</v>
      </c>
      <c r="H30" s="35"/>
      <c r="I30" s="34">
        <f>SUM(H31:H32)</f>
        <v>0</v>
      </c>
      <c r="J30" s="35"/>
      <c r="K30" s="34">
        <f>SUM(J31:J32)</f>
        <v>0</v>
      </c>
      <c r="L30" s="195">
        <f>(E30*Emissionsfaktorer!$D$9+'Bygn el og varmeforbrug mm'!G30*Emissionsfaktorer!$D$10+'Bygn el og varmeforbrug mm'!I30*Emissionsfaktorer!$D$13+'Bygn el og varmeforbrug mm'!K30*Emissionsfaktorer!$D$14)/1000000</f>
        <v>327.47627999999997</v>
      </c>
      <c r="M30" s="201">
        <f>L30*1000/C30</f>
        <v>51.048523772408416</v>
      </c>
    </row>
    <row r="31" spans="1:13">
      <c r="A31" s="102" t="s">
        <v>54</v>
      </c>
      <c r="B31" s="16">
        <v>2015</v>
      </c>
      <c r="C31" s="17"/>
      <c r="D31" s="16">
        <v>45099</v>
      </c>
      <c r="E31" s="17"/>
      <c r="F31" s="16">
        <v>300462</v>
      </c>
      <c r="G31" s="17"/>
      <c r="H31" s="36"/>
      <c r="I31" s="17"/>
      <c r="J31" s="36"/>
      <c r="K31" s="17"/>
      <c r="L31" s="40"/>
      <c r="M31" s="200"/>
    </row>
    <row r="32" spans="1:13">
      <c r="A32" s="102" t="s">
        <v>55</v>
      </c>
      <c r="B32" s="16">
        <v>4400</v>
      </c>
      <c r="C32" s="17"/>
      <c r="D32" s="16">
        <v>150600</v>
      </c>
      <c r="E32" s="17"/>
      <c r="F32" s="16">
        <v>579000</v>
      </c>
      <c r="G32" s="17"/>
      <c r="H32" s="36"/>
      <c r="I32" s="17"/>
      <c r="J32" s="36"/>
      <c r="K32" s="17"/>
      <c r="L32" s="40"/>
      <c r="M32" s="200"/>
    </row>
    <row r="33" spans="1:13">
      <c r="A33" s="101" t="s">
        <v>8</v>
      </c>
      <c r="B33" s="33"/>
      <c r="C33" s="34">
        <f>SUM(B34:B35)</f>
        <v>6030</v>
      </c>
      <c r="D33" s="33"/>
      <c r="E33" s="34">
        <f>SUM(D34:D35)</f>
        <v>520120</v>
      </c>
      <c r="F33" s="33"/>
      <c r="G33" s="34">
        <f>SUM(F34:F35)</f>
        <v>1084611</v>
      </c>
      <c r="H33" s="35"/>
      <c r="I33" s="34">
        <f>SUM(H34:H35)</f>
        <v>2151</v>
      </c>
      <c r="J33" s="35"/>
      <c r="K33" s="34">
        <f>SUM(J34:J35)</f>
        <v>36530</v>
      </c>
      <c r="L33" s="195">
        <f>(E33*Emissionsfaktorer!$D$9+'Bygn el og varmeforbrug mm'!G33*Emissionsfaktorer!$D$10+'Bygn el og varmeforbrug mm'!I33*Emissionsfaktorer!$D$13+'Bygn el og varmeforbrug mm'!K33*Emissionsfaktorer!$D$14)/1000000</f>
        <v>619.81016999999997</v>
      </c>
      <c r="M33" s="201">
        <f>L33*1000/C33</f>
        <v>102.78775621890546</v>
      </c>
    </row>
    <row r="34" spans="1:13">
      <c r="A34" s="105" t="s">
        <v>76</v>
      </c>
      <c r="B34" s="16">
        <v>3780</v>
      </c>
      <c r="C34" s="17"/>
      <c r="D34" s="16">
        <v>125460</v>
      </c>
      <c r="E34" s="17"/>
      <c r="F34" s="16">
        <v>400453</v>
      </c>
      <c r="G34" s="17"/>
      <c r="H34" s="36">
        <v>2151</v>
      </c>
      <c r="I34" s="17"/>
      <c r="J34" s="36"/>
      <c r="K34" s="17"/>
      <c r="L34" s="40"/>
      <c r="M34" s="200"/>
    </row>
    <row r="35" spans="1:13">
      <c r="A35" s="105" t="s">
        <v>77</v>
      </c>
      <c r="B35" s="16">
        <v>2250</v>
      </c>
      <c r="C35" s="17"/>
      <c r="D35" s="16">
        <v>394660</v>
      </c>
      <c r="E35" s="17"/>
      <c r="F35" s="16">
        <v>684158</v>
      </c>
      <c r="G35" s="17"/>
      <c r="H35" s="36"/>
      <c r="I35" s="17"/>
      <c r="J35" s="36">
        <v>36530</v>
      </c>
      <c r="K35" s="17"/>
      <c r="L35" s="40"/>
      <c r="M35" s="200"/>
    </row>
    <row r="36" spans="1:13">
      <c r="A36" s="101" t="s">
        <v>173</v>
      </c>
      <c r="B36" s="33"/>
      <c r="C36" s="34">
        <f>SUM(B40:B40)</f>
        <v>0</v>
      </c>
      <c r="D36" s="33"/>
      <c r="E36" s="34">
        <f>SUM(D37:D40)</f>
        <v>2045598</v>
      </c>
      <c r="F36" s="33"/>
      <c r="G36" s="34">
        <f>SUM(F40:F40)</f>
        <v>0</v>
      </c>
      <c r="H36" s="35"/>
      <c r="I36" s="34">
        <f>SUM(H40:H40)</f>
        <v>0</v>
      </c>
      <c r="J36" s="35"/>
      <c r="K36" s="34">
        <f>SUM(J40:J40)</f>
        <v>0</v>
      </c>
      <c r="L36" s="195">
        <f>(E36*Emissionsfaktorer!$D$9+'Bygn el og varmeforbrug mm'!G36*Emissionsfaktorer!$D$10+'Bygn el og varmeforbrug mm'!I36*Emissionsfaktorer!$D$13+'Bygn el og varmeforbrug mm'!K36*Emissionsfaktorer!$D$14)/1000000</f>
        <v>940.97508000000005</v>
      </c>
      <c r="M36" s="201"/>
    </row>
    <row r="37" spans="1:13">
      <c r="A37" s="215" t="s">
        <v>179</v>
      </c>
      <c r="B37" s="33"/>
      <c r="C37" s="34"/>
      <c r="D37" s="33"/>
      <c r="E37" s="34"/>
      <c r="F37" s="33"/>
      <c r="G37" s="34"/>
      <c r="H37" s="35"/>
      <c r="I37" s="34"/>
      <c r="J37" s="35"/>
      <c r="K37" s="34"/>
      <c r="L37" s="195"/>
      <c r="M37" s="201"/>
    </row>
    <row r="38" spans="1:13">
      <c r="A38" s="215" t="s">
        <v>182</v>
      </c>
      <c r="B38" s="33"/>
      <c r="C38" s="34"/>
      <c r="D38" s="216">
        <v>2045598</v>
      </c>
      <c r="E38" s="34"/>
      <c r="F38" s="33"/>
      <c r="G38" s="34"/>
      <c r="H38" s="35"/>
      <c r="I38" s="34"/>
      <c r="J38" s="35"/>
      <c r="K38" s="34"/>
      <c r="L38" s="195"/>
      <c r="M38" s="201"/>
    </row>
    <row r="39" spans="1:13">
      <c r="A39" s="215" t="s">
        <v>180</v>
      </c>
      <c r="B39" s="33"/>
      <c r="C39" s="34"/>
      <c r="D39" s="33"/>
      <c r="E39" s="34"/>
      <c r="F39" s="33"/>
      <c r="G39" s="34"/>
      <c r="H39" s="35"/>
      <c r="I39" s="34"/>
      <c r="J39" s="35"/>
      <c r="K39" s="34"/>
      <c r="L39" s="195"/>
      <c r="M39" s="201"/>
    </row>
    <row r="40" spans="1:13" ht="15" thickBot="1">
      <c r="A40" s="215" t="s">
        <v>181</v>
      </c>
      <c r="B40" s="16"/>
      <c r="C40" s="17"/>
      <c r="D40" s="16"/>
      <c r="E40" s="17"/>
      <c r="F40" s="16">
        <v>0</v>
      </c>
      <c r="G40" s="17"/>
      <c r="H40" s="36"/>
      <c r="I40" s="17"/>
      <c r="J40" s="36"/>
      <c r="K40" s="17"/>
      <c r="L40" s="40"/>
      <c r="M40" s="202"/>
    </row>
    <row r="41" spans="1:13" s="8" customFormat="1" ht="14.25" customHeight="1" thickBot="1">
      <c r="A41" s="26" t="s">
        <v>24</v>
      </c>
      <c r="B41" s="117"/>
      <c r="C41" s="27">
        <f>SUM(C10:C40)</f>
        <v>79336</v>
      </c>
      <c r="D41" s="117"/>
      <c r="E41" s="27">
        <f>SUM(E10:E40)</f>
        <v>4997803</v>
      </c>
      <c r="F41" s="118"/>
      <c r="G41" s="27">
        <f>SUM(G10:G40)</f>
        <v>9483230</v>
      </c>
      <c r="H41" s="118"/>
      <c r="I41" s="27">
        <f>SUM(I10:I40)</f>
        <v>20711</v>
      </c>
      <c r="J41" s="118"/>
      <c r="K41" s="28">
        <f>SUM(K10:K40)</f>
        <v>68751</v>
      </c>
      <c r="L41" s="197" t="s">
        <v>24</v>
      </c>
      <c r="M41" s="195"/>
    </row>
    <row r="42" spans="1:13" s="8" customFormat="1" ht="14.25" customHeight="1" thickBot="1">
      <c r="A42" s="26" t="s">
        <v>67</v>
      </c>
      <c r="B42" s="117"/>
      <c r="C42" s="116"/>
      <c r="D42" s="118"/>
      <c r="E42" s="28">
        <f>E41*Emissionsfaktorer!D9/1000000</f>
        <v>2298.98938</v>
      </c>
      <c r="F42" s="118"/>
      <c r="G42" s="28">
        <f>G41*Emissionsfaktorer!D10/1000000</f>
        <v>2560.4721</v>
      </c>
      <c r="H42" s="118"/>
      <c r="I42" s="28">
        <f>I41*Emissionsfaktorer!D13/1000000</f>
        <v>54.884149999999998</v>
      </c>
      <c r="J42" s="118"/>
      <c r="K42" s="28">
        <f>K41*Emissionsfaktorer!D14/1000000</f>
        <v>154.34599499999999</v>
      </c>
      <c r="L42" s="100">
        <f>SUM(E42:K42)</f>
        <v>5068.6916249999995</v>
      </c>
      <c r="M42" s="196"/>
    </row>
    <row r="43" spans="1:13" s="8" customFormat="1" ht="14.25" customHeight="1" thickBot="1">
      <c r="A43" s="26" t="s">
        <v>103</v>
      </c>
      <c r="B43" s="119"/>
      <c r="C43" s="27"/>
      <c r="D43" s="28"/>
      <c r="E43" s="29">
        <f>E41*500/1000000</f>
        <v>2498.9014999999999</v>
      </c>
      <c r="F43" s="9"/>
      <c r="G43" s="9"/>
      <c r="H43" s="9"/>
      <c r="I43" s="9"/>
      <c r="J43" s="9"/>
      <c r="K43" s="9"/>
      <c r="L43" s="100">
        <f>E43+G42+I42+K42</f>
        <v>5268.6037449999994</v>
      </c>
    </row>
    <row r="44" spans="1:13" s="8" customFormat="1" ht="14.25" customHeight="1">
      <c r="A44" s="58"/>
      <c r="B44" s="59"/>
      <c r="C44" s="60"/>
      <c r="D44" s="9"/>
      <c r="E44" s="9"/>
      <c r="F44" s="9"/>
      <c r="G44" s="9"/>
      <c r="H44" s="9"/>
      <c r="I44" s="9"/>
      <c r="J44" s="9"/>
      <c r="K44" s="9"/>
    </row>
  </sheetData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workbookViewId="0">
      <selection activeCell="E14" sqref="E14"/>
    </sheetView>
  </sheetViews>
  <sheetFormatPr defaultRowHeight="14.25"/>
  <cols>
    <col min="1" max="1" width="51.5703125" style="62" customWidth="1"/>
    <col min="2" max="2" width="15.140625" style="62" customWidth="1"/>
    <col min="3" max="3" width="14.42578125" style="62" customWidth="1"/>
    <col min="4" max="4" width="13.42578125" style="62" customWidth="1"/>
    <col min="5" max="5" width="20" style="62" customWidth="1"/>
    <col min="6" max="16384" width="9.140625" style="62"/>
  </cols>
  <sheetData>
    <row r="1" spans="1:5" ht="19.5">
      <c r="A1" s="74" t="s">
        <v>68</v>
      </c>
    </row>
    <row r="3" spans="1:5" ht="15" thickBot="1"/>
    <row r="4" spans="1:5" s="93" customFormat="1" ht="24" customHeight="1" thickBot="1">
      <c r="A4" s="90" t="s">
        <v>69</v>
      </c>
      <c r="B4" s="94"/>
      <c r="C4" s="92"/>
      <c r="D4" s="92"/>
      <c r="E4" s="92"/>
    </row>
    <row r="5" spans="1:5">
      <c r="A5" s="63" t="s">
        <v>89</v>
      </c>
      <c r="B5" s="64" t="s">
        <v>2</v>
      </c>
      <c r="C5" s="75" t="s">
        <v>3</v>
      </c>
      <c r="D5" s="75" t="s">
        <v>24</v>
      </c>
      <c r="E5" s="75" t="s">
        <v>75</v>
      </c>
    </row>
    <row r="6" spans="1:5" ht="15" thickBot="1">
      <c r="A6" s="65"/>
      <c r="B6" s="66" t="s">
        <v>26</v>
      </c>
      <c r="C6" s="77" t="s">
        <v>26</v>
      </c>
      <c r="D6" s="203" t="s">
        <v>26</v>
      </c>
      <c r="E6" s="204" t="s">
        <v>74</v>
      </c>
    </row>
    <row r="7" spans="1:5" ht="16.5" customHeight="1">
      <c r="A7" s="67" t="s">
        <v>4</v>
      </c>
      <c r="B7" s="68">
        <v>0</v>
      </c>
      <c r="C7" s="78">
        <v>32850</v>
      </c>
      <c r="D7" s="78">
        <f>B7+C7</f>
        <v>32850</v>
      </c>
      <c r="E7" s="78">
        <f>B7*Emissionsfaktorer!$D$11/1000000+C7*Emissionsfaktorer!$D$12/1000000</f>
        <v>78.84</v>
      </c>
    </row>
    <row r="8" spans="1:5" ht="16.5" customHeight="1" thickBot="1">
      <c r="A8" s="69" t="s">
        <v>72</v>
      </c>
      <c r="B8" s="70">
        <v>89545</v>
      </c>
      <c r="C8" s="80">
        <v>1695</v>
      </c>
      <c r="D8" s="78">
        <f>B8+C8</f>
        <v>91240</v>
      </c>
      <c r="E8" s="78">
        <f>B8*Emissionsfaktorer!$D$11/1000000+C8*Emissionsfaktorer!$D$12/1000000</f>
        <v>241.36225000000002</v>
      </c>
    </row>
    <row r="9" spans="1:5" ht="16.5" customHeight="1" thickBot="1">
      <c r="A9" s="71" t="s">
        <v>24</v>
      </c>
      <c r="B9" s="72">
        <f>SUM(B7:B8)</f>
        <v>89545</v>
      </c>
      <c r="C9" s="82">
        <f>SUM(C7:C8)</f>
        <v>34545</v>
      </c>
      <c r="D9" s="82">
        <f>SUM(D7:D8)</f>
        <v>124090</v>
      </c>
      <c r="E9" s="114"/>
    </row>
    <row r="10" spans="1:5" ht="16.5" customHeight="1" thickBot="1">
      <c r="A10" s="88" t="s">
        <v>67</v>
      </c>
      <c r="B10" s="72">
        <f>B9*Emissionsfaktorer!D11/1000000</f>
        <v>237.29425000000001</v>
      </c>
      <c r="C10" s="89">
        <f>C9*Emissionsfaktorer!D12/1000000</f>
        <v>82.908000000000001</v>
      </c>
      <c r="D10" s="113">
        <f>D9*Emissionsfaktorer!E12/1000000</f>
        <v>0</v>
      </c>
      <c r="E10" s="89">
        <f>B10+C10</f>
        <v>320.20224999999999</v>
      </c>
    </row>
    <row r="11" spans="1:5">
      <c r="A11" s="84"/>
      <c r="B11" s="73"/>
      <c r="C11" s="83"/>
    </row>
    <row r="12" spans="1:5" ht="15" thickBot="1">
      <c r="B12" s="85"/>
    </row>
    <row r="13" spans="1:5" s="93" customFormat="1" ht="21" customHeight="1" thickBot="1">
      <c r="A13" s="90" t="s">
        <v>70</v>
      </c>
      <c r="B13" s="91"/>
      <c r="C13" s="92"/>
    </row>
    <row r="14" spans="1:5" s="6" customFormat="1" ht="28.5">
      <c r="A14" s="97" t="s">
        <v>5</v>
      </c>
      <c r="B14" s="21" t="s">
        <v>71</v>
      </c>
      <c r="C14" s="23" t="s">
        <v>90</v>
      </c>
      <c r="D14" s="61"/>
    </row>
    <row r="15" spans="1:5" ht="15" thickBot="1">
      <c r="A15" s="98"/>
      <c r="B15" s="86" t="s">
        <v>6</v>
      </c>
      <c r="C15" s="99" t="s">
        <v>7</v>
      </c>
      <c r="D15" s="87"/>
    </row>
    <row r="16" spans="1:5" ht="20.25" customHeight="1" thickBot="1">
      <c r="A16" s="71" t="s">
        <v>121</v>
      </c>
      <c r="B16" s="95">
        <v>243089</v>
      </c>
      <c r="C16" s="96">
        <f>B16/Emissionsfaktorer!D22</f>
        <v>71078.654970760239</v>
      </c>
      <c r="D16" s="81"/>
    </row>
    <row r="17" spans="1:3" ht="20.25" customHeight="1" thickBot="1">
      <c r="A17" s="88" t="s">
        <v>67</v>
      </c>
      <c r="B17" s="115"/>
      <c r="C17" s="89">
        <f>C16*Emissionsfaktorer!D17/1000000</f>
        <v>9.2402251461988314</v>
      </c>
    </row>
    <row r="19" spans="1:3" ht="15" thickBot="1"/>
    <row r="20" spans="1:3" ht="20.25" customHeight="1" thickBot="1">
      <c r="A20" s="90" t="s">
        <v>162</v>
      </c>
      <c r="B20" s="91"/>
      <c r="C20" s="92"/>
    </row>
    <row r="21" spans="1:3" ht="28.5">
      <c r="A21" s="97" t="s">
        <v>162</v>
      </c>
      <c r="B21" s="21" t="s">
        <v>163</v>
      </c>
      <c r="C21" s="23" t="s">
        <v>90</v>
      </c>
    </row>
    <row r="22" spans="1:3" ht="15" thickBot="1">
      <c r="A22" s="98"/>
      <c r="B22" s="86" t="s">
        <v>6</v>
      </c>
      <c r="C22" s="99" t="s">
        <v>7</v>
      </c>
    </row>
    <row r="23" spans="1:3" ht="15" thickBot="1">
      <c r="A23" s="71" t="s">
        <v>162</v>
      </c>
      <c r="B23" s="95">
        <v>82358</v>
      </c>
      <c r="C23" s="96">
        <f>B23/Emissionsfaktorer!D23</f>
        <v>8283.0642698048832</v>
      </c>
    </row>
    <row r="24" spans="1:3" ht="15" thickBot="1">
      <c r="A24" s="88" t="s">
        <v>67</v>
      </c>
      <c r="B24" s="115"/>
      <c r="C24" s="89">
        <f>C23*Emissionsfaktorer!D18/1000000</f>
        <v>2.4849192809414649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"/>
  <sheetViews>
    <sheetView workbookViewId="0">
      <selection activeCell="N12" sqref="N12"/>
    </sheetView>
  </sheetViews>
  <sheetFormatPr defaultRowHeight="14.25"/>
  <cols>
    <col min="1" max="1" width="57" style="62" customWidth="1"/>
    <col min="2" max="2" width="32.85546875" style="62" customWidth="1"/>
    <col min="3" max="3" width="21.28515625" style="62" customWidth="1"/>
    <col min="4" max="4" width="9.140625" style="62"/>
    <col min="5" max="5" width="10.7109375" style="62" bestFit="1" customWidth="1"/>
    <col min="6" max="16384" width="9.140625" style="62"/>
  </cols>
  <sheetData>
    <row r="1" spans="1:4" ht="19.5">
      <c r="A1" s="74" t="s">
        <v>78</v>
      </c>
    </row>
    <row r="2" spans="1:4" ht="15" thickBot="1"/>
    <row r="3" spans="1:4" s="93" customFormat="1" ht="15" thickBot="1">
      <c r="A3" s="147" t="s">
        <v>79</v>
      </c>
      <c r="B3" s="148"/>
      <c r="C3" s="149"/>
    </row>
    <row r="4" spans="1:4">
      <c r="A4" s="145" t="s">
        <v>80</v>
      </c>
      <c r="B4" s="146" t="s">
        <v>14</v>
      </c>
      <c r="C4" s="169" t="s">
        <v>13</v>
      </c>
      <c r="D4" s="76"/>
    </row>
    <row r="5" spans="1:4">
      <c r="A5" s="67" t="s">
        <v>81</v>
      </c>
      <c r="B5" s="108">
        <v>6.2</v>
      </c>
      <c r="C5" s="170" t="s">
        <v>85</v>
      </c>
      <c r="D5" s="79"/>
    </row>
    <row r="6" spans="1:4">
      <c r="A6" s="67" t="s">
        <v>110</v>
      </c>
      <c r="B6" s="68" t="s">
        <v>133</v>
      </c>
      <c r="C6" s="170" t="s">
        <v>83</v>
      </c>
      <c r="D6" s="79"/>
    </row>
    <row r="7" spans="1:4">
      <c r="A7" s="67" t="s">
        <v>134</v>
      </c>
      <c r="B7" s="107">
        <v>2009</v>
      </c>
      <c r="C7" s="170" t="s">
        <v>84</v>
      </c>
      <c r="D7" s="79"/>
    </row>
    <row r="8" spans="1:4">
      <c r="A8" s="67" t="s">
        <v>135</v>
      </c>
      <c r="B8" s="205">
        <v>20</v>
      </c>
      <c r="C8" s="170" t="s">
        <v>136</v>
      </c>
      <c r="D8" s="79"/>
    </row>
    <row r="9" spans="1:4">
      <c r="A9" s="67" t="s">
        <v>146</v>
      </c>
      <c r="B9" s="68">
        <v>2300</v>
      </c>
      <c r="C9" s="170" t="s">
        <v>129</v>
      </c>
      <c r="D9" s="79"/>
    </row>
    <row r="10" spans="1:4">
      <c r="A10" s="67" t="s">
        <v>104</v>
      </c>
      <c r="B10" s="68">
        <f>B5*B9</f>
        <v>14260</v>
      </c>
      <c r="C10" s="170" t="s">
        <v>105</v>
      </c>
      <c r="D10" s="79"/>
    </row>
    <row r="11" spans="1:4" ht="15" thickBot="1">
      <c r="A11" s="69"/>
      <c r="B11" s="106"/>
      <c r="C11" s="171"/>
      <c r="D11" s="81"/>
    </row>
    <row r="12" spans="1:4" ht="19.5" customHeight="1" thickBot="1">
      <c r="A12" s="88" t="s">
        <v>112</v>
      </c>
      <c r="B12" s="72">
        <f>B10*500/1000</f>
        <v>7130</v>
      </c>
      <c r="C12" s="172" t="s">
        <v>111</v>
      </c>
    </row>
    <row r="13" spans="1:4">
      <c r="A13" s="184" t="s">
        <v>147</v>
      </c>
      <c r="B13" s="73"/>
      <c r="C13" s="83"/>
    </row>
    <row r="14" spans="1:4">
      <c r="B14" s="83"/>
      <c r="C14" s="83"/>
    </row>
    <row r="15" spans="1:4" ht="15" thickBot="1"/>
    <row r="16" spans="1:4" s="93" customFormat="1" ht="15" thickBot="1">
      <c r="A16" s="147" t="s">
        <v>106</v>
      </c>
      <c r="B16" s="148"/>
      <c r="C16" s="149"/>
    </row>
    <row r="17" spans="1:4">
      <c r="A17" s="145" t="s">
        <v>80</v>
      </c>
      <c r="B17" s="146" t="s">
        <v>14</v>
      </c>
      <c r="C17" s="169" t="s">
        <v>13</v>
      </c>
      <c r="D17" s="76"/>
    </row>
    <row r="18" spans="1:4">
      <c r="A18" s="67" t="s">
        <v>107</v>
      </c>
      <c r="B18" s="108">
        <v>3</v>
      </c>
      <c r="C18" s="170" t="s">
        <v>108</v>
      </c>
      <c r="D18" s="79"/>
    </row>
    <row r="19" spans="1:4">
      <c r="A19" s="67" t="s">
        <v>144</v>
      </c>
      <c r="B19" s="68" t="s">
        <v>132</v>
      </c>
      <c r="C19" s="170" t="s">
        <v>83</v>
      </c>
      <c r="D19" s="79"/>
    </row>
    <row r="20" spans="1:4">
      <c r="A20" s="67" t="s">
        <v>82</v>
      </c>
      <c r="B20" s="107">
        <v>2010</v>
      </c>
      <c r="C20" s="170" t="s">
        <v>84</v>
      </c>
      <c r="D20" s="79"/>
    </row>
    <row r="21" spans="1:4">
      <c r="A21" s="67" t="s">
        <v>137</v>
      </c>
      <c r="B21" s="107">
        <v>50</v>
      </c>
      <c r="C21" s="170" t="s">
        <v>136</v>
      </c>
      <c r="D21" s="79"/>
    </row>
    <row r="22" spans="1:4">
      <c r="A22" s="67" t="s">
        <v>130</v>
      </c>
      <c r="B22" s="108">
        <v>10</v>
      </c>
      <c r="C22" s="170" t="s">
        <v>131</v>
      </c>
      <c r="D22" s="79"/>
    </row>
    <row r="23" spans="1:4">
      <c r="A23" s="67" t="s">
        <v>109</v>
      </c>
      <c r="B23" s="68">
        <f>B18*B22</f>
        <v>30</v>
      </c>
      <c r="C23" s="170" t="s">
        <v>111</v>
      </c>
      <c r="D23" s="79"/>
    </row>
    <row r="24" spans="1:4" ht="15" thickBot="1">
      <c r="A24" s="69"/>
      <c r="B24" s="106"/>
      <c r="C24" s="171"/>
      <c r="D24" s="81"/>
    </row>
    <row r="25" spans="1:4" ht="19.5" customHeight="1" thickBot="1">
      <c r="A25" s="88" t="s">
        <v>112</v>
      </c>
      <c r="B25" s="72">
        <f>B23</f>
        <v>30</v>
      </c>
      <c r="C25" s="172" t="s">
        <v>111</v>
      </c>
    </row>
    <row r="26" spans="1:4">
      <c r="A26" s="184" t="s">
        <v>145</v>
      </c>
      <c r="B26" s="73"/>
      <c r="C26" s="83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workbookViewId="0">
      <selection activeCell="G27" sqref="G27"/>
    </sheetView>
  </sheetViews>
  <sheetFormatPr defaultRowHeight="14.25"/>
  <cols>
    <col min="1" max="1" width="54.42578125" style="7" customWidth="1"/>
    <col min="2" max="2" width="11.28515625" style="7" bestFit="1" customWidth="1"/>
    <col min="3" max="3" width="10.5703125" style="7" customWidth="1"/>
    <col min="4" max="4" width="12.42578125" style="7" customWidth="1"/>
    <col min="5" max="5" width="9.140625" style="7"/>
    <col min="6" max="6" width="15.5703125" style="7" bestFit="1" customWidth="1"/>
    <col min="7" max="9" width="15.85546875" style="7" customWidth="1"/>
    <col min="10" max="12" width="9.140625" style="7"/>
    <col min="13" max="13" width="52.5703125" style="7" bestFit="1" customWidth="1"/>
    <col min="14" max="14" width="6.140625" style="7" bestFit="1" customWidth="1"/>
    <col min="15" max="15" width="5.5703125" style="7" bestFit="1" customWidth="1"/>
    <col min="16" max="16" width="7.85546875" style="7" bestFit="1" customWidth="1"/>
    <col min="17" max="17" width="9.140625" style="7"/>
    <col min="18" max="19" width="6.140625" style="7" bestFit="1" customWidth="1"/>
    <col min="20" max="21" width="9.140625" style="7"/>
    <col min="22" max="22" width="5.5703125" style="7" bestFit="1" customWidth="1"/>
    <col min="23" max="23" width="6.140625" style="7" bestFit="1" customWidth="1"/>
    <col min="24" max="24" width="7" style="7" bestFit="1" customWidth="1"/>
    <col min="25" max="16384" width="9.140625" style="7"/>
  </cols>
  <sheetData>
    <row r="1" spans="1:17" ht="22.5">
      <c r="A1" s="144" t="s">
        <v>117</v>
      </c>
    </row>
    <row r="2" spans="1:17" ht="19.5">
      <c r="A2" s="44"/>
    </row>
    <row r="3" spans="1:17" s="140" customFormat="1" ht="18">
      <c r="A3" s="140" t="s">
        <v>122</v>
      </c>
      <c r="B3" s="141"/>
      <c r="C3" s="142"/>
      <c r="L3" s="143"/>
      <c r="M3" s="143"/>
      <c r="N3" s="143"/>
      <c r="O3" s="143"/>
      <c r="P3" s="143"/>
      <c r="Q3" s="143"/>
    </row>
    <row r="4" spans="1:17" s="6" customFormat="1" ht="15" thickBot="1">
      <c r="B4" s="10"/>
      <c r="C4" s="11"/>
      <c r="L4" s="40"/>
      <c r="M4" s="40"/>
      <c r="N4" s="40"/>
      <c r="O4" s="40"/>
      <c r="P4" s="40"/>
      <c r="Q4" s="40"/>
    </row>
    <row r="5" spans="1:17" s="62" customFormat="1" ht="18.75" customHeight="1">
      <c r="A5" s="240" t="s">
        <v>93</v>
      </c>
      <c r="B5" s="234" t="s">
        <v>20</v>
      </c>
      <c r="C5" s="235"/>
      <c r="D5" s="235"/>
      <c r="E5" s="235"/>
      <c r="F5" s="235"/>
      <c r="G5" s="230" t="s">
        <v>126</v>
      </c>
      <c r="L5" s="84"/>
      <c r="M5" s="127"/>
      <c r="N5" s="128"/>
      <c r="O5" s="128"/>
      <c r="P5" s="128"/>
      <c r="Q5" s="84"/>
    </row>
    <row r="6" spans="1:17" s="62" customFormat="1" ht="18.75" customHeight="1" thickBot="1">
      <c r="A6" s="241"/>
      <c r="B6" s="237" t="s">
        <v>12</v>
      </c>
      <c r="C6" s="238"/>
      <c r="D6" s="238"/>
      <c r="E6" s="238"/>
      <c r="F6" s="238"/>
      <c r="G6" s="231"/>
      <c r="L6" s="84"/>
      <c r="M6" s="127"/>
      <c r="N6" s="128"/>
      <c r="O6" s="128"/>
      <c r="P6" s="128"/>
      <c r="Q6" s="84"/>
    </row>
    <row r="7" spans="1:17" s="62" customFormat="1" ht="18.75" customHeight="1">
      <c r="A7" s="224" t="s">
        <v>21</v>
      </c>
      <c r="B7" s="225">
        <v>2008</v>
      </c>
      <c r="C7" s="226" t="s">
        <v>114</v>
      </c>
      <c r="D7" s="214">
        <v>2009</v>
      </c>
      <c r="E7" s="227" t="s">
        <v>113</v>
      </c>
      <c r="F7" s="228" t="s">
        <v>22</v>
      </c>
      <c r="G7" s="228" t="s">
        <v>120</v>
      </c>
      <c r="L7" s="84"/>
      <c r="M7" s="125"/>
      <c r="N7" s="126"/>
      <c r="O7" s="126"/>
      <c r="P7" s="126"/>
      <c r="Q7" s="84"/>
    </row>
    <row r="8" spans="1:17" s="62" customFormat="1" ht="18.75" customHeight="1">
      <c r="A8" s="220" t="s">
        <v>102</v>
      </c>
      <c r="B8" s="221">
        <f>SUM(B9:B16)</f>
        <v>4214</v>
      </c>
      <c r="C8" s="221">
        <v>5403</v>
      </c>
      <c r="D8" s="221">
        <f>SUM(D9:D16)</f>
        <v>4127.7165449999993</v>
      </c>
      <c r="E8" s="221">
        <f>'Bygn el og varmeforbrug mm'!L43</f>
        <v>5268.6037449999994</v>
      </c>
      <c r="F8" s="222">
        <f>(D8-B8)/B8</f>
        <v>-2.047542833412451E-2</v>
      </c>
      <c r="G8" s="223">
        <f>(E8-C8)/C8</f>
        <v>-2.487437627244134E-2</v>
      </c>
      <c r="L8" s="84"/>
      <c r="M8" s="125"/>
      <c r="N8" s="130"/>
      <c r="O8" s="130"/>
      <c r="P8" s="131"/>
      <c r="Q8" s="84"/>
    </row>
    <row r="9" spans="1:17" s="62" customFormat="1" ht="18.75" customHeight="1">
      <c r="A9" s="132" t="s">
        <v>94</v>
      </c>
      <c r="B9" s="133">
        <v>402</v>
      </c>
      <c r="C9" s="217"/>
      <c r="D9" s="133">
        <f>'Bygn el og varmeforbrug mm'!L10</f>
        <v>378.87326000000002</v>
      </c>
      <c r="E9" s="217"/>
      <c r="F9" s="134">
        <f t="shared" ref="F9:F20" si="0">(D9-B9)/B9</f>
        <v>-5.7529203980099461E-2</v>
      </c>
      <c r="G9" s="218"/>
      <c r="I9" s="135"/>
      <c r="L9" s="84"/>
      <c r="M9" s="125"/>
      <c r="N9" s="130"/>
      <c r="O9" s="130"/>
      <c r="P9" s="131"/>
      <c r="Q9" s="84"/>
    </row>
    <row r="10" spans="1:17" s="62" customFormat="1" ht="18.75" customHeight="1">
      <c r="A10" s="132" t="s">
        <v>95</v>
      </c>
      <c r="B10" s="133">
        <v>1480</v>
      </c>
      <c r="C10" s="217"/>
      <c r="D10" s="133">
        <f>'Bygn el og varmeforbrug mm'!L13</f>
        <v>1368.32521</v>
      </c>
      <c r="E10" s="217"/>
      <c r="F10" s="134">
        <f t="shared" si="0"/>
        <v>-7.5455939189189206E-2</v>
      </c>
      <c r="G10" s="218"/>
      <c r="L10" s="84"/>
      <c r="M10" s="125"/>
      <c r="N10" s="130"/>
      <c r="O10" s="130"/>
      <c r="P10" s="130"/>
      <c r="Q10" s="84"/>
    </row>
    <row r="11" spans="1:17" s="62" customFormat="1" ht="18.75" customHeight="1">
      <c r="A11" s="132" t="s">
        <v>96</v>
      </c>
      <c r="B11" s="133">
        <v>389</v>
      </c>
      <c r="C11" s="217"/>
      <c r="D11" s="133">
        <f>'Bygn el og varmeforbrug mm'!L17</f>
        <v>382.83454999999998</v>
      </c>
      <c r="E11" s="217"/>
      <c r="F11" s="134">
        <f t="shared" si="0"/>
        <v>-1.5849485861182573E-2</v>
      </c>
      <c r="G11" s="218"/>
      <c r="L11" s="84"/>
      <c r="M11" s="125"/>
      <c r="N11" s="130"/>
      <c r="O11" s="130"/>
      <c r="P11" s="130"/>
      <c r="Q11" s="84"/>
    </row>
    <row r="12" spans="1:17" s="62" customFormat="1" ht="18.75" customHeight="1">
      <c r="A12" s="132" t="s">
        <v>97</v>
      </c>
      <c r="B12" s="133">
        <v>90</v>
      </c>
      <c r="C12" s="217"/>
      <c r="D12" s="133">
        <f>'Bygn el og varmeforbrug mm'!L21</f>
        <v>85.878770000000003</v>
      </c>
      <c r="E12" s="217"/>
      <c r="F12" s="134">
        <f t="shared" si="0"/>
        <v>-4.5791444444444412E-2</v>
      </c>
      <c r="G12" s="218"/>
      <c r="L12" s="84"/>
      <c r="M12" s="125"/>
      <c r="N12" s="130"/>
      <c r="O12" s="130"/>
      <c r="P12" s="131"/>
      <c r="Q12" s="84"/>
    </row>
    <row r="13" spans="1:17" s="62" customFormat="1" ht="18.75" customHeight="1">
      <c r="A13" s="132" t="s">
        <v>98</v>
      </c>
      <c r="B13" s="133">
        <v>874</v>
      </c>
      <c r="C13" s="217"/>
      <c r="D13" s="133">
        <f>'Bygn el og varmeforbrug mm'!L24</f>
        <v>909.24907499999995</v>
      </c>
      <c r="E13" s="217"/>
      <c r="F13" s="134">
        <f t="shared" si="0"/>
        <v>4.0330749427917562E-2</v>
      </c>
      <c r="G13" s="218"/>
      <c r="L13" s="84"/>
      <c r="M13" s="125"/>
      <c r="N13" s="130"/>
      <c r="O13" s="130"/>
      <c r="P13" s="130"/>
      <c r="Q13" s="84"/>
    </row>
    <row r="14" spans="1:17" s="62" customFormat="1" ht="18.75" customHeight="1">
      <c r="A14" s="132" t="s">
        <v>99</v>
      </c>
      <c r="B14" s="133">
        <v>51</v>
      </c>
      <c r="C14" s="217"/>
      <c r="D14" s="133">
        <f>'Bygn el og varmeforbrug mm'!L28</f>
        <v>55.26923</v>
      </c>
      <c r="E14" s="217"/>
      <c r="F14" s="134">
        <f t="shared" si="0"/>
        <v>8.3710392156862753E-2</v>
      </c>
      <c r="G14" s="218"/>
      <c r="L14" s="84"/>
      <c r="M14" s="125"/>
      <c r="N14" s="130"/>
      <c r="O14" s="130"/>
      <c r="P14" s="130"/>
      <c r="Q14" s="84"/>
    </row>
    <row r="15" spans="1:17" s="62" customFormat="1" ht="18.75" customHeight="1">
      <c r="A15" s="132" t="s">
        <v>100</v>
      </c>
      <c r="B15" s="133">
        <v>323</v>
      </c>
      <c r="C15" s="217"/>
      <c r="D15" s="133">
        <f>'Bygn el og varmeforbrug mm'!L30</f>
        <v>327.47627999999997</v>
      </c>
      <c r="E15" s="217"/>
      <c r="F15" s="134">
        <f t="shared" si="0"/>
        <v>1.3858452012383822E-2</v>
      </c>
      <c r="G15" s="218"/>
      <c r="I15" s="229"/>
      <c r="L15" s="84"/>
      <c r="M15" s="125"/>
      <c r="N15" s="130"/>
      <c r="O15" s="130"/>
      <c r="P15" s="131"/>
      <c r="Q15" s="84"/>
    </row>
    <row r="16" spans="1:17" s="62" customFormat="1" ht="18.75" customHeight="1">
      <c r="A16" s="132" t="s">
        <v>101</v>
      </c>
      <c r="B16" s="133">
        <v>605</v>
      </c>
      <c r="C16" s="217"/>
      <c r="D16" s="133">
        <f>'Bygn el og varmeforbrug mm'!L33</f>
        <v>619.81016999999997</v>
      </c>
      <c r="E16" s="217"/>
      <c r="F16" s="134">
        <f t="shared" si="0"/>
        <v>2.4479619834710697E-2</v>
      </c>
      <c r="G16" s="218"/>
      <c r="L16" s="84"/>
      <c r="M16" s="125"/>
      <c r="N16" s="130"/>
      <c r="O16" s="130"/>
      <c r="P16" s="131"/>
      <c r="Q16" s="84"/>
    </row>
    <row r="17" spans="1:17" s="62" customFormat="1" ht="18.75" customHeight="1">
      <c r="A17" s="220" t="s">
        <v>23</v>
      </c>
      <c r="B17" s="221">
        <f>SUM(B18:B21)</f>
        <v>325.48</v>
      </c>
      <c r="C17" s="221">
        <f>B17</f>
        <v>325.48</v>
      </c>
      <c r="D17" s="221">
        <f>SUM(D18:D21)</f>
        <v>331.92739442714037</v>
      </c>
      <c r="E17" s="221">
        <f>D17</f>
        <v>331.92739442714037</v>
      </c>
      <c r="F17" s="222">
        <f>(D17-B17)/B17</f>
        <v>1.9808880506145852E-2</v>
      </c>
      <c r="G17" s="223">
        <f>(E17-C17)/C17</f>
        <v>1.9808880506145852E-2</v>
      </c>
      <c r="L17" s="84"/>
      <c r="M17" s="127"/>
      <c r="N17" s="126"/>
      <c r="O17" s="126"/>
      <c r="P17" s="126"/>
      <c r="Q17" s="84"/>
    </row>
    <row r="18" spans="1:17" s="62" customFormat="1" ht="18.75" customHeight="1">
      <c r="A18" s="132" t="s">
        <v>115</v>
      </c>
      <c r="B18" s="133">
        <v>85</v>
      </c>
      <c r="C18" s="217"/>
      <c r="D18" s="133">
        <f>Transport!E7</f>
        <v>78.84</v>
      </c>
      <c r="E18" s="217"/>
      <c r="F18" s="134">
        <f t="shared" si="0"/>
        <v>-7.2470588235294078E-2</v>
      </c>
      <c r="G18" s="218"/>
      <c r="L18" s="84"/>
      <c r="M18" s="127"/>
      <c r="N18" s="126"/>
      <c r="O18" s="126"/>
      <c r="P18" s="136"/>
      <c r="Q18" s="84"/>
    </row>
    <row r="19" spans="1:17" s="62" customFormat="1" ht="18.75" customHeight="1">
      <c r="A19" s="132" t="s">
        <v>116</v>
      </c>
      <c r="B19" s="133">
        <v>225</v>
      </c>
      <c r="C19" s="217"/>
      <c r="D19" s="133">
        <f>Transport!E8</f>
        <v>241.36225000000002</v>
      </c>
      <c r="E19" s="217"/>
      <c r="F19" s="134">
        <f t="shared" si="0"/>
        <v>7.2721111111111195E-2</v>
      </c>
      <c r="G19" s="218"/>
      <c r="L19" s="84"/>
      <c r="M19" s="84"/>
      <c r="N19" s="84"/>
      <c r="O19" s="84"/>
      <c r="P19" s="84"/>
      <c r="Q19" s="84"/>
    </row>
    <row r="20" spans="1:17" s="62" customFormat="1" ht="18.75" customHeight="1">
      <c r="A20" s="132" t="s">
        <v>119</v>
      </c>
      <c r="B20" s="133">
        <v>13</v>
      </c>
      <c r="C20" s="217"/>
      <c r="D20" s="133">
        <f>Transport!C17</f>
        <v>9.2402251461988314</v>
      </c>
      <c r="E20" s="217"/>
      <c r="F20" s="134">
        <f t="shared" si="0"/>
        <v>-0.28921345029239759</v>
      </c>
      <c r="G20" s="218"/>
      <c r="L20" s="84"/>
      <c r="M20" s="84"/>
      <c r="N20" s="84"/>
      <c r="O20" s="84"/>
      <c r="P20" s="84"/>
      <c r="Q20" s="84"/>
    </row>
    <row r="21" spans="1:17" s="62" customFormat="1" ht="18.75" customHeight="1">
      <c r="A21" s="193" t="s">
        <v>168</v>
      </c>
      <c r="B21" s="133">
        <v>2.48</v>
      </c>
      <c r="C21" s="217"/>
      <c r="D21" s="133">
        <f>Transport!C24</f>
        <v>2.4849192809414649</v>
      </c>
      <c r="E21" s="217"/>
      <c r="F21" s="134">
        <f t="shared" ref="F21" si="1">(D21-B21)/B21</f>
        <v>1.9835810247842245E-3</v>
      </c>
      <c r="G21" s="218"/>
      <c r="L21" s="84"/>
      <c r="M21" s="84"/>
      <c r="N21" s="84"/>
      <c r="O21" s="84"/>
      <c r="P21" s="84"/>
      <c r="Q21" s="84"/>
    </row>
    <row r="22" spans="1:17" s="62" customFormat="1" ht="18.75" customHeight="1">
      <c r="A22" s="220" t="s">
        <v>173</v>
      </c>
      <c r="B22" s="221">
        <f>SUM(B23:B26)</f>
        <v>958</v>
      </c>
      <c r="C22" s="221">
        <f>B22</f>
        <v>958</v>
      </c>
      <c r="D22" s="221">
        <f>SUM(D23:D26)</f>
        <v>940.97508000000005</v>
      </c>
      <c r="E22" s="221">
        <f>D22</f>
        <v>940.97508000000005</v>
      </c>
      <c r="F22" s="222">
        <f>(D22-B22)/B22</f>
        <v>-1.7771315240083456E-2</v>
      </c>
      <c r="G22" s="223">
        <f>(E22-C22)/C22</f>
        <v>-1.7771315240083456E-2</v>
      </c>
      <c r="L22" s="84"/>
      <c r="M22" s="84"/>
      <c r="N22" s="84"/>
      <c r="O22" s="84"/>
      <c r="P22" s="84"/>
      <c r="Q22" s="84"/>
    </row>
    <row r="23" spans="1:17" s="62" customFormat="1" ht="18.75" customHeight="1">
      <c r="A23" s="193" t="s">
        <v>175</v>
      </c>
      <c r="B23" s="133"/>
      <c r="C23" s="217"/>
      <c r="D23" s="133"/>
      <c r="E23" s="217"/>
      <c r="F23" s="134"/>
      <c r="G23" s="218"/>
      <c r="L23" s="84"/>
      <c r="M23" s="84"/>
      <c r="N23" s="84"/>
      <c r="O23" s="84"/>
      <c r="P23" s="84"/>
      <c r="Q23" s="84"/>
    </row>
    <row r="24" spans="1:17" s="62" customFormat="1" ht="18.75" customHeight="1">
      <c r="A24" s="193" t="s">
        <v>178</v>
      </c>
      <c r="B24" s="133">
        <v>958</v>
      </c>
      <c r="C24" s="217"/>
      <c r="D24" s="133">
        <f>'Bygn el og varmeforbrug mm'!L36</f>
        <v>940.97508000000005</v>
      </c>
      <c r="E24" s="217"/>
      <c r="F24" s="134">
        <f t="shared" ref="F24" si="2">(D24-B24)/B24</f>
        <v>-1.7771315240083456E-2</v>
      </c>
      <c r="G24" s="218"/>
      <c r="L24" s="84"/>
      <c r="M24" s="84"/>
      <c r="N24" s="84"/>
      <c r="O24" s="84"/>
      <c r="P24" s="84"/>
      <c r="Q24" s="84"/>
    </row>
    <row r="25" spans="1:17" s="62" customFormat="1" ht="18.75" customHeight="1">
      <c r="A25" s="193" t="s">
        <v>176</v>
      </c>
      <c r="B25" s="133"/>
      <c r="C25" s="217"/>
      <c r="D25" s="133"/>
      <c r="E25" s="217"/>
      <c r="F25" s="134"/>
      <c r="G25" s="218"/>
      <c r="L25" s="84"/>
      <c r="M25" s="84"/>
      <c r="N25" s="84"/>
      <c r="O25" s="84"/>
      <c r="P25" s="84"/>
      <c r="Q25" s="84"/>
    </row>
    <row r="26" spans="1:17" s="62" customFormat="1" ht="18.75" customHeight="1" thickBot="1">
      <c r="A26" s="193" t="s">
        <v>174</v>
      </c>
      <c r="B26" s="133"/>
      <c r="C26" s="217"/>
      <c r="D26" s="133"/>
      <c r="E26" s="217"/>
      <c r="F26" s="134"/>
      <c r="G26" s="219"/>
      <c r="L26" s="84"/>
      <c r="M26" s="84"/>
      <c r="N26" s="84"/>
      <c r="O26" s="84"/>
      <c r="P26" s="84"/>
      <c r="Q26" s="84"/>
    </row>
    <row r="27" spans="1:17" s="62" customFormat="1" ht="18.75" customHeight="1" thickBot="1">
      <c r="A27" s="137" t="s">
        <v>24</v>
      </c>
      <c r="B27" s="138">
        <f>B8+B17+B22</f>
        <v>5497.48</v>
      </c>
      <c r="C27" s="138">
        <f>C8+C17+C22</f>
        <v>6686.48</v>
      </c>
      <c r="D27" s="138">
        <f>D8+D17+D22</f>
        <v>5400.6190194271403</v>
      </c>
      <c r="E27" s="138">
        <f>E8+E17+E22</f>
        <v>6541.5062194271395</v>
      </c>
      <c r="F27" s="139">
        <f>(D27-B27)/B27</f>
        <v>-1.7619160155718488E-2</v>
      </c>
      <c r="G27" s="139">
        <f>(E27-C27)/C27</f>
        <v>-2.1681629283697858E-2</v>
      </c>
      <c r="L27" s="84"/>
      <c r="M27" s="84"/>
      <c r="N27" s="84"/>
      <c r="O27" s="84"/>
      <c r="P27" s="84"/>
      <c r="Q27" s="84"/>
    </row>
    <row r="28" spans="1:17" s="6" customFormat="1">
      <c r="A28" s="101"/>
      <c r="B28" s="120"/>
      <c r="C28" s="120"/>
      <c r="D28" s="120"/>
      <c r="E28" s="120"/>
      <c r="F28" s="121"/>
      <c r="G28" s="122"/>
      <c r="L28" s="40"/>
      <c r="M28" s="40"/>
      <c r="N28" s="40"/>
      <c r="O28" s="40"/>
      <c r="P28" s="40"/>
      <c r="Q28" s="40"/>
    </row>
    <row r="29" spans="1:17" s="62" customFormat="1" ht="18.75" customHeight="1">
      <c r="A29" s="129"/>
      <c r="B29" s="160" t="s">
        <v>118</v>
      </c>
      <c r="C29" s="161"/>
      <c r="D29" s="161"/>
      <c r="E29" s="161"/>
      <c r="F29" s="162"/>
      <c r="G29" s="163"/>
      <c r="L29" s="84"/>
      <c r="M29" s="84"/>
      <c r="N29" s="84"/>
      <c r="O29" s="84"/>
      <c r="P29" s="84"/>
      <c r="Q29" s="84"/>
    </row>
    <row r="30" spans="1:17" s="62" customFormat="1" ht="18.75" customHeight="1">
      <c r="A30" s="129"/>
      <c r="B30" s="160"/>
      <c r="C30" s="161"/>
      <c r="D30" s="161"/>
      <c r="E30" s="161"/>
      <c r="F30" s="162"/>
      <c r="G30" s="163"/>
      <c r="L30" s="84"/>
      <c r="M30" s="84"/>
      <c r="N30" s="84"/>
      <c r="O30" s="84"/>
      <c r="P30" s="84"/>
      <c r="Q30" s="84"/>
    </row>
    <row r="31" spans="1:17" s="62" customFormat="1" ht="18.75" customHeight="1">
      <c r="A31" s="140" t="s">
        <v>123</v>
      </c>
      <c r="B31" s="160"/>
      <c r="C31" s="161"/>
      <c r="D31" s="161"/>
      <c r="E31" s="161"/>
      <c r="F31" s="162"/>
      <c r="G31" s="163"/>
      <c r="L31" s="84"/>
      <c r="M31" s="84"/>
      <c r="N31" s="84"/>
      <c r="O31" s="84"/>
      <c r="P31" s="84"/>
      <c r="Q31" s="84"/>
    </row>
    <row r="32" spans="1:17" s="62" customFormat="1" ht="18.75" customHeight="1" thickBot="1">
      <c r="A32" s="129"/>
      <c r="B32" s="161"/>
      <c r="C32" s="161"/>
      <c r="D32" s="161"/>
      <c r="E32" s="161"/>
      <c r="F32" s="162"/>
      <c r="G32" s="163"/>
      <c r="L32" s="84"/>
      <c r="M32" s="84"/>
      <c r="N32" s="84"/>
      <c r="O32" s="84"/>
      <c r="P32" s="84"/>
      <c r="Q32" s="84"/>
    </row>
    <row r="33" spans="1:14" s="62" customFormat="1" ht="18.75" customHeight="1">
      <c r="A33" s="240" t="s">
        <v>93</v>
      </c>
      <c r="B33" s="234" t="s">
        <v>125</v>
      </c>
      <c r="C33" s="236"/>
      <c r="D33" s="230" t="s">
        <v>139</v>
      </c>
      <c r="E33" s="173"/>
      <c r="F33" s="232"/>
      <c r="G33" s="234" t="s">
        <v>127</v>
      </c>
      <c r="H33" s="235"/>
      <c r="I33" s="236"/>
      <c r="J33" s="84"/>
      <c r="K33" s="84"/>
      <c r="L33" s="84"/>
      <c r="M33" s="84"/>
      <c r="N33" s="84"/>
    </row>
    <row r="34" spans="1:14" s="62" customFormat="1" ht="18.75" customHeight="1" thickBot="1">
      <c r="A34" s="241"/>
      <c r="B34" s="237"/>
      <c r="C34" s="239"/>
      <c r="D34" s="231"/>
      <c r="E34" s="173"/>
      <c r="F34" s="233"/>
      <c r="G34" s="237"/>
      <c r="H34" s="238"/>
      <c r="I34" s="239"/>
      <c r="J34" s="84"/>
      <c r="K34" s="84"/>
      <c r="L34" s="84"/>
      <c r="M34" s="84"/>
      <c r="N34" s="84"/>
    </row>
    <row r="35" spans="1:14" s="158" customFormat="1" ht="18.75" customHeight="1" thickBot="1">
      <c r="A35" s="150" t="s">
        <v>124</v>
      </c>
      <c r="B35" s="156">
        <v>2008</v>
      </c>
      <c r="C35" s="157">
        <v>2009</v>
      </c>
      <c r="D35" s="194" t="s">
        <v>169</v>
      </c>
      <c r="F35" s="150" t="s">
        <v>124</v>
      </c>
      <c r="G35" s="123" t="s">
        <v>114</v>
      </c>
      <c r="H35" s="123" t="s">
        <v>113</v>
      </c>
      <c r="I35" s="124" t="s">
        <v>120</v>
      </c>
      <c r="J35" s="159"/>
      <c r="K35" s="159"/>
      <c r="L35" s="159"/>
      <c r="M35" s="49"/>
    </row>
    <row r="36" spans="1:14" s="62" customFormat="1" ht="18.75" customHeight="1">
      <c r="A36" s="151" t="s">
        <v>140</v>
      </c>
      <c r="B36" s="152">
        <v>0</v>
      </c>
      <c r="C36" s="155">
        <f>IF($C$35='Andre projekter'!B7,'Andre projekter'!B12,0)</f>
        <v>7130</v>
      </c>
      <c r="D36" s="206">
        <f>IF('Samlet opgørelse'!C36&lt;='Bygn el og varmeforbrug mm'!E43,'Samlet opgørelse'!C36,'Bygn el og varmeforbrug mm'!E43)</f>
        <v>2498.9014999999999</v>
      </c>
      <c r="F36" s="207" t="s">
        <v>170</v>
      </c>
      <c r="G36" s="152">
        <f>C27</f>
        <v>6686.48</v>
      </c>
      <c r="H36" s="155">
        <f>E27</f>
        <v>6541.5062194271395</v>
      </c>
      <c r="I36" s="166">
        <f>G27</f>
        <v>-2.1681629283697858E-2</v>
      </c>
      <c r="J36" s="130"/>
      <c r="K36" s="130"/>
      <c r="L36" s="131"/>
      <c r="M36" s="84"/>
    </row>
    <row r="37" spans="1:14" s="62" customFormat="1" ht="18.75" customHeight="1" thickBot="1">
      <c r="A37" s="154" t="s">
        <v>141</v>
      </c>
      <c r="B37" s="153">
        <v>0</v>
      </c>
      <c r="C37" s="164">
        <f>IF($C$35='Andre projekter'!B20,'Andre projekter'!B25,0)</f>
        <v>0</v>
      </c>
      <c r="D37" s="164">
        <f>C37</f>
        <v>0</v>
      </c>
      <c r="E37" s="135"/>
      <c r="F37" s="208" t="s">
        <v>128</v>
      </c>
      <c r="G37" s="153">
        <f>B38</f>
        <v>0</v>
      </c>
      <c r="H37" s="164">
        <f>D38</f>
        <v>2498.9014999999999</v>
      </c>
      <c r="I37" s="167"/>
      <c r="J37" s="130"/>
      <c r="K37" s="130"/>
      <c r="L37" s="131"/>
      <c r="M37" s="84"/>
    </row>
    <row r="38" spans="1:14" s="62" customFormat="1" ht="18.75" customHeight="1" thickBot="1">
      <c r="A38" s="137" t="s">
        <v>138</v>
      </c>
      <c r="B38" s="138">
        <f>SUM(B36:B37)</f>
        <v>0</v>
      </c>
      <c r="C38" s="164">
        <f>SUM(C36:C37)</f>
        <v>7130</v>
      </c>
      <c r="D38" s="164">
        <f>SUM(D36:D37)</f>
        <v>2498.9014999999999</v>
      </c>
      <c r="F38" s="137" t="s">
        <v>24</v>
      </c>
      <c r="G38" s="165">
        <f>G36-G37</f>
        <v>6686.48</v>
      </c>
      <c r="H38" s="138">
        <f>H36-H37</f>
        <v>4042.6047194271396</v>
      </c>
      <c r="I38" s="168">
        <f>(H38-G38)/G38</f>
        <v>-0.39540614502292093</v>
      </c>
    </row>
    <row r="39" spans="1:14" s="62" customFormat="1" ht="18.75" customHeight="1"/>
  </sheetData>
  <mergeCells count="9">
    <mergeCell ref="G5:G6"/>
    <mergeCell ref="F33:F34"/>
    <mergeCell ref="G33:I34"/>
    <mergeCell ref="A5:A6"/>
    <mergeCell ref="B5:F5"/>
    <mergeCell ref="B6:F6"/>
    <mergeCell ref="A33:A34"/>
    <mergeCell ref="B33:C34"/>
    <mergeCell ref="D33:D34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workbookViewId="0">
      <selection activeCell="D15" sqref="D15"/>
    </sheetView>
  </sheetViews>
  <sheetFormatPr defaultColWidth="18.5703125" defaultRowHeight="14.25"/>
  <cols>
    <col min="1" max="1" width="45.85546875" style="7" customWidth="1"/>
    <col min="2" max="2" width="26.5703125" style="7" customWidth="1"/>
    <col min="3" max="4" width="11.85546875" style="7" customWidth="1"/>
    <col min="5" max="16384" width="18.5703125" style="7"/>
  </cols>
  <sheetData>
    <row r="1" spans="1:4" s="44" customFormat="1" ht="19.5">
      <c r="A1" s="44" t="s">
        <v>60</v>
      </c>
    </row>
    <row r="2" spans="1:4">
      <c r="A2" s="174" t="s">
        <v>142</v>
      </c>
    </row>
    <row r="3" spans="1:4" ht="15" thickBot="1">
      <c r="A3" s="174"/>
    </row>
    <row r="4" spans="1:4" ht="15" thickBot="1">
      <c r="A4" s="176" t="s">
        <v>73</v>
      </c>
      <c r="B4" s="3" t="s">
        <v>31</v>
      </c>
      <c r="C4" s="4" t="s">
        <v>13</v>
      </c>
      <c r="D4" s="177" t="s">
        <v>14</v>
      </c>
    </row>
    <row r="5" spans="1:4">
      <c r="A5" s="178" t="s">
        <v>0</v>
      </c>
      <c r="B5" s="179" t="s">
        <v>15</v>
      </c>
      <c r="C5" s="180" t="s">
        <v>16</v>
      </c>
      <c r="D5" s="181">
        <v>35.9</v>
      </c>
    </row>
    <row r="6" spans="1:4" ht="15" thickBot="1">
      <c r="A6" s="182" t="s">
        <v>1</v>
      </c>
      <c r="B6" s="1" t="s">
        <v>15</v>
      </c>
      <c r="C6" s="5" t="s">
        <v>17</v>
      </c>
      <c r="D6" s="183">
        <v>39.700000000000003</v>
      </c>
    </row>
    <row r="7" spans="1:4" ht="15" thickBot="1">
      <c r="A7" s="2"/>
    </row>
    <row r="8" spans="1:4" ht="15" thickBot="1">
      <c r="A8" s="45" t="s">
        <v>66</v>
      </c>
      <c r="B8" s="209" t="s">
        <v>31</v>
      </c>
      <c r="C8" s="46" t="s">
        <v>13</v>
      </c>
      <c r="D8" s="47" t="s">
        <v>14</v>
      </c>
    </row>
    <row r="9" spans="1:4">
      <c r="A9" s="210" t="s">
        <v>171</v>
      </c>
      <c r="B9" s="49" t="s">
        <v>32</v>
      </c>
      <c r="C9" s="50" t="s">
        <v>18</v>
      </c>
      <c r="D9" s="51">
        <v>460</v>
      </c>
    </row>
    <row r="10" spans="1:4">
      <c r="A10" s="48" t="s">
        <v>10</v>
      </c>
      <c r="B10" s="49" t="s">
        <v>33</v>
      </c>
      <c r="C10" s="50" t="s">
        <v>18</v>
      </c>
      <c r="D10" s="51">
        <v>270</v>
      </c>
    </row>
    <row r="11" spans="1:4">
      <c r="A11" s="48" t="s">
        <v>2</v>
      </c>
      <c r="B11" s="49" t="s">
        <v>15</v>
      </c>
      <c r="C11" s="50" t="s">
        <v>19</v>
      </c>
      <c r="D11" s="51">
        <v>2650</v>
      </c>
    </row>
    <row r="12" spans="1:4">
      <c r="A12" s="48" t="s">
        <v>3</v>
      </c>
      <c r="B12" s="49" t="s">
        <v>15</v>
      </c>
      <c r="C12" s="50" t="s">
        <v>19</v>
      </c>
      <c r="D12" s="51">
        <v>2400</v>
      </c>
    </row>
    <row r="13" spans="1:4">
      <c r="A13" s="48" t="s">
        <v>0</v>
      </c>
      <c r="B13" s="49" t="s">
        <v>15</v>
      </c>
      <c r="C13" s="50" t="s">
        <v>19</v>
      </c>
      <c r="D13" s="51">
        <v>2650</v>
      </c>
    </row>
    <row r="14" spans="1:4" s="190" customFormat="1" ht="15">
      <c r="A14" s="210" t="s">
        <v>1</v>
      </c>
      <c r="B14" s="211" t="s">
        <v>15</v>
      </c>
      <c r="C14" s="212" t="s">
        <v>172</v>
      </c>
      <c r="D14" s="213">
        <v>2245</v>
      </c>
    </row>
    <row r="15" spans="1:4">
      <c r="A15" s="48" t="s">
        <v>62</v>
      </c>
      <c r="B15" s="49" t="s">
        <v>15</v>
      </c>
      <c r="C15" s="52" t="s">
        <v>11</v>
      </c>
      <c r="D15" s="53">
        <v>132</v>
      </c>
    </row>
    <row r="16" spans="1:4">
      <c r="A16" s="48" t="s">
        <v>63</v>
      </c>
      <c r="B16" s="49" t="s">
        <v>15</v>
      </c>
      <c r="C16" s="52" t="s">
        <v>11</v>
      </c>
      <c r="D16" s="53">
        <v>128</v>
      </c>
    </row>
    <row r="17" spans="1:4">
      <c r="A17" s="48" t="s">
        <v>64</v>
      </c>
      <c r="B17" s="49" t="s">
        <v>15</v>
      </c>
      <c r="C17" s="52" t="s">
        <v>11</v>
      </c>
      <c r="D17" s="53">
        <v>130</v>
      </c>
    </row>
    <row r="18" spans="1:4">
      <c r="A18" s="48" t="s">
        <v>166</v>
      </c>
      <c r="B18" s="49" t="s">
        <v>167</v>
      </c>
      <c r="C18" s="52" t="s">
        <v>11</v>
      </c>
      <c r="D18" s="53">
        <v>300</v>
      </c>
    </row>
    <row r="19" spans="1:4" ht="15" thickBot="1">
      <c r="A19" s="54" t="s">
        <v>61</v>
      </c>
      <c r="B19" s="55" t="s">
        <v>15</v>
      </c>
      <c r="C19" s="56" t="s">
        <v>65</v>
      </c>
      <c r="D19" s="57">
        <v>2901</v>
      </c>
    </row>
    <row r="20" spans="1:4" ht="15" thickBot="1">
      <c r="A20" s="49"/>
      <c r="B20" s="49"/>
      <c r="C20" s="52"/>
      <c r="D20" s="175"/>
    </row>
    <row r="21" spans="1:4" ht="15" thickBot="1">
      <c r="A21" s="176" t="s">
        <v>143</v>
      </c>
      <c r="B21" s="3" t="s">
        <v>31</v>
      </c>
      <c r="C21" s="4" t="s">
        <v>13</v>
      </c>
      <c r="D21" s="177" t="s">
        <v>14</v>
      </c>
    </row>
    <row r="22" spans="1:4" ht="15" thickBot="1">
      <c r="A22" s="109" t="s">
        <v>88</v>
      </c>
      <c r="B22" s="110" t="s">
        <v>87</v>
      </c>
      <c r="C22" s="111" t="s">
        <v>86</v>
      </c>
      <c r="D22" s="112">
        <v>3.42</v>
      </c>
    </row>
    <row r="23" spans="1:4" ht="26.25" thickBot="1">
      <c r="A23" s="109" t="s">
        <v>164</v>
      </c>
      <c r="B23" s="191" t="s">
        <v>165</v>
      </c>
      <c r="C23" s="111" t="s">
        <v>86</v>
      </c>
      <c r="D23" s="192">
        <f>204538508/20571233</f>
        <v>9.942938665854399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6</vt:i4>
      </vt:variant>
    </vt:vector>
  </HeadingPairs>
  <TitlesOfParts>
    <vt:vector size="12" baseType="lpstr">
      <vt:lpstr>Introark</vt:lpstr>
      <vt:lpstr>Bygn el og varmeforbrug mm</vt:lpstr>
      <vt:lpstr>Transport</vt:lpstr>
      <vt:lpstr>Andre projekter</vt:lpstr>
      <vt:lpstr>Samlet opgørelse</vt:lpstr>
      <vt:lpstr>Emissionsfaktorer</vt:lpstr>
      <vt:lpstr>'Andre projekter'!Udskriftsområde</vt:lpstr>
      <vt:lpstr>'Bygn el og varmeforbrug mm'!Udskriftsområde</vt:lpstr>
      <vt:lpstr>Emissionsfaktorer!Udskriftsområde</vt:lpstr>
      <vt:lpstr>Introark!Udskriftsområde</vt:lpstr>
      <vt:lpstr>'Samlet opgørelse'!Udskriftsområde</vt:lpstr>
      <vt:lpstr>Transport!Udskriftsområde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cpo</cp:lastModifiedBy>
  <cp:lastPrinted>2012-03-09T14:11:58Z</cp:lastPrinted>
  <dcterms:created xsi:type="dcterms:W3CDTF">2011-04-15T12:33:31Z</dcterms:created>
  <dcterms:modified xsi:type="dcterms:W3CDTF">2012-03-09T14:12:20Z</dcterms:modified>
</cp:coreProperties>
</file>