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dveksling\Alle\Grønt Regnskab\Grønt regnskab 2013\KOMMUNEN SOM GEOGRAFISK OMRÅDE\Energi og Klima\"/>
    </mc:Choice>
  </mc:AlternateContent>
  <bookViews>
    <workbookView xWindow="0" yWindow="225" windowWidth="19320" windowHeight="11520"/>
  </bookViews>
  <sheets>
    <sheet name="resultater 2007-2013" sheetId="3" r:id="rId1"/>
    <sheet name="baggrund" sheetId="1" r:id="rId2"/>
  </sheets>
  <externalReferences>
    <externalReference r:id="rId3"/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J22" i="3" l="1"/>
  <c r="J43" i="3"/>
  <c r="J64" i="3"/>
  <c r="J89" i="3"/>
  <c r="B63" i="3" l="1"/>
  <c r="B21" i="3" l="1"/>
  <c r="B22" i="3" l="1"/>
  <c r="J33" i="1"/>
  <c r="F33" i="1"/>
  <c r="B4" i="3"/>
  <c r="B5" i="3" s="1"/>
  <c r="B64" i="3" l="1"/>
  <c r="C63" i="3"/>
  <c r="H4" i="3"/>
  <c r="H5" i="3" s="1"/>
  <c r="G4" i="3"/>
  <c r="G5" i="3" s="1"/>
  <c r="F4" i="3"/>
  <c r="F5" i="3" s="1"/>
  <c r="E4" i="3"/>
  <c r="E5" i="3" s="1"/>
  <c r="D4" i="3"/>
  <c r="D5" i="3" s="1"/>
  <c r="C4" i="3"/>
  <c r="C5" i="3" s="1"/>
  <c r="C21" i="3" l="1"/>
  <c r="E63" i="3" l="1"/>
  <c r="E21" i="3" s="1"/>
  <c r="F63" i="3"/>
  <c r="F21" i="3" s="1"/>
  <c r="G63" i="3"/>
  <c r="G21" i="3" s="1"/>
  <c r="H63" i="3"/>
  <c r="H21" i="3" s="1"/>
  <c r="I26" i="3" l="1"/>
  <c r="I29" i="3"/>
  <c r="L33" i="1"/>
  <c r="D17" i="3"/>
  <c r="D15" i="3"/>
  <c r="D16" i="3"/>
  <c r="D9" i="3"/>
  <c r="D18" i="3"/>
  <c r="D11" i="3"/>
  <c r="T9" i="1"/>
  <c r="D63" i="3" l="1"/>
  <c r="D21" i="3" s="1"/>
  <c r="H33" i="1"/>
  <c r="D14" i="1"/>
  <c r="I30" i="1"/>
  <c r="K30" i="1"/>
  <c r="L5" i="1"/>
  <c r="I58" i="1"/>
  <c r="I57" i="1"/>
  <c r="G61" i="1"/>
  <c r="F61" i="1"/>
  <c r="T14" i="1"/>
  <c r="T13" i="1"/>
  <c r="T12" i="1"/>
  <c r="T11" i="1"/>
  <c r="T10" i="1"/>
  <c r="H57" i="1"/>
  <c r="K29" i="1"/>
  <c r="K28" i="1"/>
  <c r="K27" i="1"/>
  <c r="K26" i="1"/>
  <c r="K25" i="1"/>
  <c r="K24" i="1"/>
  <c r="K23" i="1"/>
  <c r="K22" i="1"/>
  <c r="K21" i="1"/>
  <c r="K20" i="1"/>
  <c r="K33" i="1" s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5" i="1"/>
  <c r="E21" i="1"/>
  <c r="E5" i="1"/>
  <c r="F57" i="1"/>
  <c r="G57" i="1"/>
  <c r="E27" i="1"/>
  <c r="E28" i="1"/>
  <c r="E29" i="1"/>
  <c r="D24" i="1"/>
  <c r="E24" i="1" s="1"/>
  <c r="D22" i="1"/>
  <c r="D20" i="1"/>
  <c r="E20" i="1"/>
  <c r="D19" i="1"/>
  <c r="E19" i="1"/>
  <c r="D18" i="1"/>
  <c r="D17" i="1"/>
  <c r="E17" i="1" s="1"/>
  <c r="D16" i="1"/>
  <c r="E16" i="1" s="1"/>
  <c r="D15" i="1"/>
  <c r="E15" i="1" s="1"/>
  <c r="E14" i="1"/>
  <c r="D13" i="1"/>
  <c r="E13" i="1"/>
  <c r="E11" i="1"/>
  <c r="D12" i="1"/>
  <c r="E12" i="1" s="1"/>
  <c r="D10" i="1"/>
  <c r="E10" i="1" s="1"/>
  <c r="E9" i="1"/>
  <c r="E7" i="1"/>
  <c r="G2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5" i="1"/>
  <c r="R11" i="1"/>
  <c r="R12" i="1"/>
  <c r="R13" i="1"/>
  <c r="S6" i="1"/>
  <c r="S5" i="1"/>
  <c r="E6" i="1"/>
  <c r="E8" i="1"/>
  <c r="H38" i="1"/>
  <c r="I33" i="1"/>
  <c r="J37" i="1"/>
  <c r="H37" i="1"/>
  <c r="G33" i="1"/>
  <c r="E18" i="1"/>
  <c r="J38" i="1"/>
  <c r="D33" i="1" l="1"/>
  <c r="E57" i="1" s="1"/>
  <c r="H59" i="1" s="1"/>
  <c r="E22" i="1"/>
  <c r="E33" i="1" s="1"/>
  <c r="E61" i="1"/>
  <c r="I59" i="1"/>
  <c r="F59" i="1"/>
  <c r="F38" i="1" l="1"/>
  <c r="F37" i="1"/>
  <c r="F39" i="1" s="1"/>
  <c r="E59" i="1"/>
  <c r="G59" i="1"/>
  <c r="E36" i="1"/>
  <c r="E35" i="1"/>
  <c r="G35" i="1" s="1"/>
  <c r="F40" i="1" l="1"/>
  <c r="H39" i="1"/>
  <c r="G36" i="1"/>
  <c r="I35" i="1"/>
  <c r="J39" i="1" l="1"/>
  <c r="J40" i="1" s="1"/>
  <c r="H40" i="1"/>
  <c r="I36" i="1"/>
  <c r="K35" i="1"/>
  <c r="H42" i="1"/>
  <c r="H41" i="1"/>
  <c r="K36" i="1" l="1"/>
  <c r="J42" i="1"/>
  <c r="J41" i="1"/>
</calcChain>
</file>

<file path=xl/comments1.xml><?xml version="1.0" encoding="utf-8"?>
<comments xmlns="http://schemas.openxmlformats.org/spreadsheetml/2006/main">
  <authors>
    <author>Trine Bjørn Olsen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493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500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490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477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405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405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EF = 405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Skolebus-, lokal- og special- og taxakørsel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dette tal er kun for taxa - der er ikke angivet andre tal for anden kørsel for 2013!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2008-tal anvendt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2008-tal anvendt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2008-tal anvendt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2008-tal anvendt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2009-tal anvendt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Trine Bjørn Olsen:</t>
        </r>
        <r>
          <rPr>
            <sz val="9"/>
            <color indexed="81"/>
            <rFont val="Tahoma"/>
            <family val="2"/>
          </rPr>
          <t xml:space="preserve">
2012-tal anvendt</t>
        </r>
      </text>
    </comment>
  </commentList>
</comments>
</file>

<file path=xl/sharedStrings.xml><?xml version="1.0" encoding="utf-8"?>
<sst xmlns="http://schemas.openxmlformats.org/spreadsheetml/2006/main" count="104" uniqueCount="82">
  <si>
    <t>Skoler</t>
  </si>
  <si>
    <t>Institutioner</t>
  </si>
  <si>
    <t>Administrative bygninger</t>
  </si>
  <si>
    <t>Haller</t>
  </si>
  <si>
    <t>Andre</t>
  </si>
  <si>
    <t>Bygninger</t>
  </si>
  <si>
    <t>Hammershusvej</t>
  </si>
  <si>
    <t>Nederkærgaard</t>
  </si>
  <si>
    <t>Aulum, Kulvej 7</t>
  </si>
  <si>
    <t>Haderup</t>
  </si>
  <si>
    <t>Kibæk, Lyager 7</t>
  </si>
  <si>
    <t>DRIFT</t>
  </si>
  <si>
    <t>Kørsel</t>
  </si>
  <si>
    <t>Teknik og Miljø (excl. Drift og Beredskab)</t>
  </si>
  <si>
    <t>Aktivitet og pleje</t>
  </si>
  <si>
    <t>Rengøring</t>
  </si>
  <si>
    <t>Tandplejen</t>
  </si>
  <si>
    <t>Drift</t>
  </si>
  <si>
    <t>Indsamling Affald</t>
  </si>
  <si>
    <t>Kørsel i egen bil</t>
  </si>
  <si>
    <t>Øvrige</t>
  </si>
  <si>
    <t>Beredskab</t>
  </si>
  <si>
    <t>Taxakørsel</t>
  </si>
  <si>
    <t>Øvrigt materiel DRIFT</t>
  </si>
  <si>
    <t>- klimakompasset</t>
  </si>
  <si>
    <t>Specialkørsel</t>
  </si>
  <si>
    <t>Bybuskørsel</t>
  </si>
  <si>
    <t>Lokal kørsel</t>
  </si>
  <si>
    <t>Rabat ruter og skolekørsel</t>
  </si>
  <si>
    <t>KE</t>
  </si>
  <si>
    <t>Egen bilpark</t>
  </si>
  <si>
    <t>Øvrig mat</t>
  </si>
  <si>
    <t>Befordring</t>
  </si>
  <si>
    <t>Udledning</t>
  </si>
  <si>
    <t>Reduktionskrav</t>
  </si>
  <si>
    <t>Vejbelysning</t>
  </si>
  <si>
    <t>Investeringskrav</t>
  </si>
  <si>
    <t>Besparelse i kroner</t>
  </si>
  <si>
    <t>Tilbagebetalingstid</t>
  </si>
  <si>
    <t>HUSK energiprisstigninger i kommende år</t>
  </si>
  <si>
    <t>CO2 udledning i ton</t>
  </si>
  <si>
    <t>I alt</t>
  </si>
  <si>
    <t>Akk. Reduktionskrav</t>
  </si>
  <si>
    <t>Faktisk reduktion</t>
  </si>
  <si>
    <t>Forskel akk. Reduktion og akk faktisk</t>
  </si>
  <si>
    <t>Akk. faktisk Reduktion</t>
  </si>
  <si>
    <t>faktisk reduktion %</t>
  </si>
  <si>
    <t>akk. faktisk Reduktion %</t>
  </si>
  <si>
    <t>Målopfyldelse ift. akk. reduktionskrav</t>
  </si>
  <si>
    <t>akk. reduktionskrav %</t>
  </si>
  <si>
    <t>Kommunes bilpark</t>
  </si>
  <si>
    <t>Øvrige - rennovation, brand og redning mv</t>
  </si>
  <si>
    <t>Forpligtelse akk</t>
  </si>
  <si>
    <t>Udledning ton</t>
  </si>
  <si>
    <t>Kørsel:</t>
  </si>
  <si>
    <t>Medarbejdernes egne biler</t>
  </si>
  <si>
    <t>Maskiner mv</t>
  </si>
  <si>
    <t>CO2-udledning</t>
  </si>
  <si>
    <t>DRIFT i alt diesel og benzin og gas til kørsel og maskiner</t>
  </si>
  <si>
    <t>2012:</t>
  </si>
  <si>
    <t>Egen bil</t>
  </si>
  <si>
    <t>Øvrig TM</t>
  </si>
  <si>
    <t>Bus</t>
  </si>
  <si>
    <t>Drift non road</t>
  </si>
  <si>
    <t>Renovation</t>
  </si>
  <si>
    <t>El</t>
  </si>
  <si>
    <t>Varme</t>
  </si>
  <si>
    <t>Faktisk udledning</t>
  </si>
  <si>
    <t>Klimamål</t>
  </si>
  <si>
    <t>DN krav til mindre udledning, pct</t>
  </si>
  <si>
    <r>
      <t>BEMÆRK: Beregningen af reduktionskravet skal ske ift. HK's klimamål = 25% i perioden 2007-2015 (og IKKE DN-forpligtelsen)! Se Trine's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-ark</t>
    </r>
  </si>
  <si>
    <t>Anden kørsel</t>
  </si>
  <si>
    <t>BRÆNDSTOFFORBRUG:</t>
  </si>
  <si>
    <t>TOTAL:</t>
  </si>
  <si>
    <t>EL OG VARME:</t>
  </si>
  <si>
    <t>BRÆNDSTOF:</t>
  </si>
  <si>
    <t>VEJBELYSNING:</t>
  </si>
  <si>
    <t xml:space="preserve">  =</t>
  </si>
  <si>
    <t>Målopfyldelse total ift. 2013</t>
  </si>
  <si>
    <t>Målopfyldelse total ift. 2015</t>
  </si>
  <si>
    <t>EL- OG VARMEFORBRUG:</t>
  </si>
  <si>
    <r>
      <t>CO</t>
    </r>
    <r>
      <rPr>
        <b/>
        <u/>
        <vertAlign val="subscript"/>
        <sz val="14"/>
        <rFont val="Arial"/>
        <family val="2"/>
      </rPr>
      <t>2</t>
    </r>
    <r>
      <rPr>
        <b/>
        <u/>
        <sz val="14"/>
        <rFont val="Arial"/>
        <family val="2"/>
      </rPr>
      <t>-udledning [ton/år], Herning Kommune som virksomhed: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</si>
</sst>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%"/>
    <numFmt numFmtId="165" formatCode="_ * #,##0.0_ ;_ * \-#,##0.0_ ;_ * &quot;-&quot;??_ ;_ @_ "/>
    <numFmt numFmtId="166" formatCode="_ * #,##0.0_ ;_ * \-#,##0.0_ ;_ * &quot;-&quot;?_ ;_ @_ "/>
    <numFmt numFmtId="167" formatCode="_ * #,##0_ ;_ * \-#,##0_ ;_ * &quot;-&quot;?_ ;_ @_ "/>
    <numFmt numFmtId="168" formatCode="_ * #,##0_ ;_ * \-#,##0_ ;_ * &quot;-&quot;??_ ;_ @_ 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theme="4"/>
      <name val="Arial"/>
      <family val="2"/>
    </font>
    <font>
      <b/>
      <vertAlign val="sub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70C0"/>
      <name val="Arial"/>
      <family val="2"/>
    </font>
    <font>
      <b/>
      <u/>
      <sz val="14"/>
      <name val="Arial"/>
      <family val="2"/>
    </font>
    <font>
      <b/>
      <u/>
      <vertAlign val="subscript"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2" fontId="0" fillId="0" borderId="0" xfId="0" applyNumberFormat="1"/>
    <xf numFmtId="49" fontId="0" fillId="0" borderId="0" xfId="0" applyNumberFormat="1"/>
    <xf numFmtId="0" fontId="0" fillId="2" borderId="0" xfId="0" applyFill="1" applyAlignment="1">
      <alignment vertical="center" textRotation="90"/>
    </xf>
    <xf numFmtId="0" fontId="0" fillId="3" borderId="0" xfId="0" applyFill="1" applyAlignment="1">
      <alignment vertical="center" textRotation="90"/>
    </xf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164" fontId="0" fillId="4" borderId="0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0" xfId="0" applyFill="1" applyAlignment="1">
      <alignment textRotation="90"/>
    </xf>
    <xf numFmtId="0" fontId="0" fillId="6" borderId="0" xfId="0" applyFill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0" fillId="0" borderId="9" xfId="0" applyBorder="1"/>
    <xf numFmtId="0" fontId="0" fillId="7" borderId="0" xfId="0" applyFill="1"/>
    <xf numFmtId="4" fontId="0" fillId="7" borderId="0" xfId="0" applyNumberFormat="1" applyFill="1"/>
    <xf numFmtId="0" fontId="5" fillId="8" borderId="0" xfId="0" applyFont="1" applyFill="1"/>
    <xf numFmtId="4" fontId="5" fillId="8" borderId="0" xfId="0" applyNumberFormat="1" applyFont="1" applyFill="1"/>
    <xf numFmtId="164" fontId="0" fillId="0" borderId="0" xfId="1" applyNumberFormat="1" applyFont="1" applyFill="1"/>
    <xf numFmtId="3" fontId="0" fillId="0" borderId="0" xfId="0" applyNumberFormat="1"/>
    <xf numFmtId="1" fontId="0" fillId="0" borderId="0" xfId="0" applyNumberFormat="1"/>
    <xf numFmtId="4" fontId="7" fillId="0" borderId="0" xfId="0" applyNumberFormat="1" applyFont="1"/>
    <xf numFmtId="2" fontId="7" fillId="0" borderId="0" xfId="0" applyNumberFormat="1" applyFont="1"/>
    <xf numFmtId="49" fontId="5" fillId="0" borderId="0" xfId="0" applyNumberFormat="1" applyFont="1"/>
    <xf numFmtId="4" fontId="4" fillId="0" borderId="0" xfId="0" applyNumberFormat="1" applyFont="1" applyAlignment="1">
      <alignment horizontal="center"/>
    </xf>
    <xf numFmtId="165" fontId="3" fillId="0" borderId="0" xfId="2" applyNumberFormat="1" applyFont="1"/>
    <xf numFmtId="166" fontId="0" fillId="0" borderId="0" xfId="0" applyNumberFormat="1"/>
    <xf numFmtId="165" fontId="5" fillId="0" borderId="0" xfId="2" applyNumberFormat="1" applyFont="1"/>
    <xf numFmtId="167" fontId="0" fillId="0" borderId="0" xfId="0" applyNumberFormat="1"/>
    <xf numFmtId="3" fontId="3" fillId="0" borderId="0" xfId="0" applyNumberFormat="1" applyFont="1"/>
    <xf numFmtId="168" fontId="0" fillId="0" borderId="0" xfId="2" applyNumberFormat="1" applyFont="1"/>
    <xf numFmtId="168" fontId="3" fillId="0" borderId="0" xfId="2" applyNumberFormat="1" applyFont="1"/>
    <xf numFmtId="0" fontId="1" fillId="0" borderId="0" xfId="0" applyFont="1"/>
    <xf numFmtId="168" fontId="0" fillId="0" borderId="0" xfId="0" applyNumberFormat="1"/>
    <xf numFmtId="0" fontId="1" fillId="0" borderId="0" xfId="0" applyFont="1" applyBorder="1"/>
    <xf numFmtId="0" fontId="4" fillId="0" borderId="0" xfId="0" applyFont="1" applyFill="1"/>
    <xf numFmtId="0" fontId="0" fillId="0" borderId="0" xfId="0" applyFill="1"/>
    <xf numFmtId="4" fontId="0" fillId="0" borderId="0" xfId="0" applyNumberFormat="1" applyFill="1"/>
    <xf numFmtId="0" fontId="5" fillId="0" borderId="7" xfId="0" applyFont="1" applyBorder="1"/>
    <xf numFmtId="0" fontId="3" fillId="0" borderId="0" xfId="0" applyFont="1" applyFill="1"/>
    <xf numFmtId="164" fontId="6" fillId="0" borderId="0" xfId="1" applyNumberFormat="1" applyFont="1" applyFill="1"/>
    <xf numFmtId="165" fontId="1" fillId="0" borderId="0" xfId="2" applyNumberFormat="1" applyFont="1"/>
    <xf numFmtId="0" fontId="11" fillId="0" borderId="1" xfId="0" applyFont="1" applyBorder="1" applyProtection="1">
      <protection locked="0"/>
    </xf>
    <xf numFmtId="0" fontId="11" fillId="0" borderId="2" xfId="0" applyFont="1" applyBorder="1"/>
    <xf numFmtId="0" fontId="11" fillId="0" borderId="3" xfId="0" applyFont="1" applyBorder="1"/>
    <xf numFmtId="0" fontId="11" fillId="0" borderId="8" xfId="0" applyFont="1" applyBorder="1"/>
    <xf numFmtId="49" fontId="11" fillId="0" borderId="6" xfId="0" applyNumberFormat="1" applyFont="1" applyBorder="1" applyAlignment="1">
      <alignment horizontal="center"/>
    </xf>
    <xf numFmtId="9" fontId="11" fillId="0" borderId="7" xfId="1" applyFont="1" applyBorder="1" applyAlignment="1">
      <alignment horizontal="left"/>
    </xf>
    <xf numFmtId="0" fontId="12" fillId="0" borderId="0" xfId="0" applyFont="1"/>
    <xf numFmtId="0" fontId="4" fillId="0" borderId="0" xfId="0" applyFont="1" applyAlignment="1">
      <alignment horizontal="center"/>
    </xf>
    <xf numFmtId="0" fontId="0" fillId="9" borderId="0" xfId="0" applyFill="1" applyAlignment="1">
      <alignment horizontal="center" vertical="center" textRotation="90"/>
    </xf>
    <xf numFmtId="0" fontId="0" fillId="10" borderId="0" xfId="0" applyFill="1" applyAlignment="1">
      <alignment horizontal="center" vertical="center" textRotation="90"/>
    </xf>
    <xf numFmtId="0" fontId="0" fillId="11" borderId="0" xfId="0" applyFill="1" applyAlignment="1">
      <alignment horizontal="center" vertical="center" textRotation="90"/>
    </xf>
    <xf numFmtId="0" fontId="0" fillId="7" borderId="0" xfId="0" applyFill="1" applyAlignment="1">
      <alignment horizontal="center" vertical="center" textRotation="90"/>
    </xf>
    <xf numFmtId="0" fontId="0" fillId="4" borderId="0" xfId="0" applyFill="1" applyAlignment="1">
      <alignment horizontal="center" vertical="center" textRotation="90"/>
    </xf>
    <xf numFmtId="0" fontId="0" fillId="12" borderId="0" xfId="0" applyFill="1" applyAlignment="1">
      <alignment horizontal="center" vertical="center" textRotation="90"/>
    </xf>
    <xf numFmtId="0" fontId="4" fillId="0" borderId="0" xfId="0" applyFont="1" applyAlignment="1">
      <alignment horizontal="center" vertical="center"/>
    </xf>
  </cellXfs>
  <cellStyles count="3">
    <cellStyle name="Komma" xfId="2" builtinId="3"/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00CC00"/>
      <color rgb="FF339933"/>
      <color rgb="FF00CC66"/>
      <color rgb="FF33CC33"/>
      <color rgb="FF66FFFF"/>
      <color rgb="FF99CCFF"/>
      <color rgb="FF33CCFF"/>
      <color rgb="FF0099FF"/>
      <color rgb="FF00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CO</a:t>
            </a:r>
            <a:r>
              <a:rPr lang="da-DK" baseline="-25000"/>
              <a:t>2</a:t>
            </a:r>
            <a:r>
              <a:rPr lang="da-DK" baseline="0"/>
              <a:t> fra kommunens energiforbrug [ton/år]</a:t>
            </a:r>
            <a:endParaRPr lang="da-DK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2007-2013'!$B$3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'resultater 2007-2013'!$A$4:$A$6</c:f>
              <c:strCache>
                <c:ptCount val="3"/>
                <c:pt idx="0">
                  <c:v>El</c:v>
                </c:pt>
                <c:pt idx="1">
                  <c:v>Varme</c:v>
                </c:pt>
                <c:pt idx="2">
                  <c:v>Vejbelysning</c:v>
                </c:pt>
              </c:strCache>
            </c:strRef>
          </c:cat>
          <c:val>
            <c:numRef>
              <c:f>'resultater 2007-2013'!$B$4:$B$6</c:f>
              <c:numCache>
                <c:formatCode>_ * #,##0_ ;_ * \-#,##0_ ;_ * "-"??_ ;_ @_ </c:formatCode>
                <c:ptCount val="3"/>
                <c:pt idx="0">
                  <c:v>9279.7389999999996</c:v>
                </c:pt>
                <c:pt idx="1">
                  <c:v>3033.2610000000004</c:v>
                </c:pt>
                <c:pt idx="2">
                  <c:v>2280</c:v>
                </c:pt>
              </c:numCache>
            </c:numRef>
          </c:val>
        </c:ser>
        <c:ser>
          <c:idx val="1"/>
          <c:order val="1"/>
          <c:tx>
            <c:strRef>
              <c:f>'resultater 2007-2013'!$C$3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'resultater 2007-2013'!$A$4:$A$6</c:f>
              <c:strCache>
                <c:ptCount val="3"/>
                <c:pt idx="0">
                  <c:v>El</c:v>
                </c:pt>
                <c:pt idx="1">
                  <c:v>Varme</c:v>
                </c:pt>
                <c:pt idx="2">
                  <c:v>Vejbelysning</c:v>
                </c:pt>
              </c:strCache>
            </c:strRef>
          </c:cat>
          <c:val>
            <c:numRef>
              <c:f>'resultater 2007-2013'!$C$4:$C$6</c:f>
              <c:numCache>
                <c:formatCode>_ * #,##0_ ;_ * \-#,##0_ ;_ * "-"??_ ;_ @_ </c:formatCode>
                <c:ptCount val="3"/>
                <c:pt idx="0">
                  <c:v>10561.650000000001</c:v>
                </c:pt>
                <c:pt idx="1">
                  <c:v>2093.3499999999985</c:v>
                </c:pt>
                <c:pt idx="2">
                  <c:v>2280</c:v>
                </c:pt>
              </c:numCache>
            </c:numRef>
          </c:val>
        </c:ser>
        <c:ser>
          <c:idx val="2"/>
          <c:order val="2"/>
          <c:tx>
            <c:strRef>
              <c:f>'resultater 2007-2013'!$D$3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'resultater 2007-2013'!$A$4:$A$6</c:f>
              <c:strCache>
                <c:ptCount val="3"/>
                <c:pt idx="0">
                  <c:v>El</c:v>
                </c:pt>
                <c:pt idx="1">
                  <c:v>Varme</c:v>
                </c:pt>
                <c:pt idx="2">
                  <c:v>Vejbelysning</c:v>
                </c:pt>
              </c:strCache>
            </c:strRef>
          </c:cat>
          <c:val>
            <c:numRef>
              <c:f>'resultater 2007-2013'!$D$4:$D$6</c:f>
              <c:numCache>
                <c:formatCode>_ * #,##0_ ;_ * \-#,##0_ ;_ * "-"??_ ;_ @_ </c:formatCode>
                <c:ptCount val="3"/>
                <c:pt idx="0">
                  <c:v>9474.15</c:v>
                </c:pt>
                <c:pt idx="1">
                  <c:v>3175.8500000000004</c:v>
                </c:pt>
                <c:pt idx="2">
                  <c:v>2280</c:v>
                </c:pt>
              </c:numCache>
            </c:numRef>
          </c:val>
        </c:ser>
        <c:ser>
          <c:idx val="3"/>
          <c:order val="3"/>
          <c:tx>
            <c:strRef>
              <c:f>'resultater 2007-2013'!$E$3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'resultater 2007-2013'!$A$4:$A$6</c:f>
              <c:strCache>
                <c:ptCount val="3"/>
                <c:pt idx="0">
                  <c:v>El</c:v>
                </c:pt>
                <c:pt idx="1">
                  <c:v>Varme</c:v>
                </c:pt>
                <c:pt idx="2">
                  <c:v>Vejbelysning</c:v>
                </c:pt>
              </c:strCache>
            </c:strRef>
          </c:cat>
          <c:val>
            <c:numRef>
              <c:f>'resultater 2007-2013'!$E$4:$E$6</c:f>
              <c:numCache>
                <c:formatCode>_ * #,##0_ ;_ * \-#,##0_ ;_ * "-"??_ ;_ @_ </c:formatCode>
                <c:ptCount val="3"/>
                <c:pt idx="0">
                  <c:v>9333.9359999999997</c:v>
                </c:pt>
                <c:pt idx="1">
                  <c:v>3806.0640000000003</c:v>
                </c:pt>
                <c:pt idx="2">
                  <c:v>2452</c:v>
                </c:pt>
              </c:numCache>
            </c:numRef>
          </c:val>
        </c:ser>
        <c:ser>
          <c:idx val="4"/>
          <c:order val="4"/>
          <c:tx>
            <c:strRef>
              <c:f>'resultater 2007-2013'!$F$3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'resultater 2007-2013'!$A$4:$A$6</c:f>
              <c:strCache>
                <c:ptCount val="3"/>
                <c:pt idx="0">
                  <c:v>El</c:v>
                </c:pt>
                <c:pt idx="1">
                  <c:v>Varme</c:v>
                </c:pt>
                <c:pt idx="2">
                  <c:v>Vejbelysning</c:v>
                </c:pt>
              </c:strCache>
            </c:strRef>
          </c:cat>
          <c:val>
            <c:numRef>
              <c:f>'resultater 2007-2013'!$F$4:$F$6</c:f>
              <c:numCache>
                <c:formatCode>_ * #,##0_ ;_ * \-#,##0_ ;_ * "-"??_ ;_ @_ </c:formatCode>
                <c:ptCount val="3"/>
                <c:pt idx="0">
                  <c:v>7585.6500000000005</c:v>
                </c:pt>
                <c:pt idx="1">
                  <c:v>3279.3499999999995</c:v>
                </c:pt>
                <c:pt idx="2">
                  <c:v>2285</c:v>
                </c:pt>
              </c:numCache>
            </c:numRef>
          </c:val>
        </c:ser>
        <c:ser>
          <c:idx val="5"/>
          <c:order val="5"/>
          <c:tx>
            <c:strRef>
              <c:f>'resultater 2007-2013'!$G$3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'resultater 2007-2013'!$A$4:$A$6</c:f>
              <c:strCache>
                <c:ptCount val="3"/>
                <c:pt idx="0">
                  <c:v>El</c:v>
                </c:pt>
                <c:pt idx="1">
                  <c:v>Varme</c:v>
                </c:pt>
                <c:pt idx="2">
                  <c:v>Vejbelysning</c:v>
                </c:pt>
              </c:strCache>
            </c:strRef>
          </c:cat>
          <c:val>
            <c:numRef>
              <c:f>'resultater 2007-2013'!$G$4:$G$6</c:f>
              <c:numCache>
                <c:formatCode>_ * #,##0_ ;_ * \-#,##0_ ;_ * "-"??_ ;_ @_ </c:formatCode>
                <c:ptCount val="3"/>
                <c:pt idx="0">
                  <c:v>7515.18</c:v>
                </c:pt>
                <c:pt idx="1">
                  <c:v>3406.8199999999997</c:v>
                </c:pt>
                <c:pt idx="2">
                  <c:v>1948</c:v>
                </c:pt>
              </c:numCache>
            </c:numRef>
          </c:val>
        </c:ser>
        <c:ser>
          <c:idx val="6"/>
          <c:order val="6"/>
          <c:tx>
            <c:strRef>
              <c:f>'resultater 2007-2013'!$H$3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'resultater 2007-2013'!$A$4:$A$6</c:f>
              <c:strCache>
                <c:ptCount val="3"/>
                <c:pt idx="0">
                  <c:v>El</c:v>
                </c:pt>
                <c:pt idx="1">
                  <c:v>Varme</c:v>
                </c:pt>
                <c:pt idx="2">
                  <c:v>Vejbelysning</c:v>
                </c:pt>
              </c:strCache>
            </c:strRef>
          </c:cat>
          <c:val>
            <c:numRef>
              <c:f>'resultater 2007-2013'!$H$4:$H$6</c:f>
              <c:numCache>
                <c:formatCode>_ * #,##0_ ;_ * \-#,##0_ ;_ * "-"??_ ;_ @_ </c:formatCode>
                <c:ptCount val="3"/>
                <c:pt idx="0">
                  <c:v>7250.7150000000001</c:v>
                </c:pt>
                <c:pt idx="1">
                  <c:v>3351.2849999999999</c:v>
                </c:pt>
                <c:pt idx="2">
                  <c:v>2232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320904"/>
        <c:axId val="317321296"/>
      </c:barChart>
      <c:catAx>
        <c:axId val="31732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17321296"/>
        <c:crosses val="autoZero"/>
        <c:auto val="1"/>
        <c:lblAlgn val="ctr"/>
        <c:lblOffset val="100"/>
        <c:noMultiLvlLbl val="0"/>
      </c:catAx>
      <c:valAx>
        <c:axId val="31732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17320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a-DK" sz="1800" b="1" i="0" u="none" strike="noStrike" baseline="0">
                <a:solidFill>
                  <a:srgbClr val="000000"/>
                </a:solidFill>
                <a:latin typeface="Calibri"/>
              </a:rPr>
              <a:t>CO</a:t>
            </a:r>
            <a:r>
              <a:rPr lang="da-DK" sz="1800" b="1" i="0" u="none" strike="noStrike" baseline="-25000">
                <a:solidFill>
                  <a:srgbClr val="000000"/>
                </a:solidFill>
                <a:latin typeface="Calibri"/>
              </a:rPr>
              <a:t>2</a:t>
            </a:r>
            <a:r>
              <a:rPr lang="da-DK" sz="1800" b="1" i="0" u="none" strike="noStrike" baseline="0">
                <a:solidFill>
                  <a:srgbClr val="000000"/>
                </a:solidFill>
                <a:latin typeface="Calibri"/>
              </a:rPr>
              <a:t>-udledning fra busdrift</a:t>
            </a:r>
          </a:p>
        </c:rich>
      </c:tx>
      <c:layout>
        <c:manualLayout>
          <c:xMode val="edge"/>
          <c:yMode val="edge"/>
          <c:x val="0.17708333333333334"/>
          <c:y val="3.472222222222222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baggrund!$D$61</c:f>
              <c:strCache>
                <c:ptCount val="1"/>
                <c:pt idx="0">
                  <c:v>CO2-udledning</c:v>
                </c:pt>
              </c:strCache>
            </c:strRef>
          </c:tx>
          <c:marker>
            <c:symbol val="none"/>
          </c:marker>
          <c:cat>
            <c:numRef>
              <c:f>baggrund!$E$60:$G$60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baggrund!$E$61:$G$61</c:f>
              <c:numCache>
                <c:formatCode>#,##0.00</c:formatCode>
                <c:ptCount val="3"/>
                <c:pt idx="0">
                  <c:v>1186.4592</c:v>
                </c:pt>
                <c:pt idx="1">
                  <c:v>1311</c:v>
                </c:pt>
                <c:pt idx="2" formatCode="0.00">
                  <c:v>1066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432648"/>
        <c:axId val="383433040"/>
      </c:lineChart>
      <c:catAx>
        <c:axId val="38343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3433040"/>
        <c:crosses val="autoZero"/>
        <c:auto val="1"/>
        <c:lblAlgn val="ctr"/>
        <c:lblOffset val="100"/>
        <c:noMultiLvlLbl val="0"/>
      </c:catAx>
      <c:valAx>
        <c:axId val="38343304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83432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583333333333335"/>
          <c:y val="0.47569444444444442"/>
          <c:w val="0.24375000000000002"/>
          <c:h val="8.33333333333333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 b="0" i="0" baseline="0">
                <a:effectLst/>
              </a:rPr>
              <a:t>CO</a:t>
            </a:r>
            <a:r>
              <a:rPr lang="da-DK" sz="1400" b="0" i="0" baseline="-25000">
                <a:effectLst/>
              </a:rPr>
              <a:t>2</a:t>
            </a:r>
            <a:r>
              <a:rPr lang="da-DK" sz="1400" b="0" i="0" baseline="0">
                <a:effectLst/>
              </a:rPr>
              <a:t> kommunens brændstofforbrug [ton/år]</a:t>
            </a:r>
            <a:endParaRPr lang="da-DK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2007-2013'!$B$8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'resultater 2007-2013'!$A$9:$A$18</c:f>
              <c:strCache>
                <c:ptCount val="10"/>
                <c:pt idx="0">
                  <c:v>Bus</c:v>
                </c:pt>
                <c:pt idx="1">
                  <c:v>Anden kørsel</c:v>
                </c:pt>
                <c:pt idx="2">
                  <c:v>Egen bil</c:v>
                </c:pt>
                <c:pt idx="3">
                  <c:v>Renovation</c:v>
                </c:pt>
                <c:pt idx="4">
                  <c:v>Drift non road</c:v>
                </c:pt>
                <c:pt idx="5">
                  <c:v>Drift</c:v>
                </c:pt>
                <c:pt idx="6">
                  <c:v>Aktivitet og pleje</c:v>
                </c:pt>
                <c:pt idx="7">
                  <c:v>Rengøring</c:v>
                </c:pt>
                <c:pt idx="8">
                  <c:v>Øvrig TM</c:v>
                </c:pt>
                <c:pt idx="9">
                  <c:v>Tandplejen</c:v>
                </c:pt>
              </c:strCache>
            </c:strRef>
          </c:cat>
          <c:val>
            <c:numRef>
              <c:f>'resultater 2007-2013'!$B$9:$B$18</c:f>
              <c:numCache>
                <c:formatCode>_ * #,##0_ ;_ * \-#,##0_ ;_ * "-"??_ ;_ @_ </c:formatCode>
                <c:ptCount val="10"/>
                <c:pt idx="0">
                  <c:v>1186.4592</c:v>
                </c:pt>
                <c:pt idx="1">
                  <c:v>967</c:v>
                </c:pt>
                <c:pt idx="2">
                  <c:v>588</c:v>
                </c:pt>
                <c:pt idx="3">
                  <c:v>463</c:v>
                </c:pt>
                <c:pt idx="4">
                  <c:v>376</c:v>
                </c:pt>
                <c:pt idx="5">
                  <c:v>358</c:v>
                </c:pt>
                <c:pt idx="6">
                  <c:v>61.253145000000011</c:v>
                </c:pt>
                <c:pt idx="7">
                  <c:v>33.184350000000002</c:v>
                </c:pt>
                <c:pt idx="8">
                  <c:v>13.777659000000002</c:v>
                </c:pt>
                <c:pt idx="9">
                  <c:v>4.45</c:v>
                </c:pt>
              </c:numCache>
            </c:numRef>
          </c:val>
        </c:ser>
        <c:ser>
          <c:idx val="1"/>
          <c:order val="1"/>
          <c:tx>
            <c:strRef>
              <c:f>'resultater 2007-2013'!$C$8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'resultater 2007-2013'!$A$9:$A$18</c:f>
              <c:strCache>
                <c:ptCount val="10"/>
                <c:pt idx="0">
                  <c:v>Bus</c:v>
                </c:pt>
                <c:pt idx="1">
                  <c:v>Anden kørsel</c:v>
                </c:pt>
                <c:pt idx="2">
                  <c:v>Egen bil</c:v>
                </c:pt>
                <c:pt idx="3">
                  <c:v>Renovation</c:v>
                </c:pt>
                <c:pt idx="4">
                  <c:v>Drift non road</c:v>
                </c:pt>
                <c:pt idx="5">
                  <c:v>Drift</c:v>
                </c:pt>
                <c:pt idx="6">
                  <c:v>Aktivitet og pleje</c:v>
                </c:pt>
                <c:pt idx="7">
                  <c:v>Rengøring</c:v>
                </c:pt>
                <c:pt idx="8">
                  <c:v>Øvrig TM</c:v>
                </c:pt>
                <c:pt idx="9">
                  <c:v>Tandplejen</c:v>
                </c:pt>
              </c:strCache>
            </c:strRef>
          </c:cat>
          <c:val>
            <c:numRef>
              <c:f>'resultater 2007-2013'!$C$9:$C$18</c:f>
              <c:numCache>
                <c:formatCode>_ * #,##0_ ;_ * \-#,##0_ ;_ * "-"??_ ;_ @_ </c:formatCode>
                <c:ptCount val="10"/>
                <c:pt idx="0">
                  <c:v>1186.4592</c:v>
                </c:pt>
                <c:pt idx="1">
                  <c:v>967</c:v>
                </c:pt>
                <c:pt idx="2">
                  <c:v>588</c:v>
                </c:pt>
                <c:pt idx="3">
                  <c:v>463</c:v>
                </c:pt>
                <c:pt idx="4">
                  <c:v>376</c:v>
                </c:pt>
                <c:pt idx="5">
                  <c:v>358</c:v>
                </c:pt>
                <c:pt idx="6">
                  <c:v>61.253145000000011</c:v>
                </c:pt>
                <c:pt idx="7">
                  <c:v>33.184350000000002</c:v>
                </c:pt>
                <c:pt idx="8">
                  <c:v>13.777659000000002</c:v>
                </c:pt>
                <c:pt idx="9">
                  <c:v>4.45</c:v>
                </c:pt>
              </c:numCache>
            </c:numRef>
          </c:val>
        </c:ser>
        <c:ser>
          <c:idx val="2"/>
          <c:order val="2"/>
          <c:tx>
            <c:strRef>
              <c:f>'resultater 2007-2013'!$D$8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'resultater 2007-2013'!$A$9:$A$18</c:f>
              <c:strCache>
                <c:ptCount val="10"/>
                <c:pt idx="0">
                  <c:v>Bus</c:v>
                </c:pt>
                <c:pt idx="1">
                  <c:v>Anden kørsel</c:v>
                </c:pt>
                <c:pt idx="2">
                  <c:v>Egen bil</c:v>
                </c:pt>
                <c:pt idx="3">
                  <c:v>Renovation</c:v>
                </c:pt>
                <c:pt idx="4">
                  <c:v>Drift non road</c:v>
                </c:pt>
                <c:pt idx="5">
                  <c:v>Drift</c:v>
                </c:pt>
                <c:pt idx="6">
                  <c:v>Aktivitet og pleje</c:v>
                </c:pt>
                <c:pt idx="7">
                  <c:v>Rengøring</c:v>
                </c:pt>
                <c:pt idx="8">
                  <c:v>Øvrig TM</c:v>
                </c:pt>
                <c:pt idx="9">
                  <c:v>Tandplejen</c:v>
                </c:pt>
              </c:strCache>
            </c:strRef>
          </c:cat>
          <c:val>
            <c:numRef>
              <c:f>'resultater 2007-2013'!$D$9:$D$18</c:f>
              <c:numCache>
                <c:formatCode>_ * #,##0_ ;_ * \-#,##0_ ;_ * "-"??_ ;_ @_ </c:formatCode>
                <c:ptCount val="10"/>
                <c:pt idx="0">
                  <c:v>1186.4592</c:v>
                </c:pt>
                <c:pt idx="1">
                  <c:v>967</c:v>
                </c:pt>
                <c:pt idx="2">
                  <c:v>654.63328530259366</c:v>
                </c:pt>
                <c:pt idx="3">
                  <c:v>463</c:v>
                </c:pt>
                <c:pt idx="4">
                  <c:v>376</c:v>
                </c:pt>
                <c:pt idx="5">
                  <c:v>389</c:v>
                </c:pt>
                <c:pt idx="6">
                  <c:v>61.253145000000011</c:v>
                </c:pt>
                <c:pt idx="7">
                  <c:v>33.184350000000002</c:v>
                </c:pt>
                <c:pt idx="8">
                  <c:v>13.777659000000002</c:v>
                </c:pt>
                <c:pt idx="9">
                  <c:v>4.45</c:v>
                </c:pt>
              </c:numCache>
            </c:numRef>
          </c:val>
        </c:ser>
        <c:ser>
          <c:idx val="3"/>
          <c:order val="3"/>
          <c:tx>
            <c:strRef>
              <c:f>'resultater 2007-2013'!$E$8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'resultater 2007-2013'!$A$9:$A$18</c:f>
              <c:strCache>
                <c:ptCount val="10"/>
                <c:pt idx="0">
                  <c:v>Bus</c:v>
                </c:pt>
                <c:pt idx="1">
                  <c:v>Anden kørsel</c:v>
                </c:pt>
                <c:pt idx="2">
                  <c:v>Egen bil</c:v>
                </c:pt>
                <c:pt idx="3">
                  <c:v>Renovation</c:v>
                </c:pt>
                <c:pt idx="4">
                  <c:v>Drift non road</c:v>
                </c:pt>
                <c:pt idx="5">
                  <c:v>Drift</c:v>
                </c:pt>
                <c:pt idx="6">
                  <c:v>Aktivitet og pleje</c:v>
                </c:pt>
                <c:pt idx="7">
                  <c:v>Rengøring</c:v>
                </c:pt>
                <c:pt idx="8">
                  <c:v>Øvrig TM</c:v>
                </c:pt>
                <c:pt idx="9">
                  <c:v>Tandplejen</c:v>
                </c:pt>
              </c:strCache>
            </c:strRef>
          </c:cat>
          <c:val>
            <c:numRef>
              <c:f>'resultater 2007-2013'!$E$9:$E$18</c:f>
              <c:numCache>
                <c:formatCode>_ * #,##0_ ;_ * \-#,##0_ ;_ * "-"??_ ;_ @_ </c:formatCode>
                <c:ptCount val="10"/>
                <c:pt idx="0">
                  <c:v>1311</c:v>
                </c:pt>
                <c:pt idx="1">
                  <c:v>967</c:v>
                </c:pt>
                <c:pt idx="2">
                  <c:v>545</c:v>
                </c:pt>
                <c:pt idx="3">
                  <c:v>520</c:v>
                </c:pt>
                <c:pt idx="4">
                  <c:v>436</c:v>
                </c:pt>
                <c:pt idx="5">
                  <c:v>475</c:v>
                </c:pt>
                <c:pt idx="6">
                  <c:v>131.29</c:v>
                </c:pt>
                <c:pt idx="7">
                  <c:v>33.18</c:v>
                </c:pt>
                <c:pt idx="8">
                  <c:v>12.46</c:v>
                </c:pt>
                <c:pt idx="9">
                  <c:v>4.45</c:v>
                </c:pt>
              </c:numCache>
            </c:numRef>
          </c:val>
        </c:ser>
        <c:ser>
          <c:idx val="4"/>
          <c:order val="4"/>
          <c:tx>
            <c:strRef>
              <c:f>'resultater 2007-2013'!$F$8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'resultater 2007-2013'!$A$9:$A$18</c:f>
              <c:strCache>
                <c:ptCount val="10"/>
                <c:pt idx="0">
                  <c:v>Bus</c:v>
                </c:pt>
                <c:pt idx="1">
                  <c:v>Anden kørsel</c:v>
                </c:pt>
                <c:pt idx="2">
                  <c:v>Egen bil</c:v>
                </c:pt>
                <c:pt idx="3">
                  <c:v>Renovation</c:v>
                </c:pt>
                <c:pt idx="4">
                  <c:v>Drift non road</c:v>
                </c:pt>
                <c:pt idx="5">
                  <c:v>Drift</c:v>
                </c:pt>
                <c:pt idx="6">
                  <c:v>Aktivitet og pleje</c:v>
                </c:pt>
                <c:pt idx="7">
                  <c:v>Rengøring</c:v>
                </c:pt>
                <c:pt idx="8">
                  <c:v>Øvrig TM</c:v>
                </c:pt>
                <c:pt idx="9">
                  <c:v>Tandplejen</c:v>
                </c:pt>
              </c:strCache>
            </c:strRef>
          </c:cat>
          <c:val>
            <c:numRef>
              <c:f>'resultater 2007-2013'!$F$9:$F$18</c:f>
              <c:numCache>
                <c:formatCode>_ * #,##0_ ;_ * \-#,##0_ ;_ * "-"??_ ;_ @_ </c:formatCode>
                <c:ptCount val="10"/>
                <c:pt idx="0">
                  <c:v>1066</c:v>
                </c:pt>
                <c:pt idx="1">
                  <c:v>967</c:v>
                </c:pt>
                <c:pt idx="2">
                  <c:v>592</c:v>
                </c:pt>
                <c:pt idx="3">
                  <c:v>526</c:v>
                </c:pt>
                <c:pt idx="4">
                  <c:v>392</c:v>
                </c:pt>
                <c:pt idx="5">
                  <c:v>444</c:v>
                </c:pt>
                <c:pt idx="6">
                  <c:v>160.09</c:v>
                </c:pt>
                <c:pt idx="7">
                  <c:v>33.19</c:v>
                </c:pt>
                <c:pt idx="8">
                  <c:v>12.22</c:v>
                </c:pt>
                <c:pt idx="9">
                  <c:v>4.45</c:v>
                </c:pt>
              </c:numCache>
            </c:numRef>
          </c:val>
        </c:ser>
        <c:ser>
          <c:idx val="5"/>
          <c:order val="5"/>
          <c:tx>
            <c:strRef>
              <c:f>'resultater 2007-2013'!$G$8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'resultater 2007-2013'!$A$9:$A$18</c:f>
              <c:strCache>
                <c:ptCount val="10"/>
                <c:pt idx="0">
                  <c:v>Bus</c:v>
                </c:pt>
                <c:pt idx="1">
                  <c:v>Anden kørsel</c:v>
                </c:pt>
                <c:pt idx="2">
                  <c:v>Egen bil</c:v>
                </c:pt>
                <c:pt idx="3">
                  <c:v>Renovation</c:v>
                </c:pt>
                <c:pt idx="4">
                  <c:v>Drift non road</c:v>
                </c:pt>
                <c:pt idx="5">
                  <c:v>Drift</c:v>
                </c:pt>
                <c:pt idx="6">
                  <c:v>Aktivitet og pleje</c:v>
                </c:pt>
                <c:pt idx="7">
                  <c:v>Rengøring</c:v>
                </c:pt>
                <c:pt idx="8">
                  <c:v>Øvrig TM</c:v>
                </c:pt>
                <c:pt idx="9">
                  <c:v>Tandplejen</c:v>
                </c:pt>
              </c:strCache>
            </c:strRef>
          </c:cat>
          <c:val>
            <c:numRef>
              <c:f>'resultater 2007-2013'!$G$9:$G$18</c:f>
              <c:numCache>
                <c:formatCode>_ * #,##0_ ;_ * \-#,##0_ ;_ * "-"??_ ;_ @_ </c:formatCode>
                <c:ptCount val="10"/>
                <c:pt idx="0">
                  <c:v>1044</c:v>
                </c:pt>
                <c:pt idx="1">
                  <c:v>967</c:v>
                </c:pt>
                <c:pt idx="2">
                  <c:v>592</c:v>
                </c:pt>
                <c:pt idx="3">
                  <c:v>550</c:v>
                </c:pt>
                <c:pt idx="4">
                  <c:v>515</c:v>
                </c:pt>
                <c:pt idx="5">
                  <c:v>504</c:v>
                </c:pt>
                <c:pt idx="6">
                  <c:v>152.22</c:v>
                </c:pt>
                <c:pt idx="7">
                  <c:v>32.17</c:v>
                </c:pt>
                <c:pt idx="8">
                  <c:v>13.25</c:v>
                </c:pt>
                <c:pt idx="9">
                  <c:v>4.45</c:v>
                </c:pt>
              </c:numCache>
            </c:numRef>
          </c:val>
        </c:ser>
        <c:ser>
          <c:idx val="6"/>
          <c:order val="6"/>
          <c:tx>
            <c:strRef>
              <c:f>'resultater 2007-2013'!$H$8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'resultater 2007-2013'!$A$9:$A$18</c:f>
              <c:strCache>
                <c:ptCount val="10"/>
                <c:pt idx="0">
                  <c:v>Bus</c:v>
                </c:pt>
                <c:pt idx="1">
                  <c:v>Anden kørsel</c:v>
                </c:pt>
                <c:pt idx="2">
                  <c:v>Egen bil</c:v>
                </c:pt>
                <c:pt idx="3">
                  <c:v>Renovation</c:v>
                </c:pt>
                <c:pt idx="4">
                  <c:v>Drift non road</c:v>
                </c:pt>
                <c:pt idx="5">
                  <c:v>Drift</c:v>
                </c:pt>
                <c:pt idx="6">
                  <c:v>Aktivitet og pleje</c:v>
                </c:pt>
                <c:pt idx="7">
                  <c:v>Rengøring</c:v>
                </c:pt>
                <c:pt idx="8">
                  <c:v>Øvrig TM</c:v>
                </c:pt>
                <c:pt idx="9">
                  <c:v>Tandplejen</c:v>
                </c:pt>
              </c:strCache>
            </c:strRef>
          </c:cat>
          <c:val>
            <c:numRef>
              <c:f>'resultater 2007-2013'!$H$9:$H$18</c:f>
              <c:numCache>
                <c:formatCode>_ * #,##0_ ;_ * \-#,##0_ ;_ * "-"??_ ;_ @_ </c:formatCode>
                <c:ptCount val="10"/>
                <c:pt idx="0">
                  <c:v>1048</c:v>
                </c:pt>
                <c:pt idx="1">
                  <c:v>967</c:v>
                </c:pt>
                <c:pt idx="2">
                  <c:v>489</c:v>
                </c:pt>
                <c:pt idx="3">
                  <c:v>452</c:v>
                </c:pt>
                <c:pt idx="4">
                  <c:v>462</c:v>
                </c:pt>
                <c:pt idx="5">
                  <c:v>531</c:v>
                </c:pt>
                <c:pt idx="6">
                  <c:v>232</c:v>
                </c:pt>
                <c:pt idx="7">
                  <c:v>9.94</c:v>
                </c:pt>
                <c:pt idx="8">
                  <c:v>9.69</c:v>
                </c:pt>
                <c:pt idx="9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26448"/>
        <c:axId val="408826840"/>
      </c:barChart>
      <c:catAx>
        <c:axId val="40882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8826840"/>
        <c:crosses val="autoZero"/>
        <c:auto val="1"/>
        <c:lblAlgn val="ctr"/>
        <c:lblOffset val="100"/>
        <c:noMultiLvlLbl val="0"/>
      </c:catAx>
      <c:valAx>
        <c:axId val="40882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8826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000" b="0" i="0" baseline="0">
                <a:effectLst/>
              </a:rPr>
              <a:t>CO</a:t>
            </a:r>
            <a:r>
              <a:rPr lang="da-DK" sz="1000" b="0" i="0" baseline="-25000">
                <a:effectLst/>
              </a:rPr>
              <a:t>2</a:t>
            </a:r>
            <a:r>
              <a:rPr lang="da-DK" sz="1000" b="0" i="0" baseline="0">
                <a:effectLst/>
              </a:rPr>
              <a:t> [ton/år] </a:t>
            </a:r>
            <a:r>
              <a:rPr lang="da-DK" sz="1000" b="1" i="0" baseline="0">
                <a:effectLst/>
              </a:rPr>
              <a:t>ALLE KOMMUNALE AKTIVITETER</a:t>
            </a:r>
            <a:r>
              <a:rPr lang="da-DK" sz="1000" b="0" i="0" baseline="0">
                <a:effectLst/>
              </a:rPr>
              <a:t>, faktisk udledning vs. klimamål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'resultater 2007-2013'!$A$21</c:f>
              <c:strCache>
                <c:ptCount val="1"/>
                <c:pt idx="0">
                  <c:v>Faktisk udledning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Prognose for faktisk udledning</c:nam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2007-2013'!$B$20:$J$20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xVal>
          <c:yVal>
            <c:numRef>
              <c:f>'resultater 2007-2013'!$B$21:$J$21</c:f>
              <c:numCache>
                <c:formatCode>_ * #,##0_ ;_ * \-#,##0_ ;_ * "-"??_ ;_ @_ </c:formatCode>
                <c:ptCount val="9"/>
                <c:pt idx="0">
                  <c:v>18644.124354</c:v>
                </c:pt>
                <c:pt idx="1">
                  <c:v>18986.124354</c:v>
                </c:pt>
                <c:pt idx="2">
                  <c:v>19078.757639302596</c:v>
                </c:pt>
                <c:pt idx="3">
                  <c:v>20027.38</c:v>
                </c:pt>
                <c:pt idx="4">
                  <c:v>17346.95</c:v>
                </c:pt>
                <c:pt idx="5">
                  <c:v>17244.09</c:v>
                </c:pt>
                <c:pt idx="6">
                  <c:v>17036.129999999997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'resultater 2007-2013'!$A$22</c:f>
              <c:strCache>
                <c:ptCount val="1"/>
                <c:pt idx="0">
                  <c:v>Klimamål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name>Klimamål</c:nam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2007-2013'!$B$20:$J$20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xVal>
          <c:yVal>
            <c:numRef>
              <c:f>'resultater 2007-2013'!$B$22:$J$22</c:f>
              <c:numCache>
                <c:formatCode>_ * #,##0_ ;_ * \-#,##0_ ;_ * "-"??_ ;_ @_ </c:formatCode>
                <c:ptCount val="9"/>
                <c:pt idx="0">
                  <c:v>18644.124354</c:v>
                </c:pt>
                <c:pt idx="8">
                  <c:v>13983.0932655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630376"/>
        <c:axId val="408828408"/>
      </c:scatterChart>
      <c:valAx>
        <c:axId val="369630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08828408"/>
        <c:crosses val="autoZero"/>
        <c:crossBetween val="midCat"/>
      </c:valAx>
      <c:valAx>
        <c:axId val="408828408"/>
        <c:scaling>
          <c:orientation val="minMax"/>
          <c:min val="1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69630376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000" b="0" i="0" baseline="0">
                <a:effectLst/>
              </a:rPr>
              <a:t>CO</a:t>
            </a:r>
            <a:r>
              <a:rPr lang="da-DK" sz="1000" b="0" i="0" baseline="-25000">
                <a:effectLst/>
              </a:rPr>
              <a:t>2</a:t>
            </a:r>
            <a:r>
              <a:rPr lang="da-DK" sz="1000" b="0" i="0" baseline="0">
                <a:effectLst/>
              </a:rPr>
              <a:t> [ton/år] fra </a:t>
            </a:r>
            <a:r>
              <a:rPr lang="da-DK" sz="1000" b="1" i="0" baseline="0">
                <a:effectLst/>
              </a:rPr>
              <a:t>EL OG VARME I KOMMUNALE EJENDOMME</a:t>
            </a:r>
            <a:r>
              <a:rPr lang="da-DK" sz="1000" b="0" i="0" baseline="0">
                <a:effectLst/>
              </a:rPr>
              <a:t>, faktisk udledning vs. klimamål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'resultater 2007-2013'!$A$42</c:f>
              <c:strCache>
                <c:ptCount val="1"/>
                <c:pt idx="0">
                  <c:v>Faktisk udledning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Prognose for faktisk udledning</c:nam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2007-2013'!$B$41:$J$41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xVal>
          <c:yVal>
            <c:numRef>
              <c:f>'resultater 2007-2013'!$B$42:$J$42</c:f>
              <c:numCache>
                <c:formatCode>#,##0</c:formatCode>
                <c:ptCount val="9"/>
                <c:pt idx="0">
                  <c:v>12313</c:v>
                </c:pt>
                <c:pt idx="1">
                  <c:v>12655</c:v>
                </c:pt>
                <c:pt idx="2" formatCode="_ * #,##0_ ;_ * \-#,##0_ ;_ * &quot;-&quot;?_ ;_ @_ ">
                  <c:v>12650</c:v>
                </c:pt>
                <c:pt idx="3" formatCode="_ * #,##0_ ;_ * \-#,##0_ ;_ * &quot;-&quot;?_ ;_ @_ ">
                  <c:v>13140</c:v>
                </c:pt>
                <c:pt idx="4" formatCode="_ * #,##0_ ;_ * \-#,##0_ ;_ * &quot;-&quot;?_ ;_ @_ ">
                  <c:v>10865</c:v>
                </c:pt>
                <c:pt idx="5" formatCode="_ * #,##0_ ;_ * \-#,##0_ ;_ * &quot;-&quot;?_ ;_ @_ ">
                  <c:v>10922</c:v>
                </c:pt>
                <c:pt idx="6" formatCode="_ * #,##0_ ;_ * \-#,##0_ ;_ * &quot;-&quot;?_ ;_ @_ ">
                  <c:v>10602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'resultater 2007-2013'!$A$43</c:f>
              <c:strCache>
                <c:ptCount val="1"/>
                <c:pt idx="0">
                  <c:v>Klimamål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Klimamål</c:nam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2007-2013'!$B$41:$J$41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xVal>
          <c:yVal>
            <c:numRef>
              <c:f>'resultater 2007-2013'!$B$43:$J$43</c:f>
              <c:numCache>
                <c:formatCode>#,##0</c:formatCode>
                <c:ptCount val="9"/>
                <c:pt idx="0">
                  <c:v>12313</c:v>
                </c:pt>
                <c:pt idx="8" formatCode="_ * #,##0_ ;_ * \-#,##0_ ;_ * &quot;-&quot;??_ ;_ @_ ">
                  <c:v>9234.75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765072"/>
        <c:axId val="397825600"/>
      </c:scatterChart>
      <c:valAx>
        <c:axId val="39576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7825600"/>
        <c:crosses val="autoZero"/>
        <c:crossBetween val="midCat"/>
      </c:valAx>
      <c:valAx>
        <c:axId val="397825600"/>
        <c:scaling>
          <c:orientation val="minMax"/>
          <c:min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5765072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000" b="0" i="0" baseline="0">
                <a:effectLst/>
              </a:rPr>
              <a:t>CO</a:t>
            </a:r>
            <a:r>
              <a:rPr lang="da-DK" sz="1000" b="0" i="0" baseline="-25000">
                <a:effectLst/>
              </a:rPr>
              <a:t>2</a:t>
            </a:r>
            <a:r>
              <a:rPr lang="da-DK" sz="1000" b="0" i="0" baseline="0">
                <a:effectLst/>
              </a:rPr>
              <a:t> [ton/år] fra </a:t>
            </a:r>
            <a:r>
              <a:rPr lang="da-DK" sz="1000" b="1" i="0" baseline="0">
                <a:effectLst/>
              </a:rPr>
              <a:t>KOMMUNENS BRÆNDSTOFFORBRUG</a:t>
            </a:r>
            <a:r>
              <a:rPr lang="da-DK" sz="1000" b="0" i="0" baseline="0">
                <a:effectLst/>
              </a:rPr>
              <a:t>, faktisk udledning vs. klimamål</a:t>
            </a:r>
          </a:p>
        </c:rich>
      </c:tx>
      <c:layout>
        <c:manualLayout>
          <c:xMode val="edge"/>
          <c:yMode val="edge"/>
          <c:x val="0.2062247878184589"/>
          <c:y val="3.98852179043347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0423333328358675"/>
          <c:y val="0.15388979352588705"/>
          <c:w val="0.77987189264293044"/>
          <c:h val="0.537568408368482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'resultater 2007-2013'!$A$63</c:f>
              <c:strCache>
                <c:ptCount val="1"/>
                <c:pt idx="0">
                  <c:v>Faktisk udledning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Prognose for faktisk udledning</c:nam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2007-2013'!$B$62:$J$62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xVal>
          <c:yVal>
            <c:numRef>
              <c:f>'resultater 2007-2013'!$B$63:$J$63</c:f>
              <c:numCache>
                <c:formatCode>_ * #,##0_ ;_ * \-#,##0_ ;_ * "-"??_ ;_ @_ </c:formatCode>
                <c:ptCount val="9"/>
                <c:pt idx="0">
                  <c:v>4051.124354</c:v>
                </c:pt>
                <c:pt idx="1">
                  <c:v>4051.124354</c:v>
                </c:pt>
                <c:pt idx="2">
                  <c:v>4148.7576393025947</c:v>
                </c:pt>
                <c:pt idx="3">
                  <c:v>4435.38</c:v>
                </c:pt>
                <c:pt idx="4">
                  <c:v>4196.95</c:v>
                </c:pt>
                <c:pt idx="5">
                  <c:v>4374.09</c:v>
                </c:pt>
                <c:pt idx="6">
                  <c:v>4202.1299999999992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'resultater 2007-2013'!$A$64</c:f>
              <c:strCache>
                <c:ptCount val="1"/>
                <c:pt idx="0">
                  <c:v>Klimamål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name>Klimamål</c:name>
            <c:spPr>
              <a:ln w="22225" cap="rnd" cmpd="sng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2007-2013'!$B$62:$J$62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xVal>
          <c:yVal>
            <c:numRef>
              <c:f>'resultater 2007-2013'!$B$64:$J$64</c:f>
              <c:numCache>
                <c:formatCode>_ * #,##0_ ;_ * \-#,##0_ ;_ * "-"??_ ;_ @_ </c:formatCode>
                <c:ptCount val="9"/>
                <c:pt idx="0">
                  <c:v>4051.124354</c:v>
                </c:pt>
                <c:pt idx="8">
                  <c:v>3038.3432655000001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248272"/>
        <c:axId val="397827168"/>
      </c:scatterChart>
      <c:valAx>
        <c:axId val="33524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7827168"/>
        <c:crosses val="autoZero"/>
        <c:crossBetween val="midCat"/>
      </c:valAx>
      <c:valAx>
        <c:axId val="397827168"/>
        <c:scaling>
          <c:orientation val="minMax"/>
          <c:max val="48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35248272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000" b="0" i="0" baseline="0">
                <a:effectLst/>
              </a:rPr>
              <a:t>CO</a:t>
            </a:r>
            <a:r>
              <a:rPr lang="da-DK" sz="1000" b="0" i="0" baseline="-25000">
                <a:effectLst/>
              </a:rPr>
              <a:t>2</a:t>
            </a:r>
            <a:r>
              <a:rPr lang="da-DK" sz="1000" b="0" i="0" baseline="0">
                <a:effectLst/>
              </a:rPr>
              <a:t> [tons/år] fra </a:t>
            </a:r>
            <a:r>
              <a:rPr lang="da-DK" sz="1000" b="1" i="0" baseline="0">
                <a:effectLst/>
              </a:rPr>
              <a:t>VEJBELYSNING</a:t>
            </a:r>
            <a:r>
              <a:rPr lang="da-DK" sz="1000" b="0" i="0" baseline="0">
                <a:effectLst/>
              </a:rPr>
              <a:t>, faktisk udledning vs. klimamål</a:t>
            </a:r>
            <a:endParaRPr lang="da-DK" sz="10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'resultater 2007-2013'!$A$88</c:f>
              <c:strCache>
                <c:ptCount val="1"/>
                <c:pt idx="0">
                  <c:v>Faktisk udledning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name>Prognose for faktisk udledning</c:name>
            <c:spPr>
              <a:ln w="19050" cap="rnd">
                <a:solidFill>
                  <a:schemeClr val="accent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2007-2013'!$B$87:$J$87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xVal>
          <c:yVal>
            <c:numRef>
              <c:f>'resultater 2007-2013'!$B$88:$J$88</c:f>
              <c:numCache>
                <c:formatCode>_ * #,##0_ ;_ * \-#,##0_ ;_ * "-"??_ ;_ @_ </c:formatCode>
                <c:ptCount val="9"/>
                <c:pt idx="0">
                  <c:v>2280</c:v>
                </c:pt>
                <c:pt idx="1">
                  <c:v>2280</c:v>
                </c:pt>
                <c:pt idx="2">
                  <c:v>2280</c:v>
                </c:pt>
                <c:pt idx="3">
                  <c:v>2452</c:v>
                </c:pt>
                <c:pt idx="4">
                  <c:v>2285</c:v>
                </c:pt>
                <c:pt idx="5">
                  <c:v>1948</c:v>
                </c:pt>
                <c:pt idx="6">
                  <c:v>2232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'resultater 2007-2013'!$A$89</c:f>
              <c:strCache>
                <c:ptCount val="1"/>
                <c:pt idx="0">
                  <c:v>Klimamål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name>Klimamål</c:nam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'resultater 2007-2013'!$B$87:$J$87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xVal>
          <c:yVal>
            <c:numRef>
              <c:f>'resultater 2007-2013'!$B$89:$J$89</c:f>
              <c:numCache>
                <c:formatCode>_ * #,##0_ ;_ * \-#,##0_ ;_ * "-"??_ ;_ @_ </c:formatCode>
                <c:ptCount val="9"/>
                <c:pt idx="0">
                  <c:v>2280</c:v>
                </c:pt>
                <c:pt idx="8">
                  <c:v>1710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828344"/>
        <c:axId val="397828736"/>
      </c:scatterChart>
      <c:valAx>
        <c:axId val="39782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7828736"/>
        <c:crosses val="autoZero"/>
        <c:crossBetween val="midCat"/>
      </c:valAx>
      <c:valAx>
        <c:axId val="39782873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97828344"/>
        <c:crosses val="autoZero"/>
        <c:crossBetween val="midCat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</c:dTable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</a:t>
            </a:r>
            <a:r>
              <a:rPr lang="en-US" baseline="-25000"/>
              <a:t>2</a:t>
            </a:r>
            <a:r>
              <a:rPr lang="en-US"/>
              <a:t>-udledning kommunale aktiviteter 2013, fordeling [%]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4550082551516416"/>
          <c:y val="8.9324042818317337E-2"/>
          <c:w val="0.52104152314791885"/>
          <c:h val="0.88148241661623972"/>
        </c:manualLayout>
      </c:layout>
      <c:pieChart>
        <c:varyColors val="1"/>
        <c:ser>
          <c:idx val="0"/>
          <c:order val="0"/>
          <c:tx>
            <c:strRef>
              <c:f>'resultater 2007-2013'!$H$3</c:f>
              <c:strCache>
                <c:ptCount val="1"/>
                <c:pt idx="0">
                  <c:v>2013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33CC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99F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99CCF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66FFF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rgbClr val="00CC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rgbClr val="33993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-3.2849424226045702E-3"/>
                  <c:y val="1.254993856426908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3989480427188742E-3"/>
                  <c:y val="-1.5959829941284415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8388888525385593E-3"/>
                  <c:y val="4.747956388907044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5766378654575666E-2"/>
                  <c:y val="-2.9013988032477718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5634383539020507E-2"/>
                  <c:y val="7.3325483746291263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'resultater 2007-2013'!$A$4:$A$18</c15:sqref>
                  </c15:fullRef>
                </c:ext>
              </c:extLst>
              <c:f>('resultater 2007-2013'!$A$4:$A$6,'resultater 2007-2013'!$A$9:$A$14)</c:f>
              <c:strCache>
                <c:ptCount val="9"/>
                <c:pt idx="0">
                  <c:v>El</c:v>
                </c:pt>
                <c:pt idx="1">
                  <c:v>Varme</c:v>
                </c:pt>
                <c:pt idx="2">
                  <c:v>Vejbelysning</c:v>
                </c:pt>
                <c:pt idx="3">
                  <c:v>Bus</c:v>
                </c:pt>
                <c:pt idx="4">
                  <c:v>Anden kørsel</c:v>
                </c:pt>
                <c:pt idx="5">
                  <c:v>Egen bil</c:v>
                </c:pt>
                <c:pt idx="6">
                  <c:v>Renovation</c:v>
                </c:pt>
                <c:pt idx="7">
                  <c:v>Drift non road</c:v>
                </c:pt>
                <c:pt idx="8">
                  <c:v>Drift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'resultater 2007-2013'!$H$4:$H$18</c15:sqref>
                  </c15:fullRef>
                </c:ext>
              </c:extLst>
              <c:f>('resultater 2007-2013'!$H$4:$H$6,'resultater 2007-2013'!$H$9:$H$14)</c:f>
              <c:numCache>
                <c:formatCode>_ * #,##0_ ;_ * \-#,##0_ ;_ * "-"??_ ;_ @_ </c:formatCode>
                <c:ptCount val="9"/>
                <c:pt idx="0">
                  <c:v>7250.7150000000001</c:v>
                </c:pt>
                <c:pt idx="1">
                  <c:v>3351.2849999999999</c:v>
                </c:pt>
                <c:pt idx="2">
                  <c:v>2232</c:v>
                </c:pt>
                <c:pt idx="3">
                  <c:v>1048</c:v>
                </c:pt>
                <c:pt idx="4">
                  <c:v>967</c:v>
                </c:pt>
                <c:pt idx="5">
                  <c:v>489</c:v>
                </c:pt>
                <c:pt idx="6">
                  <c:v>452</c:v>
                </c:pt>
                <c:pt idx="7">
                  <c:v>462</c:v>
                </c:pt>
                <c:pt idx="8">
                  <c:v>531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'resultater 2007-2013'!$H$17</c15:sqref>
                  <c15:dLbl>
                    <c:idx val="8"/>
                    <c:layout>
                      <c:manualLayout>
                        <c:x val="-0.10487041483889602"/>
                        <c:y val="5.5061271434987125E-2"/>
                      </c:manualLayout>
                    </c:layout>
                    <c:dLblPos val="bestFit"/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'resultater 2007-2013'!$H$18</c15:sqref>
                  <c15:dLbl>
                    <c:idx val="8"/>
                    <c:layout>
                      <c:manualLayout>
                        <c:x val="2.3147607221162353E-2"/>
                        <c:y val="-2.353025514302642E-3"/>
                      </c:manualLayout>
                    </c:layout>
                    <c:dLblPos val="bestFit"/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51687000807244E-2"/>
          <c:y val="8.2294264339152115E-2"/>
          <c:w val="0.48790386622126258"/>
          <c:h val="0.9052369077306733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baggrund!$R$9:$S$14</c:f>
              <c:multiLvlStrCache>
                <c:ptCount val="6"/>
                <c:lvl>
                  <c:pt idx="1">
                    <c:v>Kommunes bilpark</c:v>
                  </c:pt>
                  <c:pt idx="2">
                    <c:v>Medarbejdernes egne biler</c:v>
                  </c:pt>
                  <c:pt idx="3">
                    <c:v>Maskiner mv</c:v>
                  </c:pt>
                  <c:pt idx="4">
                    <c:v>Øvrige - rennovation, brand og redning mv</c:v>
                  </c:pt>
                </c:lvl>
                <c:lvl>
                  <c:pt idx="0">
                    <c:v>Bygninger</c:v>
                  </c:pt>
                  <c:pt idx="1">
                    <c:v>Kørsel:</c:v>
                  </c:pt>
                  <c:pt idx="2">
                    <c:v>Kørsel:</c:v>
                  </c:pt>
                  <c:pt idx="3">
                    <c:v>Kørsel:</c:v>
                  </c:pt>
                  <c:pt idx="4">
                    <c:v>Kørsel:</c:v>
                  </c:pt>
                  <c:pt idx="5">
                    <c:v>Vejbelysning</c:v>
                  </c:pt>
                </c:lvl>
              </c:multiLvlStrCache>
            </c:multiLvlStrRef>
          </c:cat>
          <c:val>
            <c:numRef>
              <c:f>baggrund!$T$9:$T$14</c:f>
              <c:numCache>
                <c:formatCode>#,##0.00</c:formatCode>
                <c:ptCount val="6"/>
                <c:pt idx="0">
                  <c:v>10391.120883200658</c:v>
                </c:pt>
                <c:pt idx="1">
                  <c:v>673.8</c:v>
                </c:pt>
                <c:pt idx="2">
                  <c:v>592</c:v>
                </c:pt>
                <c:pt idx="3">
                  <c:v>467</c:v>
                </c:pt>
                <c:pt idx="4">
                  <c:v>2692</c:v>
                </c:pt>
                <c:pt idx="5" formatCode="0.00">
                  <c:v>1948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915662650602405"/>
          <c:y val="0.34434782608695652"/>
          <c:w val="0.30000000000000004"/>
          <c:h val="0.316521739130434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da-DK" sz="1800" b="1" i="0" u="none" strike="noStrike" baseline="0">
                <a:solidFill>
                  <a:srgbClr val="000000"/>
                </a:solidFill>
                <a:latin typeface="Calibri"/>
              </a:rPr>
              <a:t>CO</a:t>
            </a:r>
            <a:r>
              <a:rPr lang="da-DK" sz="1800" b="1" i="0" u="none" strike="noStrike" baseline="-25000">
                <a:solidFill>
                  <a:srgbClr val="000000"/>
                </a:solidFill>
                <a:latin typeface="Calibri"/>
              </a:rPr>
              <a:t>2</a:t>
            </a:r>
            <a:r>
              <a:rPr lang="da-DK" sz="1800" b="1" i="0" u="none" strike="noStrike" baseline="0">
                <a:solidFill>
                  <a:srgbClr val="000000"/>
                </a:solidFill>
                <a:latin typeface="Calibri"/>
              </a:rPr>
              <a:t>-udledning Herning Kommune som virksomhed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baggrund!$D$57</c:f>
              <c:strCache>
                <c:ptCount val="1"/>
                <c:pt idx="0">
                  <c:v>Udledning ton</c:v>
                </c:pt>
              </c:strCache>
            </c:strRef>
          </c:tx>
          <c:marker>
            <c:symbol val="none"/>
          </c:marker>
          <c:cat>
            <c:numRef>
              <c:f>baggrund!$E$56:$I$56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baggrund!$E$57:$I$57</c:f>
              <c:numCache>
                <c:formatCode>#,##0.00</c:formatCode>
                <c:ptCount val="5"/>
                <c:pt idx="0">
                  <c:v>17265.746073065126</c:v>
                </c:pt>
                <c:pt idx="1">
                  <c:v>18071.777053462047</c:v>
                </c:pt>
                <c:pt idx="2">
                  <c:v>16982.375488249636</c:v>
                </c:pt>
                <c:pt idx="3">
                  <c:v>16867.310883200662</c:v>
                </c:pt>
                <c:pt idx="4" formatCode="General">
                  <c:v>16366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baggrund!$D$58</c:f>
              <c:strCache>
                <c:ptCount val="1"/>
                <c:pt idx="0">
                  <c:v>Forpligtelse akk</c:v>
                </c:pt>
              </c:strCache>
            </c:strRef>
          </c:tx>
          <c:marker>
            <c:symbol val="none"/>
          </c:marker>
          <c:cat>
            <c:numRef>
              <c:f>baggrund!$E$56:$I$56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baggrund!$E$59:$I$59</c:f>
              <c:numCache>
                <c:formatCode>0</c:formatCode>
                <c:ptCount val="5"/>
                <c:pt idx="0" formatCode="#,##0.00">
                  <c:v>17265.746073065126</c:v>
                </c:pt>
                <c:pt idx="1">
                  <c:v>16661.444960507844</c:v>
                </c:pt>
                <c:pt idx="2">
                  <c:v>16057.143847950567</c:v>
                </c:pt>
                <c:pt idx="3">
                  <c:v>15452.842735393288</c:v>
                </c:pt>
                <c:pt idx="4">
                  <c:v>14848.541622836008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431472"/>
        <c:axId val="383431864"/>
      </c:lineChart>
      <c:catAx>
        <c:axId val="38343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3431864"/>
        <c:crosses val="autoZero"/>
        <c:auto val="1"/>
        <c:lblAlgn val="ctr"/>
        <c:lblOffset val="100"/>
        <c:noMultiLvlLbl val="0"/>
      </c:catAx>
      <c:valAx>
        <c:axId val="383431864"/>
        <c:scaling>
          <c:orientation val="minMax"/>
          <c:min val="1450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383431472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604629</xdr:colOff>
      <xdr:row>0</xdr:row>
      <xdr:rowOff>7454</xdr:rowOff>
    </xdr:from>
    <xdr:to>
      <xdr:col>19</xdr:col>
      <xdr:colOff>596348</xdr:colOff>
      <xdr:row>18</xdr:row>
      <xdr:rowOff>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604630</xdr:colOff>
      <xdr:row>18</xdr:row>
      <xdr:rowOff>49695</xdr:rowOff>
    </xdr:from>
    <xdr:to>
      <xdr:col>23</xdr:col>
      <xdr:colOff>207066</xdr:colOff>
      <xdr:row>38</xdr:row>
      <xdr:rowOff>74542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24018</xdr:rowOff>
    </xdr:from>
    <xdr:to>
      <xdr:col>6</xdr:col>
      <xdr:colOff>662608</xdr:colOff>
      <xdr:row>39</xdr:row>
      <xdr:rowOff>132521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43</xdr:row>
      <xdr:rowOff>48866</xdr:rowOff>
    </xdr:from>
    <xdr:to>
      <xdr:col>7</xdr:col>
      <xdr:colOff>670891</xdr:colOff>
      <xdr:row>60</xdr:row>
      <xdr:rowOff>157370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64</xdr:row>
      <xdr:rowOff>73716</xdr:rowOff>
    </xdr:from>
    <xdr:to>
      <xdr:col>8</xdr:col>
      <xdr:colOff>0</xdr:colOff>
      <xdr:row>85</xdr:row>
      <xdr:rowOff>157369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49695</xdr:colOff>
      <xdr:row>89</xdr:row>
      <xdr:rowOff>131691</xdr:rowOff>
    </xdr:from>
    <xdr:to>
      <xdr:col>7</xdr:col>
      <xdr:colOff>679174</xdr:colOff>
      <xdr:row>107</xdr:row>
      <xdr:rowOff>124239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579782</xdr:colOff>
      <xdr:row>38</xdr:row>
      <xdr:rowOff>156541</xdr:rowOff>
    </xdr:from>
    <xdr:to>
      <xdr:col>21</xdr:col>
      <xdr:colOff>231915</xdr:colOff>
      <xdr:row>67</xdr:row>
      <xdr:rowOff>33129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295275</xdr:colOff>
      <xdr:row>19</xdr:row>
      <xdr:rowOff>28575</xdr:rowOff>
    </xdr:from>
    <xdr:to>
      <xdr:col>27</xdr:col>
      <xdr:colOff>409575</xdr:colOff>
      <xdr:row>43</xdr:row>
      <xdr:rowOff>66675</xdr:rowOff>
    </xdr:to>
    <xdr:graphicFrame macro="">
      <xdr:nvGraphicFramePr>
        <xdr:cNvPr id="1103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50</xdr:row>
      <xdr:rowOff>114300</xdr:rowOff>
    </xdr:from>
    <xdr:to>
      <xdr:col>14</xdr:col>
      <xdr:colOff>1333500</xdr:colOff>
      <xdr:row>67</xdr:row>
      <xdr:rowOff>104775</xdr:rowOff>
    </xdr:to>
    <xdr:graphicFrame macro="">
      <xdr:nvGraphicFramePr>
        <xdr:cNvPr id="1104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581025</xdr:colOff>
      <xdr:row>66</xdr:row>
      <xdr:rowOff>123825</xdr:rowOff>
    </xdr:from>
    <xdr:to>
      <xdr:col>7</xdr:col>
      <xdr:colOff>733425</xdr:colOff>
      <xdr:row>83</xdr:row>
      <xdr:rowOff>114300</xdr:rowOff>
    </xdr:to>
    <xdr:graphicFrame macro="">
      <xdr:nvGraphicFramePr>
        <xdr:cNvPr id="1105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0.18904</cdr:x>
      <cdr:y>0.033</cdr:y>
    </cdr:from>
    <cdr:to>
      <cdr:x>0.78947</cdr:x>
      <cdr:y>0.14232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9460" y="184231"/>
          <a:ext cx="4752620" cy="599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a-DK" sz="1800" b="1" i="0" u="none" strike="noStrike" baseline="0">
              <a:solidFill>
                <a:srgbClr val="000000"/>
              </a:solidFill>
              <a:latin typeface="Calibri"/>
            </a:rPr>
            <a:t>Fordelign af CO</a:t>
          </a:r>
          <a:r>
            <a:rPr lang="da-DK" sz="1800" b="1" i="0" u="none" strike="noStrike" baseline="-25000">
              <a:solidFill>
                <a:srgbClr val="000000"/>
              </a:solidFill>
              <a:latin typeface="Calibri"/>
            </a:rPr>
            <a:t>2</a:t>
          </a:r>
          <a:r>
            <a:rPr lang="da-DK" sz="1800" b="1" i="0" u="none" strike="noStrike" baseline="0">
              <a:solidFill>
                <a:srgbClr val="000000"/>
              </a:solidFill>
              <a:latin typeface="Calibri"/>
            </a:rPr>
            <a:t>-udledning på sektorerne 2012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n\Gr&#248;nt%20regnskab\DN\2009\Herning%20Kommune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n\Gr&#248;nt%20regnskab\Gr&#248;nt%20regnskab%202009\Bildrift\opg&#248;relse%20bildrift%20kommun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n\Gr&#248;nt%20regnskab\Gr&#248;nt%20regnskab%202010\DRIFT\drift%20gr&#248;nt%20regnskab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oler 09"/>
      <sheetName val="adm 09"/>
      <sheetName val="dagins 09"/>
      <sheetName val="Andre 09"/>
      <sheetName val="Skoler"/>
      <sheetName val="I alt bygninger"/>
      <sheetName val="emmissionsfaktorer"/>
      <sheetName val="Kollektiv trafik"/>
      <sheetName val="kørsel"/>
      <sheetName val="Kørsel skraldebiler"/>
      <sheetName val="Transport i alt"/>
      <sheetName val="Vejbelysn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3">
          <cell r="G23">
            <v>1186.4592</v>
          </cell>
        </row>
      </sheetData>
      <sheetData sheetId="8" refreshError="1"/>
      <sheetData sheetId="9" refreshError="1">
        <row r="4">
          <cell r="F4">
            <v>5008.1184000000003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ørselsgodtgørelse"/>
      <sheetName val="kommunens biler"/>
      <sheetName val="tabel forbrug"/>
      <sheetName val="Rengøring"/>
    </sheetNames>
    <sheetDataSet>
      <sheetData sheetId="0" refreshError="1">
        <row r="13">
          <cell r="F13">
            <v>654.63328530259366</v>
          </cell>
        </row>
      </sheetData>
      <sheetData sheetId="1" refreshError="1">
        <row r="7">
          <cell r="I7">
            <v>2.2538999999999998</v>
          </cell>
        </row>
        <row r="8">
          <cell r="I8">
            <v>1.5608880000000001</v>
          </cell>
        </row>
        <row r="9">
          <cell r="I9">
            <v>2.693327</v>
          </cell>
        </row>
        <row r="10">
          <cell r="I10">
            <v>2.2834400000000001</v>
          </cell>
        </row>
        <row r="11">
          <cell r="I11">
            <v>3.8737200000000001</v>
          </cell>
        </row>
        <row r="12">
          <cell r="I12">
            <v>1.112384</v>
          </cell>
        </row>
        <row r="16">
          <cell r="I16">
            <v>1.970124</v>
          </cell>
        </row>
        <row r="17">
          <cell r="I17">
            <v>3.29766</v>
          </cell>
        </row>
        <row r="18">
          <cell r="I18">
            <v>7.5616320000000004</v>
          </cell>
        </row>
        <row r="19">
          <cell r="I19">
            <v>2.5015200000000002</v>
          </cell>
        </row>
        <row r="20">
          <cell r="I20">
            <v>0.44783200000000001</v>
          </cell>
        </row>
        <row r="21">
          <cell r="I21">
            <v>0.35276400000000002</v>
          </cell>
        </row>
        <row r="22">
          <cell r="I22">
            <v>0.43280600000000002</v>
          </cell>
        </row>
        <row r="23">
          <cell r="I23">
            <v>1.0992660000000001</v>
          </cell>
        </row>
        <row r="24">
          <cell r="I24">
            <v>1.410072</v>
          </cell>
        </row>
        <row r="25">
          <cell r="I25">
            <v>0.51545200000000002</v>
          </cell>
        </row>
        <row r="26">
          <cell r="I26">
            <v>0.59859799999999996</v>
          </cell>
        </row>
        <row r="27">
          <cell r="I27">
            <v>0.102102</v>
          </cell>
        </row>
        <row r="28">
          <cell r="I28">
            <v>12.027927999999999</v>
          </cell>
        </row>
        <row r="29">
          <cell r="I29">
            <v>1.093953</v>
          </cell>
        </row>
        <row r="30">
          <cell r="I30">
            <v>3.0582240000000001</v>
          </cell>
        </row>
        <row r="31">
          <cell r="I31">
            <v>1.3109090000000001</v>
          </cell>
        </row>
        <row r="32">
          <cell r="I32">
            <v>1.1072740000000001</v>
          </cell>
        </row>
        <row r="33">
          <cell r="I33">
            <v>0.91425000000000001</v>
          </cell>
        </row>
        <row r="34">
          <cell r="I34">
            <v>0.63122999999999996</v>
          </cell>
        </row>
        <row r="35">
          <cell r="I35">
            <v>0.69848699999999997</v>
          </cell>
        </row>
        <row r="36">
          <cell r="I36">
            <v>0.37140000000000001</v>
          </cell>
        </row>
        <row r="37">
          <cell r="I37">
            <v>0.66420000000000001</v>
          </cell>
        </row>
        <row r="38">
          <cell r="I38">
            <v>1.0017750000000001</v>
          </cell>
        </row>
        <row r="39">
          <cell r="I39">
            <v>0.17791999999999999</v>
          </cell>
        </row>
        <row r="40">
          <cell r="I40">
            <v>9.2331999999999997E-2</v>
          </cell>
        </row>
        <row r="41">
          <cell r="I41">
            <v>8.9380000000000001E-2</v>
          </cell>
        </row>
        <row r="42">
          <cell r="I42">
            <v>0.34013599999999999</v>
          </cell>
        </row>
        <row r="43">
          <cell r="I43">
            <v>0.961314</v>
          </cell>
        </row>
        <row r="44">
          <cell r="I44">
            <v>2.2463980000000001</v>
          </cell>
        </row>
        <row r="45">
          <cell r="I45">
            <v>0.35574</v>
          </cell>
        </row>
        <row r="46">
          <cell r="I46">
            <v>1.521674</v>
          </cell>
        </row>
        <row r="47">
          <cell r="I47">
            <v>0.64919400000000005</v>
          </cell>
        </row>
        <row r="48">
          <cell r="I48">
            <v>3.0222720000000001</v>
          </cell>
        </row>
        <row r="49">
          <cell r="I49">
            <v>2.5626030000000002</v>
          </cell>
        </row>
        <row r="50">
          <cell r="I50">
            <v>0.40799400000000002</v>
          </cell>
        </row>
        <row r="51">
          <cell r="I51">
            <v>0.97117200000000004</v>
          </cell>
        </row>
        <row r="52">
          <cell r="I52">
            <v>2.442558</v>
          </cell>
        </row>
        <row r="53">
          <cell r="I53">
            <v>1.21536</v>
          </cell>
        </row>
        <row r="54">
          <cell r="I54">
            <v>0.90393000000000001</v>
          </cell>
        </row>
        <row r="55">
          <cell r="I55">
            <v>0.12371</v>
          </cell>
        </row>
        <row r="70">
          <cell r="I70">
            <v>2.5541999999999998</v>
          </cell>
        </row>
        <row r="71">
          <cell r="I71">
            <v>2.5541999999999998</v>
          </cell>
        </row>
        <row r="72">
          <cell r="I72">
            <v>2.5541999999999998</v>
          </cell>
        </row>
        <row r="73">
          <cell r="I73">
            <v>2.5541999999999998</v>
          </cell>
        </row>
        <row r="74">
          <cell r="I74">
            <v>3.827925</v>
          </cell>
        </row>
        <row r="75">
          <cell r="I75">
            <v>3.827925</v>
          </cell>
        </row>
        <row r="76">
          <cell r="I76">
            <v>3.827925</v>
          </cell>
        </row>
        <row r="77">
          <cell r="I77">
            <v>3.827925</v>
          </cell>
        </row>
        <row r="78">
          <cell r="I78">
            <v>3.827925</v>
          </cell>
        </row>
        <row r="79">
          <cell r="I79">
            <v>3.827925</v>
          </cell>
        </row>
        <row r="83">
          <cell r="I83">
            <v>1.39</v>
          </cell>
        </row>
        <row r="84">
          <cell r="I84">
            <v>1.6</v>
          </cell>
        </row>
        <row r="85">
          <cell r="I85">
            <v>1.46</v>
          </cell>
        </row>
        <row r="89">
          <cell r="I89">
            <v>0</v>
          </cell>
        </row>
        <row r="90">
          <cell r="I90">
            <v>0.32678800000000002</v>
          </cell>
        </row>
        <row r="91">
          <cell r="I91">
            <v>1.3930199999999999</v>
          </cell>
        </row>
        <row r="92">
          <cell r="I92">
            <v>2.1129600000000002</v>
          </cell>
        </row>
        <row r="93">
          <cell r="I93">
            <v>0.73858199999999996</v>
          </cell>
        </row>
        <row r="94">
          <cell r="I94">
            <v>1.4402569999999999</v>
          </cell>
        </row>
        <row r="95">
          <cell r="I95">
            <v>0</v>
          </cell>
        </row>
        <row r="96">
          <cell r="I96">
            <v>3.665727</v>
          </cell>
        </row>
        <row r="97">
          <cell r="I97">
            <v>2.64758</v>
          </cell>
        </row>
        <row r="98">
          <cell r="I98">
            <v>3.6447500000000002</v>
          </cell>
        </row>
        <row r="99">
          <cell r="I99" t="str">
            <v xml:space="preserve"> </v>
          </cell>
        </row>
        <row r="100">
          <cell r="I100">
            <v>2.0142199999999999</v>
          </cell>
        </row>
        <row r="101">
          <cell r="I101">
            <v>3.1706819999999998</v>
          </cell>
        </row>
        <row r="102">
          <cell r="I102">
            <v>3.3680400000000001</v>
          </cell>
        </row>
        <row r="103">
          <cell r="I103">
            <v>2.2496779999999998</v>
          </cell>
        </row>
        <row r="104">
          <cell r="I104">
            <v>0.74530200000000002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2.0119340000000001</v>
          </cell>
        </row>
        <row r="108">
          <cell r="I108">
            <v>8.3986040000000006</v>
          </cell>
        </row>
        <row r="109">
          <cell r="I109">
            <v>4.4089600000000004</v>
          </cell>
        </row>
        <row r="110">
          <cell r="I110">
            <v>62.004075</v>
          </cell>
        </row>
        <row r="111">
          <cell r="I111">
            <v>0</v>
          </cell>
        </row>
        <row r="112">
          <cell r="I112">
            <v>3.6903869999999999</v>
          </cell>
        </row>
        <row r="113">
          <cell r="I113">
            <v>0</v>
          </cell>
        </row>
        <row r="114">
          <cell r="I114" t="str">
            <v xml:space="preserve"> </v>
          </cell>
        </row>
        <row r="115">
          <cell r="I115">
            <v>0</v>
          </cell>
        </row>
        <row r="116">
          <cell r="I116">
            <v>5.2232399999999997</v>
          </cell>
        </row>
        <row r="117">
          <cell r="I117">
            <v>13.652176000000001</v>
          </cell>
        </row>
        <row r="118">
          <cell r="I118">
            <v>2.975355</v>
          </cell>
        </row>
        <row r="119">
          <cell r="I119">
            <v>1.788338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2.2903799999999999</v>
          </cell>
        </row>
        <row r="123">
          <cell r="I123" t="str">
            <v xml:space="preserve"> </v>
          </cell>
        </row>
        <row r="124">
          <cell r="I124">
            <v>2.2340279999999999</v>
          </cell>
        </row>
        <row r="125">
          <cell r="I125">
            <v>0</v>
          </cell>
        </row>
        <row r="126">
          <cell r="I126">
            <v>2.6556839999999999</v>
          </cell>
        </row>
        <row r="127">
          <cell r="I127">
            <v>1.696332</v>
          </cell>
        </row>
        <row r="128">
          <cell r="I128">
            <v>1.222407</v>
          </cell>
        </row>
        <row r="129">
          <cell r="I129">
            <v>1.322943</v>
          </cell>
        </row>
        <row r="130">
          <cell r="I130">
            <v>1.2138869999999999</v>
          </cell>
        </row>
        <row r="131">
          <cell r="I131">
            <v>2.0186009999999999</v>
          </cell>
        </row>
        <row r="132">
          <cell r="I132">
            <v>1.903794</v>
          </cell>
        </row>
        <row r="133">
          <cell r="I133">
            <v>1.8797250000000001</v>
          </cell>
        </row>
        <row r="134">
          <cell r="I134">
            <v>8.0469740000000005</v>
          </cell>
        </row>
        <row r="135">
          <cell r="I135">
            <v>15.715742000000001</v>
          </cell>
        </row>
        <row r="136">
          <cell r="I136">
            <v>89.645484999999994</v>
          </cell>
        </row>
        <row r="137">
          <cell r="I137">
            <v>2.1320000000000001</v>
          </cell>
        </row>
        <row r="138">
          <cell r="I138">
            <v>11.33</v>
          </cell>
        </row>
        <row r="139">
          <cell r="I139">
            <v>6.18</v>
          </cell>
        </row>
        <row r="140">
          <cell r="I140" t="str">
            <v xml:space="preserve"> </v>
          </cell>
        </row>
        <row r="141">
          <cell r="I141">
            <v>11.66</v>
          </cell>
        </row>
        <row r="142">
          <cell r="I142">
            <v>9.5399999999999991</v>
          </cell>
        </row>
        <row r="143">
          <cell r="I143">
            <v>12.98</v>
          </cell>
        </row>
        <row r="144">
          <cell r="I144" t="str">
            <v xml:space="preserve"> </v>
          </cell>
        </row>
        <row r="145">
          <cell r="I145" t="str">
            <v xml:space="preserve"> </v>
          </cell>
        </row>
        <row r="146">
          <cell r="I146" t="str">
            <v xml:space="preserve"> </v>
          </cell>
        </row>
        <row r="147">
          <cell r="I147">
            <v>8.9459999999999997</v>
          </cell>
        </row>
        <row r="148">
          <cell r="I148">
            <v>3.1770849999999999</v>
          </cell>
        </row>
        <row r="149">
          <cell r="I149">
            <v>42.736035000000001</v>
          </cell>
        </row>
        <row r="150">
          <cell r="I150">
            <v>0</v>
          </cell>
        </row>
        <row r="151">
          <cell r="I151">
            <v>53.935915000000001</v>
          </cell>
        </row>
        <row r="152">
          <cell r="I152">
            <v>2.6630199999999999</v>
          </cell>
        </row>
        <row r="153">
          <cell r="I153">
            <v>2.1370290000000001</v>
          </cell>
        </row>
        <row r="154">
          <cell r="I154">
            <v>3.60188</v>
          </cell>
        </row>
        <row r="155">
          <cell r="I155">
            <v>1.6499349999999999</v>
          </cell>
        </row>
        <row r="156">
          <cell r="I156">
            <v>4.0241220000000002</v>
          </cell>
        </row>
        <row r="157">
          <cell r="I157">
            <v>4.1417039999999998</v>
          </cell>
        </row>
        <row r="158">
          <cell r="I158">
            <v>6.4797409999999998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"/>
      <sheetName val="varme"/>
      <sheetName val="Vand"/>
      <sheetName val="brændstof"/>
    </sheetNames>
    <sheetDataSet>
      <sheetData sheetId="0"/>
      <sheetData sheetId="1">
        <row r="24">
          <cell r="J24">
            <v>1.1427</v>
          </cell>
        </row>
        <row r="26">
          <cell r="J26">
            <v>5.3</v>
          </cell>
        </row>
        <row r="27">
          <cell r="J27">
            <v>2.65</v>
          </cell>
        </row>
        <row r="28">
          <cell r="J28">
            <v>3.23583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9"/>
  <sheetViews>
    <sheetView tabSelected="1" zoomScale="115" zoomScaleNormal="115" workbookViewId="0">
      <selection activeCell="J38" sqref="J38"/>
    </sheetView>
  </sheetViews>
  <sheetFormatPr defaultRowHeight="12.75" x14ac:dyDescent="0.2"/>
  <cols>
    <col min="1" max="1" width="23.7109375" customWidth="1"/>
    <col min="2" max="2" width="13.85546875" customWidth="1"/>
    <col min="3" max="10" width="10.28515625" bestFit="1" customWidth="1"/>
  </cols>
  <sheetData>
    <row r="1" spans="1:10" ht="21" x14ac:dyDescent="0.35">
      <c r="A1" s="59" t="s">
        <v>81</v>
      </c>
    </row>
    <row r="3" spans="1:10" x14ac:dyDescent="0.2">
      <c r="A3" s="22" t="s">
        <v>80</v>
      </c>
      <c r="B3" s="22">
        <v>2007</v>
      </c>
      <c r="C3" s="22">
        <v>2008</v>
      </c>
      <c r="D3" s="22">
        <v>2009</v>
      </c>
      <c r="E3" s="22">
        <v>2010</v>
      </c>
      <c r="F3" s="22">
        <v>2011</v>
      </c>
      <c r="G3" s="22">
        <v>2012</v>
      </c>
      <c r="H3" s="22">
        <v>2013</v>
      </c>
    </row>
    <row r="4" spans="1:10" x14ac:dyDescent="0.2">
      <c r="A4" s="52" t="s">
        <v>65</v>
      </c>
      <c r="B4" s="41">
        <f>18823*0.493</f>
        <v>9279.7389999999996</v>
      </c>
      <c r="C4" s="41">
        <f>19203*0.55</f>
        <v>10561.650000000001</v>
      </c>
      <c r="D4" s="42">
        <f>19335*0.49</f>
        <v>9474.15</v>
      </c>
      <c r="E4" s="42">
        <f>19568*0.477</f>
        <v>9333.9359999999997</v>
      </c>
      <c r="F4" s="42">
        <f>18730*0.405</f>
        <v>7585.6500000000005</v>
      </c>
      <c r="G4" s="42">
        <f>18556*0.405</f>
        <v>7515.18</v>
      </c>
      <c r="H4" s="42">
        <f>17903*0.405</f>
        <v>7250.7150000000001</v>
      </c>
    </row>
    <row r="5" spans="1:10" x14ac:dyDescent="0.2">
      <c r="A5" s="36" t="s">
        <v>66</v>
      </c>
      <c r="B5" s="41">
        <f t="shared" ref="B5:H5" si="0">B42-B4</f>
        <v>3033.2610000000004</v>
      </c>
      <c r="C5" s="41">
        <f t="shared" si="0"/>
        <v>2093.3499999999985</v>
      </c>
      <c r="D5" s="41">
        <f t="shared" si="0"/>
        <v>3175.8500000000004</v>
      </c>
      <c r="E5" s="41">
        <f t="shared" si="0"/>
        <v>3806.0640000000003</v>
      </c>
      <c r="F5" s="41">
        <f t="shared" si="0"/>
        <v>3279.3499999999995</v>
      </c>
      <c r="G5" s="41">
        <f t="shared" si="0"/>
        <v>3406.8199999999997</v>
      </c>
      <c r="H5" s="41">
        <f t="shared" si="0"/>
        <v>3351.2849999999999</v>
      </c>
    </row>
    <row r="6" spans="1:10" x14ac:dyDescent="0.2">
      <c r="A6" s="36" t="s">
        <v>35</v>
      </c>
      <c r="B6" s="41">
        <v>2280</v>
      </c>
      <c r="C6" s="41">
        <v>2280</v>
      </c>
      <c r="D6" s="42">
        <v>2280</v>
      </c>
      <c r="E6" s="42">
        <v>2452</v>
      </c>
      <c r="F6" s="42">
        <v>2285</v>
      </c>
      <c r="G6" s="42">
        <v>1948</v>
      </c>
      <c r="H6" s="42">
        <v>2232</v>
      </c>
    </row>
    <row r="8" spans="1:10" x14ac:dyDescent="0.2">
      <c r="A8" s="22" t="s">
        <v>72</v>
      </c>
      <c r="B8" s="22">
        <v>2007</v>
      </c>
      <c r="C8" s="22">
        <v>2008</v>
      </c>
      <c r="D8" s="22">
        <v>2009</v>
      </c>
      <c r="E8" s="22">
        <v>2010</v>
      </c>
      <c r="F8" s="22">
        <v>2011</v>
      </c>
      <c r="G8" s="22">
        <v>2012</v>
      </c>
      <c r="H8" s="22">
        <v>2013</v>
      </c>
    </row>
    <row r="9" spans="1:10" x14ac:dyDescent="0.2">
      <c r="A9" s="36" t="s">
        <v>62</v>
      </c>
      <c r="B9" s="44">
        <v>1186.4592</v>
      </c>
      <c r="C9" s="44">
        <v>1186.4592</v>
      </c>
      <c r="D9" s="42">
        <f>+'[1]Kollektiv trafik'!$G$23</f>
        <v>1186.4592</v>
      </c>
      <c r="E9" s="42">
        <v>1311</v>
      </c>
      <c r="F9" s="42">
        <v>1066</v>
      </c>
      <c r="G9" s="42">
        <v>1044</v>
      </c>
      <c r="H9" s="42">
        <v>1048</v>
      </c>
    </row>
    <row r="10" spans="1:10" x14ac:dyDescent="0.2">
      <c r="A10" s="52" t="s">
        <v>71</v>
      </c>
      <c r="B10" s="44">
        <v>967</v>
      </c>
      <c r="C10" s="44">
        <v>967</v>
      </c>
      <c r="D10" s="42">
        <v>967</v>
      </c>
      <c r="E10" s="42">
        <v>967</v>
      </c>
      <c r="F10" s="42">
        <v>967</v>
      </c>
      <c r="G10" s="42">
        <v>967</v>
      </c>
      <c r="H10" s="42">
        <v>967</v>
      </c>
      <c r="J10" s="44"/>
    </row>
    <row r="11" spans="1:10" x14ac:dyDescent="0.2">
      <c r="A11" s="36" t="s">
        <v>60</v>
      </c>
      <c r="B11" s="44">
        <v>588</v>
      </c>
      <c r="C11" s="44">
        <v>588</v>
      </c>
      <c r="D11" s="42">
        <f>+[2]kørselsgodtgørelse!$F$13</f>
        <v>654.63328530259366</v>
      </c>
      <c r="E11" s="42">
        <v>545</v>
      </c>
      <c r="F11" s="42">
        <v>592</v>
      </c>
      <c r="G11" s="42">
        <v>592</v>
      </c>
      <c r="H11" s="42">
        <v>489</v>
      </c>
    </row>
    <row r="12" spans="1:10" x14ac:dyDescent="0.2">
      <c r="A12" s="36" t="s">
        <v>64</v>
      </c>
      <c r="B12" s="44">
        <v>463</v>
      </c>
      <c r="C12" s="44">
        <v>463</v>
      </c>
      <c r="D12" s="42">
        <v>463</v>
      </c>
      <c r="E12" s="42">
        <v>520</v>
      </c>
      <c r="F12" s="42">
        <v>526</v>
      </c>
      <c r="G12" s="42">
        <v>550</v>
      </c>
      <c r="H12" s="42">
        <v>452</v>
      </c>
    </row>
    <row r="13" spans="1:10" x14ac:dyDescent="0.2">
      <c r="A13" s="36" t="s">
        <v>63</v>
      </c>
      <c r="B13" s="44">
        <v>376</v>
      </c>
      <c r="C13" s="44">
        <v>376</v>
      </c>
      <c r="D13" s="42">
        <v>376</v>
      </c>
      <c r="E13" s="42">
        <v>436</v>
      </c>
      <c r="F13" s="42">
        <v>392</v>
      </c>
      <c r="G13" s="42">
        <v>515</v>
      </c>
      <c r="H13" s="42">
        <v>462</v>
      </c>
    </row>
    <row r="14" spans="1:10" x14ac:dyDescent="0.2">
      <c r="A14" s="36" t="s">
        <v>17</v>
      </c>
      <c r="B14" s="44">
        <v>358</v>
      </c>
      <c r="C14" s="44">
        <v>358</v>
      </c>
      <c r="D14" s="42">
        <v>389</v>
      </c>
      <c r="E14" s="42">
        <v>475</v>
      </c>
      <c r="F14" s="42">
        <v>444</v>
      </c>
      <c r="G14" s="42">
        <v>504</v>
      </c>
      <c r="H14" s="42">
        <v>531</v>
      </c>
    </row>
    <row r="15" spans="1:10" x14ac:dyDescent="0.2">
      <c r="A15" s="36" t="s">
        <v>14</v>
      </c>
      <c r="B15" s="44">
        <v>61.253145000000011</v>
      </c>
      <c r="C15" s="44">
        <v>61.253145000000011</v>
      </c>
      <c r="D15" s="42">
        <f>SUM('[2]kommunens biler'!$I$16:$I$55)</f>
        <v>61.253145000000011</v>
      </c>
      <c r="E15" s="42">
        <v>131.29</v>
      </c>
      <c r="F15" s="42">
        <v>160.09</v>
      </c>
      <c r="G15" s="42">
        <v>152.22</v>
      </c>
      <c r="H15" s="42">
        <v>232</v>
      </c>
    </row>
    <row r="16" spans="1:10" x14ac:dyDescent="0.2">
      <c r="A16" s="36" t="s">
        <v>15</v>
      </c>
      <c r="B16" s="44">
        <v>33.184350000000002</v>
      </c>
      <c r="C16" s="44">
        <v>33.184350000000002</v>
      </c>
      <c r="D16" s="42">
        <f>SUM('[2]kommunens biler'!$I$70:$I$79)</f>
        <v>33.184350000000002</v>
      </c>
      <c r="E16" s="42">
        <v>33.18</v>
      </c>
      <c r="F16" s="42">
        <v>33.19</v>
      </c>
      <c r="G16" s="42">
        <v>32.17</v>
      </c>
      <c r="H16" s="42">
        <v>9.94</v>
      </c>
    </row>
    <row r="17" spans="1:10" x14ac:dyDescent="0.2">
      <c r="A17" s="36" t="s">
        <v>61</v>
      </c>
      <c r="B17" s="44">
        <v>13.777659000000002</v>
      </c>
      <c r="C17" s="44">
        <v>13.777659000000002</v>
      </c>
      <c r="D17" s="42">
        <f>SUM('[2]kommunens biler'!$I$7:$I$12)</f>
        <v>13.777659000000002</v>
      </c>
      <c r="E17" s="42">
        <v>12.46</v>
      </c>
      <c r="F17" s="42">
        <v>12.22</v>
      </c>
      <c r="G17" s="42">
        <v>13.25</v>
      </c>
      <c r="H17" s="42">
        <v>9.69</v>
      </c>
    </row>
    <row r="18" spans="1:10" x14ac:dyDescent="0.2">
      <c r="A18" s="36" t="s">
        <v>16</v>
      </c>
      <c r="B18" s="44">
        <v>4.45</v>
      </c>
      <c r="C18" s="44">
        <v>4.45</v>
      </c>
      <c r="D18" s="42">
        <f>SUM('[2]kommunens biler'!$I$83:$I$85)</f>
        <v>4.45</v>
      </c>
      <c r="E18" s="42">
        <v>4.45</v>
      </c>
      <c r="F18" s="42">
        <v>4.45</v>
      </c>
      <c r="G18" s="42">
        <v>4.45</v>
      </c>
      <c r="H18" s="42">
        <v>1.5</v>
      </c>
    </row>
    <row r="19" spans="1:10" x14ac:dyDescent="0.2">
      <c r="B19" s="44"/>
      <c r="C19" s="44"/>
      <c r="D19" s="44"/>
      <c r="E19" s="44"/>
      <c r="F19" s="44"/>
      <c r="G19" s="44"/>
      <c r="H19" s="44"/>
    </row>
    <row r="20" spans="1:10" x14ac:dyDescent="0.2">
      <c r="A20" s="38" t="s">
        <v>73</v>
      </c>
      <c r="B20" s="22">
        <v>2007</v>
      </c>
      <c r="C20" s="22">
        <v>2008</v>
      </c>
      <c r="D20" s="22">
        <v>2009</v>
      </c>
      <c r="E20" s="22">
        <v>2010</v>
      </c>
      <c r="F20" s="22">
        <v>2011</v>
      </c>
      <c r="G20" s="22">
        <v>2012</v>
      </c>
      <c r="H20" s="22">
        <v>2013</v>
      </c>
      <c r="I20" s="22">
        <v>2014</v>
      </c>
      <c r="J20" s="22">
        <v>2015</v>
      </c>
    </row>
    <row r="21" spans="1:10" x14ac:dyDescent="0.2">
      <c r="A21" s="1" t="s">
        <v>67</v>
      </c>
      <c r="B21" s="41">
        <f>B42+B63+B88</f>
        <v>18644.124354</v>
      </c>
      <c r="C21" s="41">
        <f>C42+C63+C88</f>
        <v>18986.124354</v>
      </c>
      <c r="D21" s="41">
        <f t="shared" ref="D21:G21" si="1">D42+D63+D88</f>
        <v>19078.757639302596</v>
      </c>
      <c r="E21" s="41">
        <f>E42+E63+E88</f>
        <v>20027.38</v>
      </c>
      <c r="F21" s="41">
        <f t="shared" si="1"/>
        <v>17346.95</v>
      </c>
      <c r="G21" s="41">
        <f t="shared" si="1"/>
        <v>17244.09</v>
      </c>
      <c r="H21" s="41">
        <f>H42+H63+H88</f>
        <v>17036.129999999997</v>
      </c>
      <c r="I21" s="41"/>
      <c r="J21" s="41"/>
    </row>
    <row r="22" spans="1:10" x14ac:dyDescent="0.2">
      <c r="A22" s="43" t="s">
        <v>68</v>
      </c>
      <c r="B22" s="41">
        <f>B21</f>
        <v>18644.124354</v>
      </c>
      <c r="C22" s="41"/>
      <c r="D22" s="41"/>
      <c r="E22" s="41"/>
      <c r="F22" s="41"/>
      <c r="G22" s="41"/>
      <c r="H22" s="41"/>
      <c r="I22" s="41"/>
      <c r="J22" s="41">
        <f>B22*0.75</f>
        <v>13983.0932655</v>
      </c>
    </row>
    <row r="24" spans="1:10" ht="13.5" thickBot="1" x14ac:dyDescent="0.25"/>
    <row r="25" spans="1:10" x14ac:dyDescent="0.2">
      <c r="H25" s="53" t="s">
        <v>78</v>
      </c>
      <c r="I25" s="54"/>
      <c r="J25" s="55"/>
    </row>
    <row r="26" spans="1:10" ht="13.5" thickBot="1" x14ac:dyDescent="0.25">
      <c r="H26" s="57" t="s">
        <v>77</v>
      </c>
      <c r="I26" s="58">
        <f>H22/H21</f>
        <v>0</v>
      </c>
      <c r="J26" s="56"/>
    </row>
    <row r="27" spans="1:10" ht="13.5" thickBot="1" x14ac:dyDescent="0.25">
      <c r="H27" s="11"/>
      <c r="I27" s="11"/>
      <c r="J27" s="11"/>
    </row>
    <row r="28" spans="1:10" x14ac:dyDescent="0.2">
      <c r="H28" s="53" t="s">
        <v>79</v>
      </c>
      <c r="I28" s="54"/>
      <c r="J28" s="55"/>
    </row>
    <row r="29" spans="1:10" ht="13.5" thickBot="1" x14ac:dyDescent="0.25">
      <c r="H29" s="57" t="s">
        <v>77</v>
      </c>
      <c r="I29" s="58">
        <f>J22/H21</f>
        <v>0.82079047679842787</v>
      </c>
      <c r="J29" s="56"/>
    </row>
    <row r="40" spans="1:10" x14ac:dyDescent="0.2">
      <c r="B40" s="37"/>
      <c r="C40" s="37"/>
      <c r="D40" s="37"/>
      <c r="E40" s="37"/>
      <c r="F40" s="37"/>
    </row>
    <row r="41" spans="1:10" x14ac:dyDescent="0.2">
      <c r="A41" s="22" t="s">
        <v>74</v>
      </c>
      <c r="B41" s="22">
        <v>2007</v>
      </c>
      <c r="C41" s="22">
        <v>2008</v>
      </c>
      <c r="D41" s="22">
        <v>2009</v>
      </c>
      <c r="E41" s="22">
        <v>2010</v>
      </c>
      <c r="F41" s="22">
        <v>2011</v>
      </c>
      <c r="G41" s="22">
        <v>2012</v>
      </c>
      <c r="H41" s="22">
        <v>2013</v>
      </c>
      <c r="I41" s="22">
        <v>2014</v>
      </c>
      <c r="J41" s="22">
        <v>2015</v>
      </c>
    </row>
    <row r="42" spans="1:10" x14ac:dyDescent="0.2">
      <c r="A42" s="1" t="s">
        <v>67</v>
      </c>
      <c r="B42" s="40">
        <v>12313</v>
      </c>
      <c r="C42" s="40">
        <v>12655</v>
      </c>
      <c r="D42" s="39">
        <v>12650</v>
      </c>
      <c r="E42" s="39">
        <v>13140</v>
      </c>
      <c r="F42" s="39">
        <v>10865</v>
      </c>
      <c r="G42" s="39">
        <v>10922</v>
      </c>
      <c r="H42" s="39">
        <v>10602</v>
      </c>
      <c r="I42" s="39"/>
      <c r="J42" s="39"/>
    </row>
    <row r="43" spans="1:10" x14ac:dyDescent="0.2">
      <c r="A43" s="43" t="s">
        <v>68</v>
      </c>
      <c r="B43" s="40">
        <v>12313</v>
      </c>
      <c r="C43" s="30"/>
      <c r="D43" s="30"/>
      <c r="E43" s="30"/>
      <c r="F43" s="30"/>
      <c r="G43" s="30"/>
      <c r="H43" s="30"/>
      <c r="I43" s="30"/>
      <c r="J43" s="41">
        <f>B43*0.75</f>
        <v>9234.75</v>
      </c>
    </row>
    <row r="62" spans="1:10" x14ac:dyDescent="0.2">
      <c r="A62" s="38" t="s">
        <v>75</v>
      </c>
      <c r="B62" s="22">
        <v>2007</v>
      </c>
      <c r="C62" s="22">
        <v>2008</v>
      </c>
      <c r="D62" s="22">
        <v>2009</v>
      </c>
      <c r="E62" s="22">
        <v>2010</v>
      </c>
      <c r="F62" s="22">
        <v>2011</v>
      </c>
      <c r="G62" s="22">
        <v>2012</v>
      </c>
      <c r="H62" s="22">
        <v>2013</v>
      </c>
      <c r="I62" s="22">
        <v>2014</v>
      </c>
      <c r="J62" s="22">
        <v>2015</v>
      </c>
    </row>
    <row r="63" spans="1:10" x14ac:dyDescent="0.2">
      <c r="A63" s="1" t="s">
        <v>67</v>
      </c>
      <c r="B63" s="41">
        <f>SUM(B9:B18)</f>
        <v>4051.124354</v>
      </c>
      <c r="C63" s="41">
        <f t="shared" ref="C63:H63" si="2">SUM(C9:C18)</f>
        <v>4051.124354</v>
      </c>
      <c r="D63" s="41">
        <f t="shared" si="2"/>
        <v>4148.7576393025947</v>
      </c>
      <c r="E63" s="41">
        <f t="shared" si="2"/>
        <v>4435.38</v>
      </c>
      <c r="F63" s="41">
        <f t="shared" si="2"/>
        <v>4196.95</v>
      </c>
      <c r="G63" s="41">
        <f t="shared" si="2"/>
        <v>4374.09</v>
      </c>
      <c r="H63" s="41">
        <f t="shared" si="2"/>
        <v>4202.1299999999992</v>
      </c>
      <c r="I63" s="41"/>
      <c r="J63" s="41"/>
    </row>
    <row r="64" spans="1:10" x14ac:dyDescent="0.2">
      <c r="A64" s="43" t="s">
        <v>68</v>
      </c>
      <c r="B64" s="41">
        <f>B63</f>
        <v>4051.124354</v>
      </c>
      <c r="C64" s="41"/>
      <c r="D64" s="41"/>
      <c r="E64" s="41"/>
      <c r="F64" s="41"/>
      <c r="G64" s="41"/>
      <c r="H64" s="41"/>
      <c r="I64" s="41"/>
      <c r="J64" s="41">
        <f>B64*0.75</f>
        <v>3038.3432655000001</v>
      </c>
    </row>
    <row r="87" spans="1:10" x14ac:dyDescent="0.2">
      <c r="A87" s="38" t="s">
        <v>76</v>
      </c>
      <c r="B87">
        <v>2007</v>
      </c>
      <c r="C87">
        <v>2008</v>
      </c>
      <c r="D87">
        <v>2009</v>
      </c>
      <c r="E87">
        <v>2010</v>
      </c>
      <c r="F87">
        <v>2011</v>
      </c>
      <c r="G87">
        <v>2012</v>
      </c>
      <c r="H87">
        <v>2013</v>
      </c>
      <c r="I87">
        <v>2014</v>
      </c>
      <c r="J87">
        <v>2015</v>
      </c>
    </row>
    <row r="88" spans="1:10" x14ac:dyDescent="0.2">
      <c r="A88" s="1" t="s">
        <v>67</v>
      </c>
      <c r="B88" s="41">
        <v>2280</v>
      </c>
      <c r="C88" s="41">
        <v>2280</v>
      </c>
      <c r="D88" s="42">
        <v>2280</v>
      </c>
      <c r="E88" s="42">
        <v>2452</v>
      </c>
      <c r="F88" s="42">
        <v>2285</v>
      </c>
      <c r="G88" s="42">
        <v>1948</v>
      </c>
      <c r="H88" s="42">
        <v>2232</v>
      </c>
      <c r="I88" s="41"/>
      <c r="J88" s="41"/>
    </row>
    <row r="89" spans="1:10" x14ac:dyDescent="0.2">
      <c r="A89" s="43" t="s">
        <v>68</v>
      </c>
      <c r="B89" s="41">
        <v>2280</v>
      </c>
      <c r="C89" s="41"/>
      <c r="D89" s="41"/>
      <c r="E89" s="41"/>
      <c r="F89" s="41"/>
      <c r="G89" s="41"/>
      <c r="H89" s="41"/>
      <c r="I89" s="41"/>
      <c r="J89" s="41">
        <f>B89*0.75</f>
        <v>1710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20" sqref="J20"/>
    </sheetView>
  </sheetViews>
  <sheetFormatPr defaultRowHeight="12.75" x14ac:dyDescent="0.2"/>
  <cols>
    <col min="2" max="2" width="7" customWidth="1"/>
    <col min="3" max="3" width="35.42578125" customWidth="1"/>
    <col min="4" max="13" width="16.5703125" customWidth="1"/>
    <col min="14" max="14" width="17.28515625" customWidth="1"/>
    <col min="15" max="15" width="21.42578125" customWidth="1"/>
    <col min="16" max="16" width="20" customWidth="1"/>
    <col min="18" max="20" width="14.5703125" customWidth="1"/>
  </cols>
  <sheetData>
    <row r="1" spans="1:20" ht="15.75" x14ac:dyDescent="0.25">
      <c r="A1" s="46"/>
      <c r="B1" s="47"/>
      <c r="C1" s="47"/>
    </row>
    <row r="2" spans="1:20" ht="15.75" x14ac:dyDescent="0.25">
      <c r="A2" s="60" t="s">
        <v>40</v>
      </c>
      <c r="B2" s="60"/>
      <c r="C2" s="60"/>
      <c r="D2" s="60"/>
      <c r="E2" s="60"/>
      <c r="F2" s="60"/>
    </row>
    <row r="3" spans="1:20" ht="15.75" x14ac:dyDescent="0.25">
      <c r="A3" s="19"/>
      <c r="B3" s="19"/>
      <c r="C3" s="35"/>
      <c r="D3" s="67">
        <v>2009</v>
      </c>
      <c r="E3" s="67"/>
      <c r="F3" s="19">
        <v>2010</v>
      </c>
      <c r="H3" s="60">
        <v>2011</v>
      </c>
      <c r="I3" s="60"/>
      <c r="J3" s="60">
        <v>2012</v>
      </c>
      <c r="K3" s="60"/>
      <c r="L3" s="60">
        <v>2013</v>
      </c>
      <c r="M3" s="60"/>
    </row>
    <row r="4" spans="1:20" x14ac:dyDescent="0.2">
      <c r="D4" s="20" t="s">
        <v>33</v>
      </c>
      <c r="E4" s="20" t="s">
        <v>34</v>
      </c>
      <c r="F4" s="20" t="s">
        <v>33</v>
      </c>
      <c r="G4" s="20" t="s">
        <v>34</v>
      </c>
      <c r="H4" s="20" t="s">
        <v>33</v>
      </c>
      <c r="I4" s="20" t="s">
        <v>34</v>
      </c>
      <c r="J4" s="20"/>
      <c r="K4" s="20"/>
      <c r="L4" s="20"/>
      <c r="M4" s="20"/>
      <c r="N4" s="20" t="s">
        <v>36</v>
      </c>
      <c r="O4" s="20" t="s">
        <v>37</v>
      </c>
      <c r="P4" s="20" t="s">
        <v>38</v>
      </c>
    </row>
    <row r="5" spans="1:20" x14ac:dyDescent="0.2">
      <c r="A5" s="66" t="s">
        <v>5</v>
      </c>
      <c r="B5" s="65" t="s">
        <v>29</v>
      </c>
      <c r="C5" t="s">
        <v>0</v>
      </c>
      <c r="D5" s="6">
        <v>10786.848063762534</v>
      </c>
      <c r="E5" s="6">
        <f t="shared" ref="E5:E22" si="0">D5*F$44</f>
        <v>377.53968223168874</v>
      </c>
      <c r="F5" s="6">
        <v>11135.404113462044</v>
      </c>
      <c r="G5" s="2">
        <f t="shared" ref="G5:G29" si="1">F5*F$44</f>
        <v>389.73914397117159</v>
      </c>
      <c r="H5" s="2">
        <v>10309.075488249633</v>
      </c>
      <c r="I5" s="2">
        <f>H5*$F$44</f>
        <v>360.81764208873722</v>
      </c>
      <c r="J5" s="2">
        <v>10389.020883200657</v>
      </c>
      <c r="K5" s="2">
        <f>J5*$F$44</f>
        <v>363.61573091202303</v>
      </c>
      <c r="L5" s="2">
        <f>7251+3351</f>
        <v>10602</v>
      </c>
      <c r="M5" s="2"/>
      <c r="R5" t="s">
        <v>5</v>
      </c>
      <c r="S5" s="6">
        <f>SUM(F5:F14)</f>
        <v>11141.627053462043</v>
      </c>
    </row>
    <row r="6" spans="1:20" x14ac:dyDescent="0.2">
      <c r="A6" s="66"/>
      <c r="B6" s="65"/>
      <c r="C6" t="s">
        <v>1</v>
      </c>
      <c r="D6" s="6"/>
      <c r="E6" s="6">
        <f t="shared" si="0"/>
        <v>0</v>
      </c>
      <c r="F6" s="6">
        <v>0</v>
      </c>
      <c r="G6" s="2">
        <f t="shared" si="1"/>
        <v>0</v>
      </c>
      <c r="H6" s="2"/>
      <c r="I6" s="2">
        <f t="shared" ref="I6:K29" si="2">H6*$F$44</f>
        <v>0</v>
      </c>
      <c r="J6" s="2"/>
      <c r="K6" s="2">
        <f t="shared" si="2"/>
        <v>0</v>
      </c>
      <c r="L6" s="2"/>
      <c r="M6" s="2"/>
      <c r="R6" t="s">
        <v>12</v>
      </c>
      <c r="S6" s="6">
        <f>SUM(F15:F28)</f>
        <v>4935.57</v>
      </c>
    </row>
    <row r="7" spans="1:20" x14ac:dyDescent="0.2">
      <c r="A7" s="66"/>
      <c r="B7" s="65"/>
      <c r="C7" t="s">
        <v>2</v>
      </c>
      <c r="D7" s="6"/>
      <c r="E7" s="6">
        <f t="shared" si="0"/>
        <v>0</v>
      </c>
      <c r="F7" s="6">
        <v>0</v>
      </c>
      <c r="G7" s="2">
        <f t="shared" si="1"/>
        <v>0</v>
      </c>
      <c r="H7" s="2"/>
      <c r="I7" s="2">
        <f t="shared" si="2"/>
        <v>0</v>
      </c>
      <c r="J7" s="2"/>
      <c r="K7" s="2">
        <f t="shared" si="2"/>
        <v>0</v>
      </c>
      <c r="L7" s="2"/>
      <c r="M7" s="2"/>
    </row>
    <row r="8" spans="1:20" x14ac:dyDescent="0.2">
      <c r="A8" s="66"/>
      <c r="B8" s="65"/>
      <c r="C8" t="s">
        <v>3</v>
      </c>
      <c r="D8" s="6"/>
      <c r="E8" s="6">
        <f t="shared" si="0"/>
        <v>0</v>
      </c>
      <c r="F8" s="6">
        <v>0</v>
      </c>
      <c r="G8" s="2">
        <f t="shared" si="1"/>
        <v>0</v>
      </c>
      <c r="H8" s="2"/>
      <c r="I8" s="2">
        <f t="shared" si="2"/>
        <v>0</v>
      </c>
      <c r="J8" s="2"/>
      <c r="K8" s="2">
        <f t="shared" si="2"/>
        <v>0</v>
      </c>
      <c r="L8" s="2"/>
      <c r="M8" s="2"/>
      <c r="R8" s="34" t="s">
        <v>59</v>
      </c>
    </row>
    <row r="9" spans="1:20" x14ac:dyDescent="0.2">
      <c r="A9" s="66"/>
      <c r="B9" s="65"/>
      <c r="C9" t="s">
        <v>4</v>
      </c>
      <c r="D9" s="6"/>
      <c r="E9" s="6">
        <f t="shared" si="0"/>
        <v>0</v>
      </c>
      <c r="F9" s="6">
        <v>0</v>
      </c>
      <c r="G9" s="2">
        <f t="shared" si="1"/>
        <v>0</v>
      </c>
      <c r="H9" s="2"/>
      <c r="I9" s="2">
        <f t="shared" si="2"/>
        <v>0</v>
      </c>
      <c r="J9" s="2"/>
      <c r="K9" s="2">
        <f t="shared" si="2"/>
        <v>0</v>
      </c>
      <c r="L9" s="2"/>
      <c r="M9" s="2"/>
      <c r="R9" t="s">
        <v>5</v>
      </c>
      <c r="T9" s="6">
        <f>SUM(J5:J9)+J10</f>
        <v>10391.120883200658</v>
      </c>
    </row>
    <row r="10" spans="1:20" x14ac:dyDescent="0.2">
      <c r="A10" s="66"/>
      <c r="B10" s="64" t="s">
        <v>11</v>
      </c>
      <c r="C10" t="s">
        <v>6</v>
      </c>
      <c r="D10" s="6">
        <f>+[3]varme!$J$24</f>
        <v>1.1427</v>
      </c>
      <c r="E10" s="6">
        <f t="shared" si="0"/>
        <v>3.9994500000000002E-2</v>
      </c>
      <c r="F10" s="6">
        <v>1.3430299999999999</v>
      </c>
      <c r="G10" s="2">
        <f t="shared" si="1"/>
        <v>4.7006050000000001E-2</v>
      </c>
      <c r="H10" s="2">
        <v>2</v>
      </c>
      <c r="I10" s="2">
        <f t="shared" si="2"/>
        <v>7.0000000000000007E-2</v>
      </c>
      <c r="J10" s="2">
        <v>2.1</v>
      </c>
      <c r="K10" s="2">
        <f t="shared" si="2"/>
        <v>7.350000000000001E-2</v>
      </c>
      <c r="L10" s="2"/>
      <c r="M10" s="2"/>
      <c r="R10" t="s">
        <v>54</v>
      </c>
      <c r="S10" t="s">
        <v>50</v>
      </c>
      <c r="T10" s="6">
        <f>SUM(H15:H19)</f>
        <v>673.8</v>
      </c>
    </row>
    <row r="11" spans="1:20" x14ac:dyDescent="0.2">
      <c r="A11" s="66"/>
      <c r="B11" s="64"/>
      <c r="C11" t="s">
        <v>7</v>
      </c>
      <c r="D11" s="6">
        <v>0</v>
      </c>
      <c r="E11" s="6">
        <f t="shared" si="0"/>
        <v>0</v>
      </c>
      <c r="F11" s="6">
        <v>0</v>
      </c>
      <c r="G11" s="2">
        <f t="shared" si="1"/>
        <v>0</v>
      </c>
      <c r="H11" s="2">
        <v>0</v>
      </c>
      <c r="I11" s="2">
        <f t="shared" si="2"/>
        <v>0</v>
      </c>
      <c r="J11" s="2"/>
      <c r="K11" s="2">
        <f t="shared" si="2"/>
        <v>0</v>
      </c>
      <c r="L11" s="2"/>
      <c r="M11" s="2"/>
      <c r="R11" t="str">
        <f>+R10</f>
        <v>Kørsel:</v>
      </c>
      <c r="S11" t="s">
        <v>55</v>
      </c>
      <c r="T11" s="6">
        <f>SUM(J20)</f>
        <v>592</v>
      </c>
    </row>
    <row r="12" spans="1:20" x14ac:dyDescent="0.2">
      <c r="A12" s="66"/>
      <c r="B12" s="64"/>
      <c r="C12" t="s">
        <v>8</v>
      </c>
      <c r="D12" s="6">
        <f>+[3]varme!$J$26</f>
        <v>5.3</v>
      </c>
      <c r="E12" s="6">
        <f t="shared" si="0"/>
        <v>0.1855</v>
      </c>
      <c r="F12" s="6">
        <v>2.7612999999999999</v>
      </c>
      <c r="G12" s="2">
        <f t="shared" si="1"/>
        <v>9.6645500000000009E-2</v>
      </c>
      <c r="H12" s="2">
        <v>0</v>
      </c>
      <c r="I12" s="2">
        <f t="shared" si="2"/>
        <v>0</v>
      </c>
      <c r="J12" s="2">
        <v>0</v>
      </c>
      <c r="K12" s="2">
        <f t="shared" si="2"/>
        <v>0</v>
      </c>
      <c r="L12" s="2"/>
      <c r="M12" s="2"/>
      <c r="R12" t="str">
        <f>+R11</f>
        <v>Kørsel:</v>
      </c>
      <c r="S12" t="s">
        <v>56</v>
      </c>
      <c r="T12" s="6">
        <f>SUM(J21)</f>
        <v>467</v>
      </c>
    </row>
    <row r="13" spans="1:20" x14ac:dyDescent="0.2">
      <c r="A13" s="66"/>
      <c r="B13" s="64"/>
      <c r="C13" t="s">
        <v>9</v>
      </c>
      <c r="D13" s="6">
        <f>+[3]varme!$J$27</f>
        <v>2.65</v>
      </c>
      <c r="E13" s="6">
        <f t="shared" si="0"/>
        <v>9.2749999999999999E-2</v>
      </c>
      <c r="F13" s="6">
        <v>0</v>
      </c>
      <c r="G13" s="2">
        <f t="shared" si="1"/>
        <v>0</v>
      </c>
      <c r="H13" s="2">
        <v>0</v>
      </c>
      <c r="I13" s="2">
        <f t="shared" si="2"/>
        <v>0</v>
      </c>
      <c r="J13" s="2">
        <v>0</v>
      </c>
      <c r="K13" s="2">
        <f t="shared" si="2"/>
        <v>0</v>
      </c>
      <c r="L13" s="2"/>
      <c r="M13" s="2"/>
      <c r="R13" t="str">
        <f>+R12</f>
        <v>Kørsel:</v>
      </c>
      <c r="S13" t="s">
        <v>51</v>
      </c>
      <c r="T13" s="6">
        <f>SUM(J22:J28)</f>
        <v>2692</v>
      </c>
    </row>
    <row r="14" spans="1:20" x14ac:dyDescent="0.2">
      <c r="A14" s="66"/>
      <c r="B14" s="64"/>
      <c r="C14" t="s">
        <v>10</v>
      </c>
      <c r="D14" s="6">
        <f>+[3]varme!$J$28</f>
        <v>3.23583</v>
      </c>
      <c r="E14" s="6">
        <f t="shared" si="0"/>
        <v>0.11325405000000001</v>
      </c>
      <c r="F14" s="6">
        <v>2.1186099999999999</v>
      </c>
      <c r="G14" s="2">
        <f t="shared" si="1"/>
        <v>7.4151350000000005E-2</v>
      </c>
      <c r="H14" s="2">
        <v>1.9</v>
      </c>
      <c r="I14" s="2">
        <f t="shared" si="2"/>
        <v>6.6500000000000004E-2</v>
      </c>
      <c r="J14" s="2">
        <v>2.1</v>
      </c>
      <c r="K14" s="2">
        <f t="shared" si="2"/>
        <v>7.350000000000001E-2</v>
      </c>
      <c r="M14" s="2"/>
      <c r="R14" s="1" t="s">
        <v>35</v>
      </c>
      <c r="S14" s="1"/>
      <c r="T14" s="2">
        <f>+J29</f>
        <v>1948</v>
      </c>
    </row>
    <row r="15" spans="1:20" x14ac:dyDescent="0.2">
      <c r="A15" s="61" t="s">
        <v>12</v>
      </c>
      <c r="B15" s="62" t="s">
        <v>30</v>
      </c>
      <c r="C15" s="1" t="s">
        <v>13</v>
      </c>
      <c r="D15" s="6">
        <f>SUM('[2]kommunens biler'!$I$7:$I$12)</f>
        <v>13.777659000000002</v>
      </c>
      <c r="E15" s="6">
        <f t="shared" si="0"/>
        <v>0.48221806500000008</v>
      </c>
      <c r="F15" s="6">
        <v>12.46</v>
      </c>
      <c r="G15" s="2">
        <f t="shared" si="1"/>
        <v>0.4361000000000001</v>
      </c>
      <c r="H15" s="2">
        <v>12.22</v>
      </c>
      <c r="I15" s="2">
        <f t="shared" si="2"/>
        <v>0.42770000000000008</v>
      </c>
      <c r="J15" s="2">
        <v>13.25</v>
      </c>
      <c r="K15" s="2">
        <f t="shared" si="2"/>
        <v>0.46375000000000005</v>
      </c>
      <c r="L15" s="2">
        <v>9.69</v>
      </c>
      <c r="M15" s="2"/>
    </row>
    <row r="16" spans="1:20" x14ac:dyDescent="0.2">
      <c r="A16" s="61"/>
      <c r="B16" s="62"/>
      <c r="C16" s="1" t="s">
        <v>14</v>
      </c>
      <c r="D16" s="6">
        <f>SUM('[2]kommunens biler'!$I$16:$I$55)</f>
        <v>61.253145000000011</v>
      </c>
      <c r="E16" s="6">
        <f t="shared" si="0"/>
        <v>2.1438600750000005</v>
      </c>
      <c r="F16" s="6">
        <v>131.29</v>
      </c>
      <c r="G16" s="2">
        <f t="shared" si="1"/>
        <v>4.5951500000000003</v>
      </c>
      <c r="H16" s="2">
        <v>160.09</v>
      </c>
      <c r="I16" s="2">
        <f t="shared" si="2"/>
        <v>5.6031500000000003</v>
      </c>
      <c r="J16" s="2">
        <v>152.22</v>
      </c>
      <c r="K16" s="2">
        <f t="shared" si="2"/>
        <v>5.3277000000000001</v>
      </c>
      <c r="L16" s="2">
        <v>232</v>
      </c>
      <c r="M16" s="2"/>
    </row>
    <row r="17" spans="1:14" x14ac:dyDescent="0.2">
      <c r="A17" s="61"/>
      <c r="B17" s="62"/>
      <c r="C17" s="1" t="s">
        <v>15</v>
      </c>
      <c r="D17" s="6">
        <f>SUM('[2]kommunens biler'!$I$70:$I$79)</f>
        <v>33.184350000000002</v>
      </c>
      <c r="E17" s="6">
        <f t="shared" si="0"/>
        <v>1.1614522500000002</v>
      </c>
      <c r="F17" s="6">
        <v>33.18</v>
      </c>
      <c r="G17" s="2">
        <f t="shared" si="1"/>
        <v>1.1613</v>
      </c>
      <c r="H17" s="2">
        <v>33.19</v>
      </c>
      <c r="I17" s="2">
        <f t="shared" si="2"/>
        <v>1.1616500000000001</v>
      </c>
      <c r="J17" s="2">
        <v>32.17</v>
      </c>
      <c r="K17" s="2">
        <f t="shared" si="2"/>
        <v>1.1259500000000002</v>
      </c>
      <c r="L17" s="2">
        <v>9.94</v>
      </c>
      <c r="M17" s="2"/>
    </row>
    <row r="18" spans="1:14" x14ac:dyDescent="0.2">
      <c r="A18" s="61"/>
      <c r="B18" s="62"/>
      <c r="C18" s="1" t="s">
        <v>16</v>
      </c>
      <c r="D18" s="6">
        <f>SUM('[2]kommunens biler'!$I$83:$I$85)</f>
        <v>4.45</v>
      </c>
      <c r="E18" s="6">
        <f t="shared" si="0"/>
        <v>0.15575000000000003</v>
      </c>
      <c r="F18" s="6">
        <v>4.45</v>
      </c>
      <c r="G18" s="2">
        <f t="shared" si="1"/>
        <v>0.15575000000000003</v>
      </c>
      <c r="H18" s="2">
        <v>4.45</v>
      </c>
      <c r="I18" s="2">
        <f t="shared" si="2"/>
        <v>0.15575000000000003</v>
      </c>
      <c r="J18" s="2">
        <v>4.45</v>
      </c>
      <c r="K18" s="2">
        <f t="shared" si="2"/>
        <v>0.15575000000000003</v>
      </c>
      <c r="L18" s="2">
        <v>1.5</v>
      </c>
      <c r="M18" s="2"/>
    </row>
    <row r="19" spans="1:14" x14ac:dyDescent="0.2">
      <c r="A19" s="61"/>
      <c r="B19" s="62"/>
      <c r="C19" s="1" t="s">
        <v>17</v>
      </c>
      <c r="D19" s="32">
        <f>SUM('[2]kommunens biler'!$I$89:$I$158)</f>
        <v>450.83110300000016</v>
      </c>
      <c r="E19" s="32">
        <f t="shared" si="0"/>
        <v>15.779088605000007</v>
      </c>
      <c r="F19" s="32">
        <v>475.42</v>
      </c>
      <c r="G19" s="33">
        <f t="shared" si="1"/>
        <v>16.639700000000001</v>
      </c>
      <c r="H19" s="33">
        <v>463.85</v>
      </c>
      <c r="I19" s="33">
        <f t="shared" si="2"/>
        <v>16.234750000000002</v>
      </c>
      <c r="J19" s="33">
        <v>495.24</v>
      </c>
      <c r="K19" s="33">
        <f t="shared" si="2"/>
        <v>17.333400000000001</v>
      </c>
      <c r="L19" s="33">
        <v>531</v>
      </c>
      <c r="M19" s="2"/>
    </row>
    <row r="20" spans="1:14" ht="48.75" x14ac:dyDescent="0.2">
      <c r="A20" s="61"/>
      <c r="B20" s="5" t="s">
        <v>32</v>
      </c>
      <c r="C20" s="1" t="s">
        <v>19</v>
      </c>
      <c r="D20" s="6">
        <f>+[2]kørselsgodtgørelse!$F$13</f>
        <v>654.63328530259366</v>
      </c>
      <c r="E20" s="6">
        <f t="shared" si="0"/>
        <v>22.912164985590781</v>
      </c>
      <c r="F20" s="6">
        <v>545</v>
      </c>
      <c r="G20" s="2">
        <f t="shared" si="1"/>
        <v>19.075000000000003</v>
      </c>
      <c r="H20" s="2">
        <v>592</v>
      </c>
      <c r="I20" s="2">
        <f t="shared" si="2"/>
        <v>20.720000000000002</v>
      </c>
      <c r="J20" s="2">
        <v>592</v>
      </c>
      <c r="K20" s="2">
        <f t="shared" si="2"/>
        <v>20.720000000000002</v>
      </c>
      <c r="L20" s="2">
        <v>489</v>
      </c>
      <c r="M20" s="2"/>
    </row>
    <row r="21" spans="1:14" ht="50.25" customHeight="1" x14ac:dyDescent="0.2">
      <c r="A21" s="61"/>
      <c r="B21" s="4" t="s">
        <v>31</v>
      </c>
      <c r="C21" s="1" t="s">
        <v>23</v>
      </c>
      <c r="D21" s="32">
        <v>893</v>
      </c>
      <c r="E21" s="32">
        <f t="shared" si="0"/>
        <v>31.255000000000003</v>
      </c>
      <c r="F21" s="32">
        <v>893</v>
      </c>
      <c r="G21" s="33">
        <f t="shared" si="1"/>
        <v>31.255000000000003</v>
      </c>
      <c r="H21" s="33">
        <v>835</v>
      </c>
      <c r="I21" s="33">
        <f t="shared" si="2"/>
        <v>29.225000000000001</v>
      </c>
      <c r="J21" s="33">
        <v>467</v>
      </c>
      <c r="K21" s="33">
        <f t="shared" si="2"/>
        <v>16.345000000000002</v>
      </c>
      <c r="L21" s="33">
        <v>482</v>
      </c>
      <c r="M21" s="2"/>
    </row>
    <row r="22" spans="1:14" x14ac:dyDescent="0.2">
      <c r="A22" s="61"/>
      <c r="B22" s="63" t="s">
        <v>20</v>
      </c>
      <c r="C22" s="1" t="s">
        <v>18</v>
      </c>
      <c r="D22" s="6">
        <f>'[1]Kørsel skraldebiler'!$F$4/10</f>
        <v>500.81184000000002</v>
      </c>
      <c r="E22" s="6">
        <f t="shared" si="0"/>
        <v>17.528414400000003</v>
      </c>
      <c r="F22" s="6">
        <v>562.77</v>
      </c>
      <c r="G22" s="2">
        <f t="shared" si="1"/>
        <v>19.696950000000001</v>
      </c>
      <c r="H22" s="2">
        <v>569.45000000000005</v>
      </c>
      <c r="I22" s="2">
        <f t="shared" si="2"/>
        <v>19.930750000000003</v>
      </c>
      <c r="J22" s="2">
        <v>659</v>
      </c>
      <c r="K22" s="2">
        <f t="shared" si="2"/>
        <v>23.065000000000001</v>
      </c>
      <c r="L22" s="2">
        <v>407</v>
      </c>
      <c r="M22" s="2"/>
      <c r="N22" s="3" t="s">
        <v>24</v>
      </c>
    </row>
    <row r="23" spans="1:14" x14ac:dyDescent="0.2">
      <c r="A23" s="61"/>
      <c r="B23" s="63"/>
      <c r="C23" s="1" t="s">
        <v>21</v>
      </c>
      <c r="D23" s="6"/>
      <c r="E23" s="6">
        <v>0</v>
      </c>
      <c r="F23" s="6"/>
      <c r="G23" s="2">
        <f t="shared" si="1"/>
        <v>0</v>
      </c>
      <c r="H23" s="2"/>
      <c r="I23" s="2">
        <f t="shared" si="2"/>
        <v>0</v>
      </c>
      <c r="J23" s="2">
        <v>0</v>
      </c>
      <c r="K23" s="2">
        <f t="shared" si="2"/>
        <v>0</v>
      </c>
      <c r="L23" s="2"/>
      <c r="M23" s="2"/>
    </row>
    <row r="24" spans="1:14" x14ac:dyDescent="0.2">
      <c r="A24" s="61"/>
      <c r="B24" s="63"/>
      <c r="C24" s="1" t="s">
        <v>26</v>
      </c>
      <c r="D24" s="6">
        <f>+'[1]Kollektiv trafik'!$G$23</f>
        <v>1186.4592</v>
      </c>
      <c r="E24" s="6">
        <f>D24*F$44</f>
        <v>41.526072000000006</v>
      </c>
      <c r="F24" s="6">
        <v>1311</v>
      </c>
      <c r="G24" s="2">
        <f t="shared" si="1"/>
        <v>45.885000000000005</v>
      </c>
      <c r="H24" s="2">
        <v>1066</v>
      </c>
      <c r="I24" s="2">
        <f t="shared" si="2"/>
        <v>37.31</v>
      </c>
      <c r="J24" s="2">
        <v>1066</v>
      </c>
      <c r="K24" s="2">
        <f t="shared" si="2"/>
        <v>37.31</v>
      </c>
      <c r="L24" s="2">
        <v>1048</v>
      </c>
      <c r="M24" s="2"/>
    </row>
    <row r="25" spans="1:14" x14ac:dyDescent="0.2">
      <c r="A25" s="61"/>
      <c r="B25" s="63"/>
      <c r="C25" s="1" t="s">
        <v>27</v>
      </c>
      <c r="D25" s="21">
        <v>472</v>
      </c>
      <c r="E25" s="48">
        <v>0</v>
      </c>
      <c r="F25" s="6">
        <v>472</v>
      </c>
      <c r="G25" s="2">
        <f t="shared" si="1"/>
        <v>16.520000000000003</v>
      </c>
      <c r="H25" s="2">
        <v>472</v>
      </c>
      <c r="I25" s="2">
        <f t="shared" si="2"/>
        <v>16.520000000000003</v>
      </c>
      <c r="J25" s="2">
        <v>472</v>
      </c>
      <c r="K25" s="2">
        <f t="shared" si="2"/>
        <v>16.520000000000003</v>
      </c>
      <c r="L25" s="2"/>
      <c r="M25" s="2"/>
    </row>
    <row r="26" spans="1:14" x14ac:dyDescent="0.2">
      <c r="A26" s="61"/>
      <c r="B26" s="63"/>
      <c r="C26" s="1" t="s">
        <v>28</v>
      </c>
      <c r="D26" s="21">
        <v>495</v>
      </c>
      <c r="E26" s="48">
        <v>0</v>
      </c>
      <c r="F26" s="6">
        <v>495</v>
      </c>
      <c r="G26" s="2">
        <f t="shared" si="1"/>
        <v>17.325000000000003</v>
      </c>
      <c r="H26" s="2">
        <v>495</v>
      </c>
      <c r="I26" s="2">
        <f t="shared" si="2"/>
        <v>17.325000000000003</v>
      </c>
      <c r="J26" s="2">
        <v>495</v>
      </c>
      <c r="K26" s="2">
        <f t="shared" si="2"/>
        <v>17.325000000000003</v>
      </c>
      <c r="L26" s="2"/>
      <c r="M26" s="2"/>
    </row>
    <row r="27" spans="1:14" x14ac:dyDescent="0.2">
      <c r="A27" s="61"/>
      <c r="B27" s="63"/>
      <c r="C27" s="1" t="s">
        <v>25</v>
      </c>
      <c r="D27" s="6"/>
      <c r="E27" s="6">
        <f>D27*F$44</f>
        <v>0</v>
      </c>
      <c r="F27" s="6"/>
      <c r="G27" s="2">
        <f t="shared" si="1"/>
        <v>0</v>
      </c>
      <c r="H27" s="2"/>
      <c r="I27" s="2">
        <f t="shared" si="2"/>
        <v>0</v>
      </c>
      <c r="J27" s="2"/>
      <c r="K27" s="2">
        <f t="shared" si="2"/>
        <v>0</v>
      </c>
      <c r="L27" s="2"/>
      <c r="M27" s="2"/>
    </row>
    <row r="28" spans="1:14" x14ac:dyDescent="0.2">
      <c r="A28" s="61"/>
      <c r="B28" s="63"/>
      <c r="C28" s="1" t="s">
        <v>22</v>
      </c>
      <c r="D28" s="6"/>
      <c r="E28" s="6">
        <f>D28*F$44</f>
        <v>0</v>
      </c>
      <c r="F28" s="6"/>
      <c r="G28" s="2">
        <f t="shared" si="1"/>
        <v>0</v>
      </c>
      <c r="H28" s="2"/>
      <c r="I28" s="2">
        <f t="shared" si="2"/>
        <v>0</v>
      </c>
      <c r="J28" s="2"/>
      <c r="K28" s="2">
        <f t="shared" si="2"/>
        <v>0</v>
      </c>
      <c r="L28" s="2">
        <v>326</v>
      </c>
      <c r="M28" s="2"/>
    </row>
    <row r="29" spans="1:14" ht="60.75" x14ac:dyDescent="0.2">
      <c r="A29" s="18" t="s">
        <v>20</v>
      </c>
      <c r="B29" s="17" t="s">
        <v>35</v>
      </c>
      <c r="C29" s="1" t="s">
        <v>35</v>
      </c>
      <c r="D29" s="6">
        <v>2280</v>
      </c>
      <c r="E29" s="6">
        <f>D29*F$44</f>
        <v>79.800000000000011</v>
      </c>
      <c r="F29" s="2">
        <v>2452</v>
      </c>
      <c r="G29" s="2">
        <f t="shared" si="1"/>
        <v>85.820000000000007</v>
      </c>
      <c r="H29" s="2">
        <v>2285</v>
      </c>
      <c r="I29" s="2">
        <f t="shared" si="2"/>
        <v>79.975000000000009</v>
      </c>
      <c r="J29" s="2">
        <v>1948</v>
      </c>
      <c r="K29" s="2">
        <f t="shared" si="2"/>
        <v>68.180000000000007</v>
      </c>
      <c r="L29" s="2">
        <v>2232</v>
      </c>
      <c r="M29" s="2"/>
    </row>
    <row r="30" spans="1:14" x14ac:dyDescent="0.2">
      <c r="C30" s="1" t="s">
        <v>58</v>
      </c>
      <c r="D30" s="6"/>
      <c r="E30" s="6"/>
      <c r="F30" s="2"/>
      <c r="H30" s="2"/>
      <c r="I30" s="2">
        <f>H31*$F$44</f>
        <v>34.300000000000004</v>
      </c>
      <c r="J30" s="2"/>
      <c r="K30" s="2">
        <f>J31*$F$44</f>
        <v>36.400000000000006</v>
      </c>
      <c r="L30" s="2"/>
    </row>
    <row r="31" spans="1:14" x14ac:dyDescent="0.2">
      <c r="C31" t="s">
        <v>39</v>
      </c>
      <c r="D31" s="24">
        <v>765</v>
      </c>
      <c r="E31" s="24"/>
      <c r="F31" s="24">
        <v>911</v>
      </c>
      <c r="G31" s="24"/>
      <c r="H31" s="2">
        <v>980</v>
      </c>
      <c r="I31" s="24"/>
      <c r="J31" s="2">
        <v>1040</v>
      </c>
      <c r="K31" s="24"/>
      <c r="L31">
        <v>1013</v>
      </c>
      <c r="M31" s="11"/>
    </row>
    <row r="33" spans="2:15" x14ac:dyDescent="0.2">
      <c r="C33" s="22" t="s">
        <v>41</v>
      </c>
      <c r="D33" s="23">
        <f>SUM(D5:D29)-D19-D21+D31</f>
        <v>17265.746073065126</v>
      </c>
      <c r="E33" s="23">
        <f t="shared" ref="E33:G33" si="3">SUM(E5:E29)</f>
        <v>590.71520116227953</v>
      </c>
      <c r="F33" s="23">
        <f>SUM(F5:F29)-F19-F21+F31</f>
        <v>18071.777053462047</v>
      </c>
      <c r="G33" s="23">
        <f t="shared" si="3"/>
        <v>648.52189687117175</v>
      </c>
      <c r="H33" s="23">
        <f>SUM(H5:H29)-H19-H21+H31</f>
        <v>16982.375488249636</v>
      </c>
      <c r="I33" s="23">
        <f>SUM(I5:I30)</f>
        <v>639.84289208873736</v>
      </c>
      <c r="J33" s="23">
        <f>SUM(J5:J29)-J19-J21+J31</f>
        <v>16867.310883200662</v>
      </c>
      <c r="K33" s="23">
        <f>SUM(K5:K30)</f>
        <v>624.03428091202306</v>
      </c>
      <c r="L33" s="23">
        <f>SUM(L5:L29)-L19-L21+L31</f>
        <v>16370.130000000001</v>
      </c>
      <c r="M33" s="23"/>
      <c r="O33" s="6"/>
    </row>
    <row r="35" spans="2:15" x14ac:dyDescent="0.2">
      <c r="C35" s="25" t="s">
        <v>42</v>
      </c>
      <c r="D35" s="25"/>
      <c r="E35" s="26">
        <f>+E33</f>
        <v>590.71520116227953</v>
      </c>
      <c r="F35" s="25"/>
      <c r="G35" s="26">
        <f>+G33+E35</f>
        <v>1239.2370980334513</v>
      </c>
      <c r="H35" s="25"/>
      <c r="I35" s="26">
        <f>+I33+G35</f>
        <v>1879.0799901221885</v>
      </c>
      <c r="J35" s="26"/>
      <c r="K35" s="26">
        <f>+K33+I35</f>
        <v>2503.1142710342115</v>
      </c>
      <c r="L35" s="26"/>
      <c r="M35" s="26"/>
    </row>
    <row r="36" spans="2:15" x14ac:dyDescent="0.2">
      <c r="B36" s="47"/>
      <c r="C36" s="47" t="s">
        <v>49</v>
      </c>
      <c r="D36" s="47"/>
      <c r="E36" s="29">
        <f>E33/D33</f>
        <v>3.4213129201743901E-2</v>
      </c>
      <c r="F36" s="47"/>
      <c r="G36" s="29">
        <f>G35/D33</f>
        <v>7.1774315039109915E-2</v>
      </c>
      <c r="H36" s="47"/>
      <c r="I36" s="29">
        <f>I35/D33</f>
        <v>0.10883282901128652</v>
      </c>
      <c r="J36" s="29"/>
      <c r="K36" s="29">
        <f>K35/F33</f>
        <v>0.13850958119000725</v>
      </c>
      <c r="L36" s="29"/>
      <c r="M36" s="29"/>
    </row>
    <row r="37" spans="2:15" x14ac:dyDescent="0.2">
      <c r="B37" s="47"/>
      <c r="C37" s="47" t="s">
        <v>43</v>
      </c>
      <c r="D37" s="47"/>
      <c r="E37" s="48"/>
      <c r="F37" s="48">
        <f>+D33-F33</f>
        <v>-806.03098039692122</v>
      </c>
      <c r="G37" s="48"/>
      <c r="H37" s="48">
        <f>+F33-H33</f>
        <v>1089.4015652124108</v>
      </c>
      <c r="I37" s="48"/>
      <c r="J37" s="48">
        <f>+H33-J33</f>
        <v>115.06460504897404</v>
      </c>
      <c r="K37" s="48"/>
      <c r="L37" s="48"/>
      <c r="M37" s="48"/>
    </row>
    <row r="38" spans="2:15" x14ac:dyDescent="0.2">
      <c r="B38" s="47"/>
      <c r="C38" s="47" t="s">
        <v>46</v>
      </c>
      <c r="D38" s="47"/>
      <c r="E38" s="48"/>
      <c r="F38" s="29">
        <f>(D33-F33)/D33</f>
        <v>-4.6683819916380216E-2</v>
      </c>
      <c r="G38" s="48"/>
      <c r="H38" s="29">
        <f>(F33-H33)/F33</f>
        <v>6.0281928113080162E-2</v>
      </c>
      <c r="I38" s="48"/>
      <c r="J38" s="29">
        <f>(H33-J33)/H33</f>
        <v>6.7755306157603803E-3</v>
      </c>
      <c r="K38" s="48"/>
      <c r="L38" s="48"/>
      <c r="M38" s="48"/>
    </row>
    <row r="39" spans="2:15" x14ac:dyDescent="0.2">
      <c r="B39" s="47"/>
      <c r="C39" s="50" t="s">
        <v>45</v>
      </c>
      <c r="D39" s="47"/>
      <c r="E39" s="48"/>
      <c r="F39" s="48">
        <f>+F37</f>
        <v>-806.03098039692122</v>
      </c>
      <c r="G39" s="48"/>
      <c r="H39" s="48">
        <f>+H37+F39</f>
        <v>283.37058481548956</v>
      </c>
      <c r="I39" s="48"/>
      <c r="J39" s="48">
        <f>+J37+H39</f>
        <v>398.43518986446361</v>
      </c>
      <c r="K39" s="48"/>
      <c r="L39" s="48"/>
      <c r="M39" s="48"/>
    </row>
    <row r="40" spans="2:15" x14ac:dyDescent="0.2">
      <c r="B40" s="47"/>
      <c r="C40" s="47" t="s">
        <v>47</v>
      </c>
      <c r="D40" s="47"/>
      <c r="E40" s="48"/>
      <c r="F40" s="29">
        <f>F39/D33</f>
        <v>-4.6683819916380216E-2</v>
      </c>
      <c r="G40" s="48"/>
      <c r="H40" s="29">
        <f>H39/D33</f>
        <v>1.6412298872943161E-2</v>
      </c>
      <c r="I40" s="48"/>
      <c r="J40" s="29">
        <f>J39/F33</f>
        <v>2.2047371915100877E-2</v>
      </c>
      <c r="K40" s="48"/>
      <c r="L40" s="48"/>
      <c r="M40" s="48"/>
    </row>
    <row r="41" spans="2:15" x14ac:dyDescent="0.2">
      <c r="C41" s="27" t="s">
        <v>44</v>
      </c>
      <c r="D41" s="27"/>
      <c r="E41" s="28"/>
      <c r="F41" s="28"/>
      <c r="G41" s="28"/>
      <c r="H41" s="28">
        <f>+H39-I35</f>
        <v>-1595.709405306699</v>
      </c>
      <c r="I41" s="28"/>
      <c r="J41" s="28">
        <f>+J39-K35</f>
        <v>-2104.6790811697479</v>
      </c>
      <c r="K41" s="28"/>
      <c r="L41" s="28"/>
      <c r="M41" s="28"/>
      <c r="O41" s="29"/>
    </row>
    <row r="42" spans="2:15" ht="13.5" thickBot="1" x14ac:dyDescent="0.25">
      <c r="B42" s="47"/>
      <c r="C42" s="47" t="s">
        <v>48</v>
      </c>
      <c r="D42" s="47"/>
      <c r="E42" s="47"/>
      <c r="F42" s="47"/>
      <c r="G42" s="47"/>
      <c r="H42" s="51">
        <f>(H39-I35)/I35</f>
        <v>-0.84919716760058561</v>
      </c>
      <c r="I42" s="47"/>
      <c r="J42" s="51">
        <f>(J39-K35)/K35</f>
        <v>-0.84082421067423252</v>
      </c>
    </row>
    <row r="43" spans="2:15" x14ac:dyDescent="0.2">
      <c r="B43" s="7"/>
      <c r="C43" s="8"/>
      <c r="D43" s="8"/>
      <c r="E43" s="8"/>
      <c r="F43" s="8"/>
      <c r="G43" s="9"/>
      <c r="H43" s="11"/>
      <c r="I43" s="11"/>
      <c r="J43" s="11"/>
      <c r="K43" s="11"/>
      <c r="L43" s="11"/>
      <c r="M43" s="11"/>
    </row>
    <row r="44" spans="2:15" x14ac:dyDescent="0.2">
      <c r="B44" s="10"/>
      <c r="C44" s="45" t="s">
        <v>69</v>
      </c>
      <c r="D44" s="11"/>
      <c r="E44" s="11"/>
      <c r="F44" s="12">
        <v>3.5000000000000003E-2</v>
      </c>
      <c r="G44" s="13"/>
      <c r="H44" s="11"/>
      <c r="I44" s="11"/>
      <c r="J44" s="11"/>
      <c r="K44" s="11"/>
      <c r="L44" s="11"/>
      <c r="M44" s="11"/>
    </row>
    <row r="45" spans="2:15" ht="15" thickBot="1" x14ac:dyDescent="0.3">
      <c r="B45" s="14"/>
      <c r="C45" s="49" t="s">
        <v>70</v>
      </c>
      <c r="D45" s="15"/>
      <c r="E45" s="15"/>
      <c r="F45" s="15"/>
      <c r="G45" s="16"/>
      <c r="H45" s="11"/>
      <c r="I45" s="11"/>
      <c r="J45" s="11"/>
      <c r="K45" s="11"/>
      <c r="L45" s="11"/>
      <c r="M45" s="11"/>
    </row>
    <row r="56" spans="4:9" x14ac:dyDescent="0.2">
      <c r="E56">
        <v>2009</v>
      </c>
      <c r="F56">
        <v>2010</v>
      </c>
      <c r="G56">
        <v>2011</v>
      </c>
      <c r="H56">
        <v>2012</v>
      </c>
      <c r="I56">
        <v>2013</v>
      </c>
    </row>
    <row r="57" spans="4:9" x14ac:dyDescent="0.2">
      <c r="D57" s="1" t="s">
        <v>53</v>
      </c>
      <c r="E57" s="6">
        <f>+D33</f>
        <v>17265.746073065126</v>
      </c>
      <c r="F57" s="6">
        <f>+F33</f>
        <v>18071.777053462047</v>
      </c>
      <c r="G57" s="6">
        <f>+H33</f>
        <v>16982.375488249636</v>
      </c>
      <c r="H57" s="6">
        <f>+J33</f>
        <v>16867.310883200662</v>
      </c>
      <c r="I57">
        <f>7251+3351+2232+531+478+253+489+1048+407+326</f>
        <v>16366</v>
      </c>
    </row>
    <row r="58" spans="4:9" x14ac:dyDescent="0.2">
      <c r="D58" t="s">
        <v>52</v>
      </c>
      <c r="E58" s="30">
        <v>17844.577176065126</v>
      </c>
      <c r="F58" s="30">
        <v>17253.8619749028</v>
      </c>
      <c r="G58" s="30">
        <v>16605.340078031673</v>
      </c>
      <c r="H58" s="30">
        <v>15999.797185942938</v>
      </c>
      <c r="I58" s="31">
        <f>H58*0.965</f>
        <v>15439.804284434935</v>
      </c>
    </row>
    <row r="59" spans="4:9" x14ac:dyDescent="0.2">
      <c r="E59" s="6">
        <f>E57</f>
        <v>17265.746073065126</v>
      </c>
      <c r="F59" s="31">
        <f>$E57*0.965</f>
        <v>16661.444960507844</v>
      </c>
      <c r="G59" s="31">
        <f>$E57*0.93</f>
        <v>16057.143847950567</v>
      </c>
      <c r="H59" s="31">
        <f>$E57*0.895</f>
        <v>15452.842735393288</v>
      </c>
      <c r="I59" s="31">
        <f>$E57*0.86</f>
        <v>14848.541622836008</v>
      </c>
    </row>
    <row r="60" spans="4:9" x14ac:dyDescent="0.2">
      <c r="E60">
        <v>2009</v>
      </c>
      <c r="F60">
        <v>2010</v>
      </c>
      <c r="G60">
        <v>2011</v>
      </c>
    </row>
    <row r="61" spans="4:9" x14ac:dyDescent="0.2">
      <c r="D61" t="s">
        <v>57</v>
      </c>
      <c r="E61" s="6">
        <f>+D24</f>
        <v>1186.4592</v>
      </c>
      <c r="F61" s="6">
        <f>+F24</f>
        <v>1311</v>
      </c>
      <c r="G61" s="2">
        <f>+H24</f>
        <v>1066</v>
      </c>
    </row>
  </sheetData>
  <mergeCells count="11">
    <mergeCell ref="A2:F2"/>
    <mergeCell ref="B10:B14"/>
    <mergeCell ref="B5:B9"/>
    <mergeCell ref="A5:A14"/>
    <mergeCell ref="D3:E3"/>
    <mergeCell ref="L3:M3"/>
    <mergeCell ref="J3:K3"/>
    <mergeCell ref="H3:I3"/>
    <mergeCell ref="A15:A28"/>
    <mergeCell ref="B15:B19"/>
    <mergeCell ref="B22:B28"/>
  </mergeCells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resultater 2007-2013</vt:lpstr>
      <vt:lpstr>baggrund</vt:lpstr>
    </vt:vector>
  </TitlesOfParts>
  <Company>Herning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admsb</dc:creator>
  <cp:lastModifiedBy>Trine Bjørn Olsen</cp:lastModifiedBy>
  <dcterms:created xsi:type="dcterms:W3CDTF">2011-08-11T08:59:07Z</dcterms:created>
  <dcterms:modified xsi:type="dcterms:W3CDTF">2014-05-22T11:35:06Z</dcterms:modified>
</cp:coreProperties>
</file>