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firstSheet="1" activeTab="4"/>
  </bookViews>
  <sheets>
    <sheet name="Overordnet" sheetId="1" state="hidden" r:id="rId1"/>
    <sheet name="2009 2010" sheetId="4" r:id="rId2"/>
    <sheet name="2007 detalj." sheetId="7" r:id="rId3"/>
    <sheet name="2008" sheetId="6" r:id="rId4"/>
    <sheet name="Præsentationsark DNF" sheetId="3" r:id="rId5"/>
    <sheet name="GR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enzin07" localSheetId="2">'2007 detalj.'!$D$32</definedName>
    <definedName name="benzin07">'2009 2010'!$AF$32</definedName>
    <definedName name="Benzin08">'2008'!$B$33</definedName>
    <definedName name="Benzinfaktor" localSheetId="2">'2007 detalj.'!#REF!</definedName>
    <definedName name="Benzinfaktor">'2009 2010'!$S$32</definedName>
    <definedName name="diesel07" localSheetId="2">'2007 detalj.'!$D$33</definedName>
    <definedName name="diesel07">'2009 2010'!$AF$33</definedName>
    <definedName name="Dieselfaktor" localSheetId="2">'2007 detalj.'!#REF!</definedName>
    <definedName name="Dieselfaktor">'2009 2010'!$S$33</definedName>
    <definedName name="el_07" localSheetId="2">'2007 detalj.'!$D$30</definedName>
    <definedName name="El_07">'2008'!$B$31</definedName>
    <definedName name="Elfaktor" localSheetId="2">'2007 detalj.'!#REF!</definedName>
    <definedName name="elfaktor">'2009 2010'!$B$30</definedName>
    <definedName name="fjernv07" localSheetId="2">'2007 detalj.'!$D$27</definedName>
    <definedName name="fjernv07">'2009 2010'!$AF$27</definedName>
    <definedName name="Fjernvarme08">'2008'!$B$28</definedName>
    <definedName name="Fjernvarmefaktor" localSheetId="2">'2007 detalj.'!#REF!</definedName>
    <definedName name="fjernvarmefaktor">'2009 2010'!$B$27</definedName>
    <definedName name="Fjernvarmefaktor_nye_kedler">'2009 2010'!$B$28</definedName>
    <definedName name="Fjv_ny_faktor" localSheetId="2">'2007 detalj.'!#REF!</definedName>
    <definedName name="Fjv_ny_faktor">'2009 2010'!$S$28</definedName>
    <definedName name="Fjv_nye_kedler08">'2008'!$B$29</definedName>
    <definedName name="fjvny07" localSheetId="2">'2007 detalj.'!$D$28</definedName>
    <definedName name="fjvny07">'2009 2010'!$AF$28</definedName>
    <definedName name="_gas07" localSheetId="2">'2007 detalj.'!$D$26</definedName>
    <definedName name="_gas07">'2009 2010'!$AF$26</definedName>
    <definedName name="_gas08">'2008'!$B$27</definedName>
    <definedName name="Gasfaktor" localSheetId="2">'2007 detalj.'!#REF!</definedName>
    <definedName name="gasfaktor">'2009 2010'!$B$26</definedName>
    <definedName name="kraftv07" localSheetId="2">'2007 detalj.'!$D$29</definedName>
    <definedName name="kraftv07">'2009 2010'!$AF$29</definedName>
    <definedName name="Kraftvarme08">'2008'!$B$30</definedName>
    <definedName name="Kraftvarmefaktor" localSheetId="2">'2007 detalj.'!#REF!</definedName>
    <definedName name="kraftvarmefaktor">'2009 2010'!$B$29</definedName>
    <definedName name="olie07" localSheetId="2">'2007 detalj.'!$D$31</definedName>
    <definedName name="olie07">'2009 2010'!$AF$31</definedName>
    <definedName name="Olie08">'2008'!$B$32</definedName>
    <definedName name="Oliefaktor" localSheetId="2">'2007 detalj.'!#REF!</definedName>
    <definedName name="Oliefaktor">'2009 2010'!$B$31</definedName>
    <definedName name="_xlnm.Print_Titles" localSheetId="2">'2007 detalj.'!$A:$A</definedName>
    <definedName name="_xlnm.Print_Titles" localSheetId="1">'2009 2010'!$L:$L</definedName>
  </definedNames>
  <calcPr calcId="125725" fullCalcOnLoad="1"/>
</workbook>
</file>

<file path=xl/calcChain.xml><?xml version="1.0" encoding="utf-8"?>
<calcChain xmlns="http://schemas.openxmlformats.org/spreadsheetml/2006/main">
  <c r="E8" i="8"/>
  <c r="D8"/>
  <c r="B30" i="4"/>
  <c r="D30" i="7"/>
  <c r="F8" i="4"/>
  <c r="D6"/>
  <c r="D11"/>
  <c r="D5"/>
  <c r="D7"/>
  <c r="D10"/>
  <c r="D13"/>
  <c r="F5"/>
  <c r="F7"/>
  <c r="F11"/>
  <c r="F12"/>
  <c r="C6"/>
  <c r="C13"/>
  <c r="E6"/>
  <c r="E9"/>
  <c r="E11"/>
  <c r="E13"/>
  <c r="D26" i="7"/>
  <c r="D31"/>
  <c r="B31" i="6"/>
  <c r="M5" i="4"/>
  <c r="M6"/>
  <c r="M7"/>
  <c r="M8"/>
  <c r="M9"/>
  <c r="M10"/>
  <c r="M12"/>
  <c r="M11"/>
  <c r="M14"/>
  <c r="M22"/>
  <c r="B32" i="6"/>
  <c r="B27"/>
  <c r="G5" i="4"/>
  <c r="B5" s="1"/>
  <c r="I5" s="1"/>
  <c r="J5" s="1"/>
  <c r="H5"/>
  <c r="G6"/>
  <c r="B6" s="1"/>
  <c r="H6"/>
  <c r="G7"/>
  <c r="B7" s="1"/>
  <c r="I7" s="1"/>
  <c r="J7" s="1"/>
  <c r="H7"/>
  <c r="G8"/>
  <c r="B8" s="1"/>
  <c r="I8" s="1"/>
  <c r="J8" s="1"/>
  <c r="H8"/>
  <c r="G9"/>
  <c r="B9" s="1"/>
  <c r="I9" s="1"/>
  <c r="J9" s="1"/>
  <c r="H9"/>
  <c r="G10"/>
  <c r="B10" s="1"/>
  <c r="I10" s="1"/>
  <c r="J10" s="1"/>
  <c r="H10"/>
  <c r="G12"/>
  <c r="B12" s="1"/>
  <c r="I12" s="1"/>
  <c r="J12" s="1"/>
  <c r="H12"/>
  <c r="G11"/>
  <c r="B11" s="1"/>
  <c r="I11" s="1"/>
  <c r="J11" s="1"/>
  <c r="H11"/>
  <c r="E14"/>
  <c r="G14"/>
  <c r="H14"/>
  <c r="B22"/>
  <c r="D22"/>
  <c r="I22" s="1"/>
  <c r="J22" s="1"/>
  <c r="H17"/>
  <c r="I17"/>
  <c r="J17" s="1"/>
  <c r="H18"/>
  <c r="I18" s="1"/>
  <c r="J18" s="1"/>
  <c r="H19"/>
  <c r="I19" s="1"/>
  <c r="J19" s="1"/>
  <c r="C15"/>
  <c r="C16" s="1"/>
  <c r="D15"/>
  <c r="E15"/>
  <c r="E16" s="1"/>
  <c r="D16"/>
  <c r="J20"/>
  <c r="J21"/>
  <c r="M13"/>
  <c r="M15" s="1"/>
  <c r="M16" s="1"/>
  <c r="B26"/>
  <c r="B31"/>
  <c r="N14" i="1"/>
  <c r="M14"/>
  <c r="H50"/>
  <c r="E11"/>
  <c r="I11" s="1"/>
  <c r="I12"/>
  <c r="I13"/>
  <c r="I14"/>
  <c r="I15"/>
  <c r="I16"/>
  <c r="I18"/>
  <c r="L18" s="1"/>
  <c r="I19"/>
  <c r="I32"/>
  <c r="I20"/>
  <c r="I33"/>
  <c r="I47" s="1"/>
  <c r="I21"/>
  <c r="I34"/>
  <c r="E23"/>
  <c r="I23"/>
  <c r="I24"/>
  <c r="I35"/>
  <c r="I49" s="1"/>
  <c r="I48"/>
  <c r="I46"/>
  <c r="F13" i="4" l="1"/>
  <c r="F15" s="1"/>
  <c r="F16" s="1"/>
  <c r="B14"/>
  <c r="I14" s="1"/>
  <c r="J14" s="1"/>
  <c r="H13"/>
  <c r="K16" i="1"/>
  <c r="K18" s="1"/>
  <c r="L16"/>
  <c r="L25" s="1"/>
  <c r="I31"/>
  <c r="I25"/>
  <c r="I6" i="4"/>
  <c r="B13"/>
  <c r="H15"/>
  <c r="H16" s="1"/>
  <c r="H29" s="1"/>
  <c r="H28"/>
  <c r="G13"/>
  <c r="G15" s="1"/>
  <c r="I1" l="1"/>
  <c r="J6"/>
  <c r="K13"/>
  <c r="I37" i="1"/>
  <c r="I50" s="1"/>
  <c r="I45"/>
  <c r="I13" i="4"/>
  <c r="B15"/>
  <c r="I15" l="1"/>
  <c r="B16"/>
  <c r="G16" s="1"/>
  <c r="J13"/>
  <c r="H32"/>
  <c r="K28" s="1"/>
  <c r="J15" l="1"/>
  <c r="K16"/>
  <c r="I16"/>
  <c r="G18"/>
  <c r="H33"/>
  <c r="K29" s="1"/>
  <c r="L29" s="1"/>
  <c r="I23" l="1"/>
  <c r="J16"/>
  <c r="I25" l="1"/>
  <c r="J23"/>
</calcChain>
</file>

<file path=xl/comments1.xml><?xml version="1.0" encoding="utf-8"?>
<comments xmlns="http://schemas.openxmlformats.org/spreadsheetml/2006/main">
  <authors>
    <author>LTK</author>
  </authors>
  <commentList>
    <comment ref="C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22.02.11.
Trong.skolen</t>
        </r>
      </text>
    </comment>
    <comment ref="D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22.02.11.
Ungd.skolen</t>
        </r>
      </text>
    </comment>
    <comment ref="E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
Virum Skole</t>
        </r>
      </text>
    </comment>
    <comment ref="G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22.02.11. +ungdomsskolen</t>
        </r>
      </text>
    </comment>
    <comment ref="H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
Incl. Ungdomsskolen</t>
        </r>
      </text>
    </comment>
    <comment ref="N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16.03.10.
Trong.skolen</t>
        </r>
      </text>
    </comment>
    <comment ref="O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18.03.10.
Ungd.skolen</t>
        </r>
      </text>
    </comment>
    <comment ref="P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
Virum Skole</t>
        </r>
      </text>
    </comment>
    <comment ref="T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
Incl. Ungdomsskolen</t>
        </r>
      </text>
    </comment>
    <comment ref="D7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22.02.11. Rævehøjen</t>
        </r>
      </text>
    </comment>
    <comment ref="O7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17.03.11 Tillagt 25 for defekt varmemåler Rævehøjen</t>
        </r>
      </text>
    </comment>
    <comment ref="Q8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17.03.11 Glemt i "andre varmearter" 2009</t>
        </r>
      </text>
    </comment>
    <comment ref="E9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 Solgården + Baunehøj</t>
        </r>
      </text>
    </comment>
    <comment ref="D10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
Kulturhuset</t>
        </r>
      </text>
    </comment>
    <comment ref="G10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
Kultur- og udv.afd,</t>
        </r>
      </text>
    </comment>
    <comment ref="H10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22.01.11 Kultur- og udv.afd.</t>
        </r>
      </text>
    </comment>
    <comment ref="O10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01.03.11 Tilrettet, efter at aflæsn. Af varmemålere Kulturhus er modtaget fra PFA/Brunata</t>
        </r>
      </text>
    </comment>
    <comment ref="D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17.03.11 Ud fra forholdsmæssig beregning</t>
        </r>
      </text>
    </comment>
    <comment ref="E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17.03.11 Stadion, minus boldklub</t>
        </r>
      </text>
    </comment>
    <comment ref="H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22.02.11. Incl.lys til boldbaner</t>
        </r>
      </text>
    </comment>
    <comment ref="T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24.02.11
Lys t. boldbaner incl.</t>
        </r>
      </text>
    </comment>
    <comment ref="AE12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
Incl. lys til boldbane</t>
        </r>
      </text>
    </comment>
    <comment ref="W1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23.09.10. Bygninger: el til belysning: CO2/m2 elfaktor 543</t>
        </r>
      </text>
    </comment>
    <comment ref="S18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23.09.10. Bygninger: CO2/m2 varme, elfaktor er 543</t>
        </r>
      </text>
    </comment>
  </commentList>
</comments>
</file>

<file path=xl/comments2.xml><?xml version="1.0" encoding="utf-8"?>
<comments xmlns="http://schemas.openxmlformats.org/spreadsheetml/2006/main">
  <authors>
    <author>LTK</author>
  </authors>
  <commentList>
    <comment ref="C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trong.skolen</t>
        </r>
      </text>
    </comment>
    <comment ref="D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15.03.11 Ungd.skolen</t>
        </r>
      </text>
    </comment>
    <comment ref="E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virum skole</t>
        </r>
      </text>
    </comment>
    <comment ref="H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15.03.11 Korrigeret for Ly. Boldklub</t>
        </r>
      </text>
    </comment>
    <comment ref="I11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15.03.11 Incl. lys til boldbaner</t>
        </r>
      </text>
    </comment>
  </commentList>
</comments>
</file>

<file path=xl/comments3.xml><?xml version="1.0" encoding="utf-8"?>
<comments xmlns="http://schemas.openxmlformats.org/spreadsheetml/2006/main">
  <authors>
    <author>LTK</author>
  </authors>
  <commentList>
    <comment ref="C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trong.skolen</t>
        </r>
      </text>
    </comment>
    <comment ref="D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Ungd.skolen</t>
        </r>
      </text>
    </comment>
    <comment ref="E6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Virum skole</t>
        </r>
      </text>
    </comment>
    <comment ref="I15" authorId="0">
      <text>
        <r>
          <rPr>
            <b/>
            <sz val="10"/>
            <color indexed="81"/>
            <rFont val="Tahoma"/>
          </rPr>
          <t>LTK:</t>
        </r>
        <r>
          <rPr>
            <sz val="10"/>
            <color indexed="81"/>
            <rFont val="Tahoma"/>
          </rPr>
          <t xml:space="preserve">
18.03.10
Incl. lys til boldbane</t>
        </r>
      </text>
    </comment>
  </commentList>
</comments>
</file>

<file path=xl/sharedStrings.xml><?xml version="1.0" encoding="utf-8"?>
<sst xmlns="http://schemas.openxmlformats.org/spreadsheetml/2006/main" count="381" uniqueCount="119">
  <si>
    <t xml:space="preserve">Gas </t>
  </si>
  <si>
    <t>Fjernvarme</t>
  </si>
  <si>
    <t>Kraftvarme</t>
  </si>
  <si>
    <t>Benzin</t>
  </si>
  <si>
    <t>Opvarmning:</t>
  </si>
  <si>
    <t>El:</t>
  </si>
  <si>
    <t>Befordring:</t>
  </si>
  <si>
    <t>Diesel</t>
  </si>
  <si>
    <t>Brændsel</t>
  </si>
  <si>
    <t>CO2 belastning</t>
  </si>
  <si>
    <t>CO2-faktor</t>
  </si>
  <si>
    <t>Beregning af CO2-belastning</t>
  </si>
  <si>
    <t>I alt</t>
  </si>
  <si>
    <t>Olie</t>
  </si>
  <si>
    <t xml:space="preserve">El  </t>
  </si>
  <si>
    <t>Belysning</t>
  </si>
  <si>
    <t>Vejbelysning</t>
  </si>
  <si>
    <t>Vandforsyningen</t>
  </si>
  <si>
    <t>Mængde</t>
  </si>
  <si>
    <t>liter</t>
  </si>
  <si>
    <t xml:space="preserve"> </t>
  </si>
  <si>
    <r>
      <t>kg CO</t>
    </r>
    <r>
      <rPr>
        <sz val="8"/>
        <rFont val="Arial"/>
        <family val="2"/>
      </rPr>
      <t>2</t>
    </r>
  </si>
  <si>
    <t>Mwh</t>
  </si>
  <si>
    <r>
      <t>m</t>
    </r>
    <r>
      <rPr>
        <sz val="8"/>
        <rFont val="Arial"/>
        <family val="2"/>
      </rPr>
      <t>3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</si>
  <si>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/MWh</t>
    </r>
  </si>
  <si>
    <r>
      <t>kg CO</t>
    </r>
    <r>
      <rPr>
        <sz val="8"/>
        <rFont val="Arial"/>
        <family val="2"/>
      </rPr>
      <t>3</t>
    </r>
    <r>
      <rPr>
        <sz val="10"/>
        <rFont val="Arial"/>
      </rPr>
      <t/>
    </r>
  </si>
  <si>
    <t>Fjernvarme - nye kedler</t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</si>
  <si>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/liter</t>
    </r>
  </si>
  <si>
    <r>
      <t>kgCO</t>
    </r>
    <r>
      <rPr>
        <sz val="8"/>
        <rFont val="Arial"/>
        <family val="2"/>
      </rPr>
      <t>2</t>
    </r>
    <r>
      <rPr>
        <sz val="10"/>
        <rFont val="Arial"/>
      </rPr>
      <t>/m</t>
    </r>
    <r>
      <rPr>
        <sz val="8"/>
        <rFont val="Arial"/>
        <family val="2"/>
      </rPr>
      <t>3</t>
    </r>
  </si>
  <si>
    <t>Teknisk Forvaltning</t>
  </si>
  <si>
    <t>Bygningsafdelingen</t>
  </si>
  <si>
    <t>Den 04.04.2008/Heg</t>
  </si>
  <si>
    <t>Bygninger</t>
  </si>
  <si>
    <t>Befordring</t>
  </si>
  <si>
    <t>LTK totalt</t>
  </si>
  <si>
    <t>Rensningsanlægget*</t>
  </si>
  <si>
    <t>* Beregnet som 52 % af forbruget til renseanlæg + hele forbruget til ledningsafdelingen (pumperne)</t>
  </si>
  <si>
    <t>Samlet CO2-belastning i 2008</t>
  </si>
  <si>
    <t>Rensningsanlægget</t>
  </si>
  <si>
    <t>Tons CO2</t>
  </si>
  <si>
    <t>Kilde</t>
  </si>
  <si>
    <t>CO2-udslip i alt</t>
  </si>
  <si>
    <t>Brændstof</t>
  </si>
  <si>
    <t xml:space="preserve">Samlet CO2-udslip </t>
  </si>
  <si>
    <t>Energiforbrug i kommunale bygninger i alt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</si>
  <si>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</si>
  <si>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</si>
  <si>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</si>
  <si>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</si>
  <si>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</si>
  <si>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</si>
  <si>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>Andre kommunale bygninger</t>
  </si>
  <si>
    <t>Gas</t>
  </si>
  <si>
    <t>Fj.varme</t>
  </si>
  <si>
    <t>Fjv. nye</t>
  </si>
  <si>
    <t>Kraftv.</t>
  </si>
  <si>
    <t>El</t>
  </si>
  <si>
    <t>Opvarmningsforbrug</t>
  </si>
  <si>
    <t>MWh</t>
  </si>
  <si>
    <t>Liter</t>
  </si>
  <si>
    <t>Idrætsanlæg i alt</t>
  </si>
  <si>
    <t>Sum</t>
  </si>
  <si>
    <t>kg CO2/MWh</t>
  </si>
  <si>
    <t>Sum varme</t>
  </si>
  <si>
    <t>Alle LTK´s bygninger</t>
  </si>
  <si>
    <t>Transport i alt</t>
  </si>
  <si>
    <t>Benzin [liter]</t>
  </si>
  <si>
    <t>Diesel [liter]</t>
  </si>
  <si>
    <t>Transport</t>
  </si>
  <si>
    <t>Fællesforbrug ved kommunalt boligbyggeri *</t>
  </si>
  <si>
    <t>* Beregnes som summen af beboelsesejendomme og erhvervsejendomme</t>
  </si>
  <si>
    <t>Vandværk</t>
  </si>
  <si>
    <t>Rensningsanlæg</t>
  </si>
  <si>
    <t>Ændr. Ton/år</t>
  </si>
  <si>
    <t>I alt (hele kommunen)</t>
  </si>
  <si>
    <t>Tekniske anlæg i alt</t>
  </si>
  <si>
    <t>** Beregnet som 52 % af forbruget til renseanlæg + hele forbruget til ledningsafdelingen (pumperne)</t>
  </si>
  <si>
    <t>Rensningsanlæg **</t>
  </si>
  <si>
    <t>CO2 kg</t>
  </si>
  <si>
    <t>Forbrug 2009</t>
  </si>
  <si>
    <t>Forbrug 2010</t>
  </si>
  <si>
    <t>CO2-faktorer 2009 (bruges også for 2010)</t>
  </si>
  <si>
    <r>
      <t xml:space="preserve">Sum </t>
    </r>
    <r>
      <rPr>
        <sz val="8"/>
        <rFont val="Arial"/>
        <family val="2"/>
      </rPr>
      <t>excl. Kommunalt boligbyggeri</t>
    </r>
  </si>
  <si>
    <t>Alle LTK´s bygninger incl boligbyggeri</t>
  </si>
  <si>
    <t>**Rensningsanlæg</t>
  </si>
  <si>
    <t>*Fællesforbrug ved kommunalt boligbyggeri *</t>
  </si>
  <si>
    <t>CO2 Ton</t>
  </si>
  <si>
    <t>Excl. Udlejn.</t>
  </si>
  <si>
    <t>Incl. udlejn</t>
  </si>
  <si>
    <t>El kg CO2/m2</t>
  </si>
  <si>
    <t>Opv. kg CO2/m2</t>
  </si>
  <si>
    <t>El+opv. kg CO2/m2</t>
  </si>
  <si>
    <t>El (indregnet 5% energitab i distributionsnettet</t>
  </si>
  <si>
    <t>El+opv. kg CO2/m2, % mindre end året før</t>
  </si>
  <si>
    <t>% fald bygn ifht 09:</t>
  </si>
  <si>
    <t>% fald tot. ifht 09:</t>
  </si>
  <si>
    <t>CO2 ton</t>
  </si>
  <si>
    <t>I alt (hele kommunen) ændring ifht. året før [%]</t>
  </si>
  <si>
    <t>Kommunale bygninger i alt, ændring ifht. året før [%]</t>
  </si>
  <si>
    <t>Forbrug 2008</t>
  </si>
  <si>
    <t>Genbrugsplads</t>
  </si>
  <si>
    <t>10.03.11. Korrigeret for målerfejl Taarbækdal</t>
  </si>
  <si>
    <t>10.03.11 d.d. boldklubben trukket ud</t>
  </si>
  <si>
    <t>CO2-faktorer. Konstante over årene, bortset fra el.</t>
  </si>
  <si>
    <t>El (2007) (er egentlig 429 kgco2/mwh)</t>
  </si>
  <si>
    <t>CO2-emissionsfaktorer for el er fundet på ENERGINET.dk</t>
  </si>
  <si>
    <t>10.03.11. CO2-emissionsfaktor for el 2010 benyttes for alle fire år. Transmissionstab i distributionsnettet 5% medregnes.</t>
  </si>
  <si>
    <t>Forbrug 2007</t>
  </si>
  <si>
    <t>CO2 totalt LTK</t>
  </si>
  <si>
    <t>CO2-faktorer 2008 (bruges også for 2009)</t>
  </si>
  <si>
    <t>CO2-faktorer 2007</t>
  </si>
  <si>
    <t>El  (er egentlig 429 kgco2/mwh)</t>
  </si>
  <si>
    <t>15.03.11.</t>
  </si>
  <si>
    <t>Elforbrug rettet op mht. Rådhus, Taarbækdal, dsb-måler og Garantien</t>
  </si>
  <si>
    <t>Varmeforbrug rettet op mht. Ly. Boldklub</t>
  </si>
  <si>
    <t xml:space="preserve">31.03.11. Der er oprettet en kopi til DN (kun værdier), 22. marts, af denne fil. </t>
  </si>
  <si>
    <t>04.04.11 Fejl i elforbrug vandforsyning 2009 og 2010 er rettet. Det vides ikke, om der også er fejl i 2007 og 2008.</t>
  </si>
  <si>
    <t>Bygninger i alt</t>
  </si>
  <si>
    <t>04.04.11 Ny kopi (kun værdier) incl. Rettelse vandværk er oprettet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</si>
</sst>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8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34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3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1" applyNumberFormat="0" applyFont="0" applyAlignment="0" applyProtection="0"/>
    <xf numFmtId="0" fontId="15" fillId="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2" applyNumberFormat="0" applyAlignment="0" applyProtection="0"/>
    <xf numFmtId="0" fontId="19" fillId="10" borderId="3" applyNumberForma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6" borderId="0" applyNumberFormat="0" applyBorder="0" applyAlignment="0" applyProtection="0"/>
  </cellStyleXfs>
  <cellXfs count="15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0" xfId="0" applyNumberFormat="1"/>
    <xf numFmtId="3" fontId="0" fillId="0" borderId="12" xfId="0" applyNumberFormat="1" applyBorder="1"/>
    <xf numFmtId="3" fontId="0" fillId="0" borderId="10" xfId="0" applyNumberFormat="1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Border="1"/>
    <xf numFmtId="0" fontId="0" fillId="0" borderId="16" xfId="0" applyBorder="1"/>
    <xf numFmtId="3" fontId="0" fillId="0" borderId="16" xfId="0" applyNumberFormat="1" applyBorder="1"/>
    <xf numFmtId="3" fontId="0" fillId="0" borderId="13" xfId="0" applyNumberFormat="1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0" fillId="0" borderId="10" xfId="0" applyFill="1" applyBorder="1"/>
    <xf numFmtId="0" fontId="0" fillId="0" borderId="22" xfId="0" applyBorder="1"/>
    <xf numFmtId="0" fontId="0" fillId="0" borderId="23" xfId="0" applyBorder="1"/>
    <xf numFmtId="0" fontId="6" fillId="0" borderId="0" xfId="0" applyFont="1"/>
    <xf numFmtId="0" fontId="2" fillId="0" borderId="0" xfId="0" applyFont="1" applyBorder="1" applyAlignment="1"/>
    <xf numFmtId="0" fontId="6" fillId="0" borderId="0" xfId="0" applyFont="1" applyBorder="1"/>
    <xf numFmtId="3" fontId="0" fillId="0" borderId="15" xfId="0" applyNumberFormat="1" applyBorder="1"/>
    <xf numFmtId="3" fontId="0" fillId="0" borderId="22" xfId="0" applyNumberFormat="1" applyBorder="1"/>
    <xf numFmtId="3" fontId="0" fillId="0" borderId="14" xfId="0" applyNumberFormat="1" applyBorder="1"/>
    <xf numFmtId="0" fontId="6" fillId="0" borderId="23" xfId="0" applyFont="1" applyBorder="1"/>
    <xf numFmtId="0" fontId="6" fillId="0" borderId="17" xfId="0" applyFont="1" applyBorder="1"/>
    <xf numFmtId="3" fontId="6" fillId="0" borderId="17" xfId="0" applyNumberFormat="1" applyFont="1" applyBorder="1"/>
    <xf numFmtId="3" fontId="6" fillId="0" borderId="19" xfId="0" applyNumberFormat="1" applyFont="1" applyBorder="1"/>
    <xf numFmtId="0" fontId="6" fillId="0" borderId="13" xfId="0" applyFont="1" applyBorder="1"/>
    <xf numFmtId="3" fontId="6" fillId="0" borderId="13" xfId="0" applyNumberFormat="1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22" xfId="0" applyFont="1" applyBorder="1"/>
    <xf numFmtId="0" fontId="6" fillId="0" borderId="11" xfId="0" applyFont="1" applyBorder="1"/>
    <xf numFmtId="3" fontId="6" fillId="0" borderId="11" xfId="0" applyNumberFormat="1" applyFont="1" applyBorder="1"/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0" xfId="0" applyFon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0" xfId="0" applyNumberFormat="1"/>
    <xf numFmtId="2" fontId="6" fillId="0" borderId="0" xfId="0" applyNumberFormat="1" applyFont="1"/>
    <xf numFmtId="3" fontId="6" fillId="0" borderId="0" xfId="0" applyNumberFormat="1" applyFont="1"/>
    <xf numFmtId="0" fontId="8" fillId="0" borderId="0" xfId="0" applyFont="1"/>
    <xf numFmtId="3" fontId="8" fillId="0" borderId="0" xfId="0" applyNumberFormat="1" applyFont="1"/>
    <xf numFmtId="3" fontId="8" fillId="0" borderId="24" xfId="0" applyNumberFormat="1" applyFont="1" applyBorder="1" applyAlignment="1">
      <alignment horizontal="center"/>
    </xf>
    <xf numFmtId="3" fontId="8" fillId="0" borderId="24" xfId="0" applyNumberFormat="1" applyFont="1" applyBorder="1"/>
    <xf numFmtId="3" fontId="6" fillId="0" borderId="24" xfId="0" applyNumberFormat="1" applyFont="1" applyBorder="1"/>
    <xf numFmtId="3" fontId="0" fillId="0" borderId="24" xfId="0" applyNumberForma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0" fontId="0" fillId="0" borderId="27" xfId="0" applyBorder="1"/>
    <xf numFmtId="3" fontId="0" fillId="0" borderId="28" xfId="0" applyNumberFormat="1" applyBorder="1"/>
    <xf numFmtId="3" fontId="6" fillId="0" borderId="28" xfId="0" applyNumberFormat="1" applyFont="1" applyBorder="1"/>
    <xf numFmtId="3" fontId="0" fillId="0" borderId="25" xfId="0" applyNumberFormat="1" applyBorder="1"/>
    <xf numFmtId="0" fontId="6" fillId="0" borderId="29" xfId="0" applyFont="1" applyBorder="1"/>
    <xf numFmtId="3" fontId="6" fillId="0" borderId="30" xfId="0" applyNumberFormat="1" applyFont="1" applyBorder="1"/>
    <xf numFmtId="3" fontId="6" fillId="0" borderId="31" xfId="0" applyNumberFormat="1" applyFont="1" applyBorder="1"/>
    <xf numFmtId="3" fontId="6" fillId="0" borderId="32" xfId="0" applyNumberFormat="1" applyFont="1" applyBorder="1"/>
    <xf numFmtId="3" fontId="6" fillId="0" borderId="0" xfId="0" applyNumberFormat="1" applyFont="1" applyBorder="1"/>
    <xf numFmtId="3" fontId="0" fillId="0" borderId="33" xfId="0" applyNumberFormat="1" applyBorder="1"/>
    <xf numFmtId="3" fontId="6" fillId="0" borderId="33" xfId="0" applyNumberFormat="1" applyFont="1" applyBorder="1"/>
    <xf numFmtId="0" fontId="6" fillId="0" borderId="27" xfId="0" applyFont="1" applyBorder="1"/>
    <xf numFmtId="0" fontId="0" fillId="0" borderId="0" xfId="0" applyFill="1" applyBorder="1"/>
    <xf numFmtId="0" fontId="3" fillId="0" borderId="0" xfId="0" applyFont="1"/>
    <xf numFmtId="0" fontId="8" fillId="0" borderId="0" xfId="0" applyNumberFormat="1" applyFont="1" applyAlignment="1">
      <alignment horizontal="center"/>
    </xf>
    <xf numFmtId="3" fontId="0" fillId="0" borderId="34" xfId="0" applyNumberFormat="1" applyBorder="1"/>
    <xf numFmtId="3" fontId="8" fillId="0" borderId="12" xfId="0" applyNumberFormat="1" applyFont="1" applyBorder="1"/>
    <xf numFmtId="3" fontId="6" fillId="0" borderId="12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3" fontId="9" fillId="17" borderId="37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3" fontId="6" fillId="0" borderId="34" xfId="0" applyNumberFormat="1" applyFont="1" applyBorder="1"/>
    <xf numFmtId="3" fontId="0" fillId="0" borderId="26" xfId="0" applyNumberFormat="1" applyBorder="1"/>
    <xf numFmtId="3" fontId="0" fillId="0" borderId="38" xfId="0" applyNumberFormat="1" applyBorder="1"/>
    <xf numFmtId="3" fontId="0" fillId="0" borderId="32" xfId="0" applyNumberFormat="1" applyBorder="1"/>
    <xf numFmtId="3" fontId="0" fillId="0" borderId="21" xfId="0" applyNumberFormat="1" applyBorder="1"/>
    <xf numFmtId="2" fontId="0" fillId="0" borderId="0" xfId="0" applyNumberFormat="1" applyBorder="1"/>
    <xf numFmtId="0" fontId="8" fillId="0" borderId="0" xfId="0" applyFont="1" applyAlignment="1"/>
    <xf numFmtId="2" fontId="6" fillId="0" borderId="0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39" xfId="0" applyFont="1" applyBorder="1"/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3" fontId="8" fillId="0" borderId="25" xfId="0" applyNumberFormat="1" applyFont="1" applyBorder="1"/>
    <xf numFmtId="0" fontId="8" fillId="0" borderId="24" xfId="0" applyFont="1" applyBorder="1"/>
    <xf numFmtId="3" fontId="6" fillId="0" borderId="29" xfId="0" applyNumberFormat="1" applyFont="1" applyBorder="1"/>
    <xf numFmtId="4" fontId="0" fillId="0" borderId="0" xfId="0" applyNumberFormat="1" applyBorder="1"/>
    <xf numFmtId="0" fontId="0" fillId="0" borderId="24" xfId="0" applyBorder="1"/>
    <xf numFmtId="0" fontId="0" fillId="0" borderId="24" xfId="0" applyFill="1" applyBorder="1"/>
    <xf numFmtId="4" fontId="0" fillId="0" borderId="24" xfId="0" applyNumberFormat="1" applyBorder="1"/>
    <xf numFmtId="46" fontId="0" fillId="0" borderId="0" xfId="0" applyNumberFormat="1"/>
    <xf numFmtId="10" fontId="6" fillId="0" borderId="38" xfId="0" applyNumberFormat="1" applyFont="1" applyBorder="1"/>
    <xf numFmtId="10" fontId="6" fillId="0" borderId="0" xfId="0" applyNumberFormat="1" applyFont="1" applyBorder="1"/>
    <xf numFmtId="2" fontId="0" fillId="0" borderId="0" xfId="0" applyNumberFormat="1" applyFill="1" applyBorder="1"/>
    <xf numFmtId="3" fontId="3" fillId="0" borderId="24" xfId="0" applyNumberFormat="1" applyFont="1" applyBorder="1"/>
    <xf numFmtId="3" fontId="5" fillId="18" borderId="40" xfId="0" applyNumberFormat="1" applyFont="1" applyFill="1" applyBorder="1" applyAlignment="1">
      <alignment horizontal="right" vertical="center"/>
    </xf>
    <xf numFmtId="10" fontId="0" fillId="0" borderId="0" xfId="0" applyNumberFormat="1" applyBorder="1"/>
    <xf numFmtId="0" fontId="8" fillId="19" borderId="24" xfId="0" applyFont="1" applyFill="1" applyBorder="1" applyAlignment="1"/>
    <xf numFmtId="3" fontId="8" fillId="19" borderId="24" xfId="0" applyNumberFormat="1" applyFont="1" applyFill="1" applyBorder="1" applyAlignment="1"/>
    <xf numFmtId="0" fontId="0" fillId="19" borderId="24" xfId="0" applyFill="1" applyBorder="1"/>
    <xf numFmtId="3" fontId="0" fillId="19" borderId="24" xfId="0" applyNumberFormat="1" applyFill="1" applyBorder="1"/>
    <xf numFmtId="0" fontId="0" fillId="19" borderId="28" xfId="0" applyFill="1" applyBorder="1"/>
    <xf numFmtId="3" fontId="0" fillId="19" borderId="28" xfId="0" applyNumberFormat="1" applyFill="1" applyBorder="1"/>
    <xf numFmtId="0" fontId="6" fillId="19" borderId="30" xfId="0" applyFont="1" applyFill="1" applyBorder="1"/>
    <xf numFmtId="3" fontId="6" fillId="19" borderId="30" xfId="0" applyNumberFormat="1" applyFont="1" applyFill="1" applyBorder="1"/>
    <xf numFmtId="0" fontId="6" fillId="19" borderId="26" xfId="0" applyFont="1" applyFill="1" applyBorder="1"/>
    <xf numFmtId="3" fontId="6" fillId="19" borderId="26" xfId="0" applyNumberFormat="1" applyFont="1" applyFill="1" applyBorder="1"/>
    <xf numFmtId="0" fontId="6" fillId="20" borderId="30" xfId="0" applyFont="1" applyFill="1" applyBorder="1"/>
    <xf numFmtId="3" fontId="6" fillId="20" borderId="30" xfId="0" applyNumberFormat="1" applyFont="1" applyFill="1" applyBorder="1"/>
    <xf numFmtId="3" fontId="0" fillId="20" borderId="24" xfId="0" applyNumberFormat="1" applyFill="1" applyBorder="1"/>
    <xf numFmtId="3" fontId="8" fillId="20" borderId="24" xfId="0" applyNumberFormat="1" applyFont="1" applyFill="1" applyBorder="1" applyAlignment="1"/>
    <xf numFmtId="0" fontId="6" fillId="20" borderId="25" xfId="0" applyFont="1" applyFill="1" applyBorder="1"/>
    <xf numFmtId="3" fontId="6" fillId="20" borderId="25" xfId="0" applyNumberFormat="1" applyFont="1" applyFill="1" applyBorder="1"/>
    <xf numFmtId="0" fontId="0" fillId="20" borderId="24" xfId="0" applyFill="1" applyBorder="1"/>
    <xf numFmtId="10" fontId="8" fillId="19" borderId="24" xfId="0" applyNumberFormat="1" applyFont="1" applyFill="1" applyBorder="1" applyAlignment="1"/>
    <xf numFmtId="4" fontId="0" fillId="0" borderId="12" xfId="0" applyNumberFormat="1" applyBorder="1"/>
    <xf numFmtId="0" fontId="6" fillId="0" borderId="12" xfId="0" applyFont="1" applyBorder="1"/>
    <xf numFmtId="3" fontId="0" fillId="0" borderId="0" xfId="0" applyNumberFormat="1" applyAlignment="1">
      <alignment horizontal="center" vertical="center"/>
    </xf>
    <xf numFmtId="0" fontId="6" fillId="0" borderId="24" xfId="0" applyFont="1" applyFill="1" applyBorder="1"/>
    <xf numFmtId="0" fontId="6" fillId="0" borderId="24" xfId="0" applyFont="1" applyFill="1" applyBorder="1" applyAlignment="1">
      <alignment horizontal="center"/>
    </xf>
    <xf numFmtId="0" fontId="8" fillId="0" borderId="24" xfId="0" applyFont="1" applyFill="1" applyBorder="1" applyAlignment="1"/>
    <xf numFmtId="3" fontId="8" fillId="0" borderId="24" xfId="0" applyNumberFormat="1" applyFont="1" applyFill="1" applyBorder="1" applyAlignment="1"/>
    <xf numFmtId="3" fontId="6" fillId="0" borderId="24" xfId="0" applyNumberFormat="1" applyFont="1" applyFill="1" applyBorder="1"/>
    <xf numFmtId="0" fontId="6" fillId="0" borderId="28" xfId="0" applyFont="1" applyFill="1" applyBorder="1"/>
    <xf numFmtId="3" fontId="6" fillId="0" borderId="28" xfId="0" applyNumberFormat="1" applyFont="1" applyFill="1" applyBorder="1"/>
    <xf numFmtId="0" fontId="6" fillId="0" borderId="41" xfId="0" applyFont="1" applyFill="1" applyBorder="1"/>
    <xf numFmtId="3" fontId="6" fillId="0" borderId="41" xfId="0" applyNumberFormat="1" applyFont="1" applyFill="1" applyBorder="1"/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2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er celle" xfId="25" builtinId="23" customBuiltin="1"/>
    <cellStyle name="Markeringsfarve1" xfId="26" builtinId="29" customBuiltin="1"/>
    <cellStyle name="Markeringsfarve2" xfId="27" builtinId="33" customBuiltin="1"/>
    <cellStyle name="Markeringsfarve3" xfId="28" builtinId="37" customBuiltin="1"/>
    <cellStyle name="Markeringsfarve4" xfId="29" builtinId="41" customBuiltin="1"/>
    <cellStyle name="Markeringsfarve5" xfId="30" builtinId="45" customBuiltin="1"/>
    <cellStyle name="Markeringsfarve6" xfId="31" builtinId="49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AA44"/>
      <rgbColor rgb="009886C0"/>
      <rgbColor rgb="000000FF"/>
      <rgbColor rgb="00FF4747"/>
      <rgbColor rgb="0008CE4A"/>
      <rgbColor rgb="00FFB3B3"/>
      <rgbColor rgb="000C8E1B"/>
      <rgbColor rgb="00643098"/>
      <rgbColor rgb="00000080"/>
      <rgbColor rgb="00DA0808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96C8"/>
      <rgbColor rgb="008C52C8"/>
      <rgbColor rgb="00CCCCFF"/>
      <rgbColor rgb="00FFB3B3"/>
      <rgbColor rgb="00CCCCFF"/>
      <rgbColor rgb="00CEEED3"/>
      <rgbColor rgb="00CC99FF"/>
      <rgbColor rgb="00CDE1F3"/>
      <rgbColor rgb="003366FF"/>
      <rgbColor rgb="0033CCCC"/>
      <rgbColor rgb="00F50F0F"/>
      <rgbColor rgb="003F8DFF"/>
      <rgbColor rgb="000072D0"/>
      <rgbColor rgb="00005AA4"/>
      <rgbColor rgb="00666699"/>
      <rgbColor rgb="00969696"/>
      <rgbColor rgb="00003366"/>
      <rgbColor rgb="008647C5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Gr&#248;nt%20regnskab\&#197;rsopg&#248;relser\2008\LTK_&#229;rsopgoerelse2008%209%20mar%20statis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bj\AppData\Local\Microsoft\Windows\Temporary%20Internet%20Files\Content.Outlook\HL40L2U9\Drivmidler%20benzin%20og%20diesel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Forbrug%20og%20arealer\Forbrug%20arealer%20B&#216;F\Forbrug%20og%20arealer%20idr&#230;ts%20sv&#248;mmehaller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09\&#197;rsopg&#248;relse%202009,%201502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CO2\CO2%202009\CO2%20belastning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Forbrug%20og%20arealer\Forbrug%20arealer%20B&#216;F\Forbrug%20skoler%20manuelt%20beregnet%20FUGL%20og%20Virum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Forbrug%20og%20arealer\Forbrug%20arealer%20B&#216;F\B&#216;F%20Forbrug%20og%20arealer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&#197;rsopg&#248;relse%202010,%20p&#229;begyndt%2025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Forbrug%20fordelt%20p&#229;%20varmearter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&#197;rsopg&#248;relse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\tfbygn\Drift%20&amp;%20Energi%20&amp;%20Projekt\Energi\Gruppen\&#197;rsopg&#248;relser\2010%20&#229;rsopg&#248;relser\Elforbrug%202010%20vandforsyning%20vejbelysning%20renseanl&#230;g%20og%20pumpestation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nd"/>
      <sheetName val="Varme"/>
      <sheetName val="Changelog"/>
      <sheetName val="Data"/>
      <sheetName val="Varme redig."/>
      <sheetName val="EL (værdier)+boldbane"/>
    </sheetNames>
    <sheetDataSet>
      <sheetData sheetId="0" refreshError="1">
        <row r="24">
          <cell r="C24">
            <v>306216</v>
          </cell>
        </row>
      </sheetData>
      <sheetData sheetId="1" refreshError="1"/>
      <sheetData sheetId="2" refreshError="1">
        <row r="24">
          <cell r="D24">
            <v>306587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rivmidler 2010"/>
      <sheetName val="Ark3"/>
      <sheetName val="Ark4"/>
    </sheetNames>
    <sheetDataSet>
      <sheetData sheetId="0">
        <row r="51">
          <cell r="B51">
            <v>218018</v>
          </cell>
          <cell r="C51">
            <v>71713.208085457081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"/>
      <sheetName val="Data"/>
      <sheetName val="Changelog"/>
    </sheetNames>
    <sheetDataSet>
      <sheetData sheetId="0">
        <row r="10">
          <cell r="L10">
            <v>387.65831859125439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rme"/>
      <sheetName val="Vand"/>
      <sheetName val="Udgift el varme"/>
      <sheetName val="Ark5"/>
      <sheetName val="Ark6"/>
      <sheetName val="Ark7"/>
      <sheetName val="Ark8"/>
      <sheetName val="Ark9"/>
      <sheetName val="Ark10"/>
      <sheetName val="Ark11"/>
      <sheetName val="Ark12"/>
      <sheetName val="Ark13"/>
      <sheetName val="Ark14"/>
      <sheetName val="Ark15"/>
      <sheetName val="Ark16"/>
    </sheetNames>
    <sheetDataSet>
      <sheetData sheetId="0"/>
      <sheetData sheetId="1">
        <row r="26">
          <cell r="B26">
            <v>300403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9 (CO2-faktor for 2007)"/>
      <sheetName val="2008 (CO2-faktor for 2007)"/>
      <sheetName val="2007"/>
      <sheetName val="2009 (CO2-faktor for 2009)"/>
      <sheetName val="2008 (CO2-faktor for 2008)"/>
      <sheetName val="Energigruppemøde"/>
    </sheetNames>
    <sheetDataSet>
      <sheetData sheetId="0">
        <row r="18">
          <cell r="D18">
            <v>76759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"/>
      <sheetName val="Data"/>
    </sheetNames>
    <sheetDataSet>
      <sheetData sheetId="0">
        <row r="15">
          <cell r="P15">
            <v>1768.3864899639734</v>
          </cell>
        </row>
        <row r="17">
          <cell r="P17">
            <v>1219.5193573378751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Årsopgørelse"/>
      <sheetName val="Data"/>
      <sheetName val="Changelog"/>
    </sheetNames>
    <sheetDataSet>
      <sheetData sheetId="0">
        <row r="20">
          <cell r="E20">
            <v>350010.92977388593</v>
          </cell>
          <cell r="J20">
            <v>1539.354413320518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rme"/>
      <sheetName val="Vand"/>
      <sheetName val="Udgift el varme"/>
      <sheetName val="Ark5"/>
      <sheetName val="Ark6"/>
      <sheetName val="Ark7"/>
      <sheetName val="Ark8"/>
      <sheetName val="Ark9"/>
      <sheetName val="Ark10"/>
      <sheetName val="Ark11"/>
      <sheetName val="Ark12"/>
      <sheetName val="Ark13"/>
      <sheetName val="Ark14"/>
      <sheetName val="Ark15"/>
      <sheetName val="Ark16"/>
    </sheetNames>
    <sheetDataSet>
      <sheetData sheetId="0" refreshError="1"/>
      <sheetData sheetId="1" refreshError="1">
        <row r="11">
          <cell r="D11">
            <v>4233.2501210867567</v>
          </cell>
        </row>
        <row r="12">
          <cell r="D12">
            <v>926.04570056976434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brug andre varmearter grdkor"/>
      <sheetName val="Forbrug ej graddagekorr."/>
    </sheetNames>
    <sheetDataSet>
      <sheetData sheetId="0">
        <row r="2">
          <cell r="D2">
            <v>682.61439091950353</v>
          </cell>
        </row>
        <row r="3">
          <cell r="D3">
            <v>533.14341190598725</v>
          </cell>
        </row>
        <row r="4">
          <cell r="C4">
            <v>124.81350545288853</v>
          </cell>
        </row>
        <row r="5">
          <cell r="C5">
            <v>79</v>
          </cell>
        </row>
        <row r="6">
          <cell r="B6">
            <v>11.631332242677569</v>
          </cell>
        </row>
        <row r="7">
          <cell r="B7">
            <v>51.7</v>
          </cell>
        </row>
        <row r="9">
          <cell r="B9">
            <v>64.387</v>
          </cell>
        </row>
        <row r="10">
          <cell r="D10">
            <v>3073.74</v>
          </cell>
        </row>
        <row r="11">
          <cell r="B11">
            <v>39.380000000000003</v>
          </cell>
        </row>
        <row r="13">
          <cell r="B13">
            <v>13.894803292586163</v>
          </cell>
        </row>
        <row r="15">
          <cell r="B15">
            <v>17.428118235149636</v>
          </cell>
        </row>
        <row r="18">
          <cell r="B18">
            <v>53</v>
          </cell>
        </row>
        <row r="19">
          <cell r="B19">
            <v>13</v>
          </cell>
        </row>
        <row r="20">
          <cell r="B20">
            <v>8</v>
          </cell>
        </row>
        <row r="21">
          <cell r="D21">
            <v>42.989159061870936</v>
          </cell>
        </row>
        <row r="22">
          <cell r="D22">
            <v>78.729734547972043</v>
          </cell>
        </row>
        <row r="23">
          <cell r="D23">
            <v>86.099843697528314</v>
          </cell>
        </row>
        <row r="24">
          <cell r="D24">
            <v>75.22222602273537</v>
          </cell>
        </row>
        <row r="25">
          <cell r="C25">
            <v>948.69656771829682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"/>
      <sheetName val="Varme"/>
      <sheetName val="Vand"/>
      <sheetName val="Udgift el varme"/>
      <sheetName val="Ark5"/>
      <sheetName val="Ark6"/>
      <sheetName val="Ark7"/>
      <sheetName val="Ark8"/>
      <sheetName val="Ark9"/>
      <sheetName val="Ark10"/>
      <sheetName val="Ark11"/>
      <sheetName val="Ark12"/>
      <sheetName val="Ark13"/>
      <sheetName val="Ark14"/>
      <sheetName val="Ark15"/>
      <sheetName val="Ark16"/>
    </sheetNames>
    <sheetDataSet>
      <sheetData sheetId="0">
        <row r="9">
          <cell r="E9">
            <v>907.85236093005972</v>
          </cell>
        </row>
        <row r="10">
          <cell r="B10">
            <v>31781</v>
          </cell>
          <cell r="E10">
            <v>244.35886626609141</v>
          </cell>
        </row>
        <row r="11">
          <cell r="B11">
            <v>8337</v>
          </cell>
          <cell r="E11">
            <v>94.321933436673589</v>
          </cell>
        </row>
        <row r="12">
          <cell r="E12">
            <v>34.975360084413111</v>
          </cell>
        </row>
        <row r="13">
          <cell r="E13">
            <v>168.5813616906635</v>
          </cell>
        </row>
        <row r="15">
          <cell r="E15">
            <v>457.49185539744491</v>
          </cell>
        </row>
        <row r="16">
          <cell r="E16">
            <v>1813.4824294508637</v>
          </cell>
        </row>
        <row r="17">
          <cell r="E17">
            <v>2313.6941397161631</v>
          </cell>
        </row>
        <row r="18">
          <cell r="E18">
            <v>334.59101765221999</v>
          </cell>
        </row>
        <row r="19">
          <cell r="E19">
            <v>876.57951624908117</v>
          </cell>
        </row>
        <row r="20">
          <cell r="E20">
            <v>470.09631580800163</v>
          </cell>
        </row>
        <row r="21">
          <cell r="E21">
            <v>616.98394677717033</v>
          </cell>
        </row>
        <row r="23">
          <cell r="E23">
            <v>2898.2712430609372</v>
          </cell>
        </row>
        <row r="24">
          <cell r="E24">
            <v>16.431000000000001</v>
          </cell>
        </row>
        <row r="26">
          <cell r="B26">
            <v>297930</v>
          </cell>
        </row>
        <row r="27">
          <cell r="E27">
            <v>803.81700000000001</v>
          </cell>
        </row>
        <row r="29">
          <cell r="E29">
            <v>2867.2710000000002</v>
          </cell>
        </row>
        <row r="30">
          <cell r="E30">
            <v>1.8660000000000001</v>
          </cell>
        </row>
      </sheetData>
      <sheetData sheetId="1">
        <row r="10">
          <cell r="D10">
            <v>1999.0455702729296</v>
          </cell>
        </row>
        <row r="11">
          <cell r="B11">
            <v>30725</v>
          </cell>
        </row>
        <row r="12">
          <cell r="B12">
            <v>8337</v>
          </cell>
        </row>
        <row r="13">
          <cell r="D13">
            <v>229.52691857985155</v>
          </cell>
        </row>
        <row r="14">
          <cell r="D14">
            <v>635.97354744030099</v>
          </cell>
        </row>
        <row r="16">
          <cell r="D16">
            <v>892.65202501873591</v>
          </cell>
        </row>
        <row r="17">
          <cell r="D17">
            <v>9231.1797097815706</v>
          </cell>
        </row>
        <row r="18">
          <cell r="D18">
            <v>5859.896711032281</v>
          </cell>
        </row>
        <row r="19">
          <cell r="D19">
            <v>1181.8671197729141</v>
          </cell>
        </row>
        <row r="20">
          <cell r="D20">
            <v>3502.4242580526011</v>
          </cell>
        </row>
        <row r="21">
          <cell r="D21">
            <v>549.29333789945701</v>
          </cell>
        </row>
        <row r="22">
          <cell r="D22">
            <v>2812.442260828976</v>
          </cell>
        </row>
        <row r="25">
          <cell r="D25">
            <v>7183.3194855992242</v>
          </cell>
        </row>
        <row r="26">
          <cell r="D26">
            <v>114</v>
          </cell>
        </row>
        <row r="28">
          <cell r="B28">
            <v>300067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0">
          <cell r="E30">
            <v>2708.1972400000004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opLeftCell="A4" workbookViewId="0">
      <selection activeCell="E20" sqref="E20:E21"/>
    </sheetView>
  </sheetViews>
  <sheetFormatPr defaultRowHeight="12.75"/>
  <cols>
    <col min="1" max="1" width="0.5703125" customWidth="1"/>
    <col min="2" max="2" width="3.7109375" customWidth="1"/>
    <col min="3" max="3" width="14.5703125" customWidth="1"/>
    <col min="4" max="4" width="10.28515625" customWidth="1"/>
    <col min="5" max="5" width="10.85546875" style="5" customWidth="1"/>
    <col min="6" max="6" width="5.7109375" customWidth="1"/>
    <col min="7" max="7" width="8.42578125" customWidth="1"/>
    <col min="8" max="8" width="12.42578125" customWidth="1"/>
    <col min="9" max="9" width="12.7109375" style="5" customWidth="1"/>
    <col min="10" max="10" width="7.7109375" customWidth="1"/>
    <col min="11" max="11" width="10.140625" bestFit="1" customWidth="1"/>
    <col min="12" max="12" width="9.140625" style="48"/>
    <col min="14" max="14" width="10" bestFit="1" customWidth="1"/>
  </cols>
  <sheetData>
    <row r="1" spans="2:14">
      <c r="I1" s="5" t="s">
        <v>29</v>
      </c>
    </row>
    <row r="2" spans="2:14">
      <c r="I2" s="5" t="s">
        <v>30</v>
      </c>
    </row>
    <row r="3" spans="2:14">
      <c r="I3" s="5" t="s">
        <v>31</v>
      </c>
    </row>
    <row r="6" spans="2:14" ht="18" customHeight="1">
      <c r="B6" s="138" t="s">
        <v>11</v>
      </c>
      <c r="C6" s="139"/>
      <c r="D6" s="139"/>
      <c r="E6" s="139"/>
      <c r="F6" s="139"/>
      <c r="G6" s="139"/>
      <c r="H6" s="139"/>
      <c r="I6" s="139"/>
      <c r="J6" s="140"/>
    </row>
    <row r="7" spans="2:14">
      <c r="B7" s="141"/>
      <c r="C7" s="142"/>
      <c r="D7" s="142"/>
      <c r="E7" s="142"/>
      <c r="F7" s="142"/>
      <c r="G7" s="142"/>
      <c r="H7" s="142"/>
      <c r="I7" s="142"/>
      <c r="J7" s="143"/>
    </row>
    <row r="8" spans="2:14">
      <c r="B8" s="3" t="s">
        <v>8</v>
      </c>
      <c r="C8" s="4"/>
      <c r="D8" s="4"/>
      <c r="E8" s="144" t="s">
        <v>18</v>
      </c>
      <c r="F8" s="145"/>
      <c r="G8" s="149" t="s">
        <v>10</v>
      </c>
      <c r="H8" s="150"/>
      <c r="I8" s="144" t="s">
        <v>9</v>
      </c>
      <c r="J8" s="145"/>
    </row>
    <row r="9" spans="2:14">
      <c r="B9" s="3"/>
      <c r="C9" s="4"/>
      <c r="D9" s="4"/>
      <c r="E9" s="6"/>
      <c r="F9" s="8"/>
      <c r="G9" s="3"/>
      <c r="H9" s="8"/>
      <c r="I9" s="6"/>
      <c r="J9" s="8" t="s">
        <v>20</v>
      </c>
    </row>
    <row r="10" spans="2:14">
      <c r="B10" s="3" t="s">
        <v>4</v>
      </c>
      <c r="C10" s="4"/>
      <c r="D10" s="4"/>
      <c r="E10" s="6"/>
      <c r="F10" s="8"/>
      <c r="G10" s="3"/>
      <c r="H10" s="8"/>
      <c r="I10" s="6"/>
      <c r="J10" s="8" t="s">
        <v>20</v>
      </c>
    </row>
    <row r="11" spans="2:14">
      <c r="B11" s="3"/>
      <c r="C11" s="4" t="s">
        <v>0</v>
      </c>
      <c r="D11" s="4"/>
      <c r="E11" s="6">
        <f>29304/0.011</f>
        <v>2664000</v>
      </c>
      <c r="F11" s="8" t="s">
        <v>23</v>
      </c>
      <c r="G11" s="3">
        <v>2.2450000000000001</v>
      </c>
      <c r="H11" s="8" t="s">
        <v>28</v>
      </c>
      <c r="I11" s="6">
        <f>SUM(E11*G11)</f>
        <v>5980680</v>
      </c>
      <c r="J11" s="8" t="s">
        <v>21</v>
      </c>
    </row>
    <row r="12" spans="2:14">
      <c r="B12" s="3"/>
      <c r="C12" s="4" t="s">
        <v>1</v>
      </c>
      <c r="D12" s="4"/>
      <c r="E12" s="6">
        <v>1283</v>
      </c>
      <c r="F12" s="8" t="s">
        <v>22</v>
      </c>
      <c r="G12" s="3">
        <v>290</v>
      </c>
      <c r="H12" s="8" t="s">
        <v>24</v>
      </c>
      <c r="I12" s="6">
        <f>SUM(E12*G12)</f>
        <v>372070</v>
      </c>
      <c r="J12" s="8" t="s">
        <v>25</v>
      </c>
    </row>
    <row r="13" spans="2:14">
      <c r="B13" s="3"/>
      <c r="C13" s="4" t="s">
        <v>26</v>
      </c>
      <c r="D13" s="4"/>
      <c r="E13" s="6">
        <v>3018</v>
      </c>
      <c r="F13" s="8" t="s">
        <v>22</v>
      </c>
      <c r="G13" s="3">
        <v>270</v>
      </c>
      <c r="H13" s="8" t="s">
        <v>24</v>
      </c>
      <c r="I13" s="6">
        <f t="shared" ref="I13:I24" si="0">SUM(E13*G13)</f>
        <v>814860</v>
      </c>
      <c r="J13" s="8" t="s">
        <v>21</v>
      </c>
    </row>
    <row r="14" spans="2:14">
      <c r="B14" s="3"/>
      <c r="C14" s="4" t="s">
        <v>2</v>
      </c>
      <c r="D14" s="4"/>
      <c r="E14" s="6">
        <v>8067</v>
      </c>
      <c r="F14" s="8" t="s">
        <v>22</v>
      </c>
      <c r="G14" s="3">
        <v>286</v>
      </c>
      <c r="H14" s="8" t="s">
        <v>24</v>
      </c>
      <c r="I14" s="6">
        <f t="shared" si="0"/>
        <v>2307162</v>
      </c>
      <c r="J14" s="8" t="s">
        <v>21</v>
      </c>
      <c r="M14" s="5">
        <f>SUM(E12:E14)</f>
        <v>12368</v>
      </c>
      <c r="N14">
        <f>M14*35</f>
        <v>432880</v>
      </c>
    </row>
    <row r="15" spans="2:14">
      <c r="B15" s="3"/>
      <c r="C15" s="4" t="s">
        <v>14</v>
      </c>
      <c r="D15" s="4"/>
      <c r="E15" s="6">
        <v>336</v>
      </c>
      <c r="F15" s="8" t="s">
        <v>22</v>
      </c>
      <c r="G15" s="3">
        <v>429</v>
      </c>
      <c r="H15" s="8" t="s">
        <v>24</v>
      </c>
      <c r="I15" s="6">
        <f t="shared" si="0"/>
        <v>144144</v>
      </c>
      <c r="J15" s="8" t="s">
        <v>21</v>
      </c>
    </row>
    <row r="16" spans="2:14">
      <c r="B16" s="3"/>
      <c r="C16" s="4" t="s">
        <v>13</v>
      </c>
      <c r="D16" s="4"/>
      <c r="E16" s="6">
        <v>3929</v>
      </c>
      <c r="F16" s="8" t="s">
        <v>19</v>
      </c>
      <c r="G16" s="3">
        <v>2.4</v>
      </c>
      <c r="H16" s="8" t="s">
        <v>27</v>
      </c>
      <c r="I16" s="6">
        <f t="shared" si="0"/>
        <v>9429.6</v>
      </c>
      <c r="J16" s="8" t="s">
        <v>21</v>
      </c>
      <c r="K16" s="5">
        <f>SUM(I11:I16)</f>
        <v>9628345.5999999996</v>
      </c>
      <c r="L16" s="48">
        <f>SUM(I11:I16)/[1]Varme!$D$24</f>
        <v>31.404937587047069</v>
      </c>
    </row>
    <row r="17" spans="2:12">
      <c r="B17" s="3" t="s">
        <v>5</v>
      </c>
      <c r="C17" s="4"/>
      <c r="D17" s="4"/>
      <c r="E17" s="6" t="s">
        <v>20</v>
      </c>
      <c r="F17" s="8" t="s">
        <v>20</v>
      </c>
      <c r="G17" s="3" t="s">
        <v>20</v>
      </c>
      <c r="H17" s="8" t="s">
        <v>20</v>
      </c>
      <c r="I17" s="6" t="s">
        <v>20</v>
      </c>
      <c r="J17" s="8" t="s">
        <v>20</v>
      </c>
    </row>
    <row r="18" spans="2:12">
      <c r="B18" s="3"/>
      <c r="C18" s="4" t="s">
        <v>15</v>
      </c>
      <c r="D18" s="4"/>
      <c r="E18" s="6">
        <v>11716</v>
      </c>
      <c r="F18" s="8" t="s">
        <v>22</v>
      </c>
      <c r="G18" s="3">
        <v>429</v>
      </c>
      <c r="H18" s="8" t="s">
        <v>24</v>
      </c>
      <c r="I18" s="6">
        <f t="shared" si="0"/>
        <v>5026164</v>
      </c>
      <c r="J18" s="8" t="s">
        <v>21</v>
      </c>
      <c r="K18" s="5">
        <f>K16+I18</f>
        <v>14654509.6</v>
      </c>
      <c r="L18" s="48">
        <f>I18/[1]EL!$C$24</f>
        <v>16.41378634689239</v>
      </c>
    </row>
    <row r="19" spans="2:12">
      <c r="B19" s="3"/>
      <c r="C19" s="4" t="s">
        <v>16</v>
      </c>
      <c r="D19" s="4"/>
      <c r="E19" s="6">
        <v>2619</v>
      </c>
      <c r="F19" s="8" t="s">
        <v>22</v>
      </c>
      <c r="G19" s="3">
        <v>429</v>
      </c>
      <c r="H19" s="8" t="s">
        <v>24</v>
      </c>
      <c r="I19" s="6">
        <f t="shared" si="0"/>
        <v>1123551</v>
      </c>
      <c r="J19" s="8" t="s">
        <v>21</v>
      </c>
    </row>
    <row r="20" spans="2:12">
      <c r="B20" s="3"/>
      <c r="C20" s="4" t="s">
        <v>17</v>
      </c>
      <c r="D20" s="4"/>
      <c r="E20" s="6">
        <v>750</v>
      </c>
      <c r="F20" s="8" t="s">
        <v>22</v>
      </c>
      <c r="G20" s="3">
        <v>429</v>
      </c>
      <c r="H20" s="8" t="s">
        <v>24</v>
      </c>
      <c r="I20" s="6">
        <f t="shared" si="0"/>
        <v>321750</v>
      </c>
      <c r="J20" s="8" t="s">
        <v>21</v>
      </c>
    </row>
    <row r="21" spans="2:12">
      <c r="B21" s="3"/>
      <c r="C21" s="4" t="s">
        <v>35</v>
      </c>
      <c r="D21" s="4"/>
      <c r="E21" s="6">
        <v>2696</v>
      </c>
      <c r="F21" s="8" t="s">
        <v>22</v>
      </c>
      <c r="G21" s="3">
        <v>429</v>
      </c>
      <c r="H21" s="8" t="s">
        <v>24</v>
      </c>
      <c r="I21" s="6">
        <f t="shared" si="0"/>
        <v>1156584</v>
      </c>
      <c r="J21" s="8" t="s">
        <v>21</v>
      </c>
    </row>
    <row r="22" spans="2:12">
      <c r="B22" s="3" t="s">
        <v>6</v>
      </c>
      <c r="C22" s="4"/>
      <c r="D22" s="4"/>
      <c r="E22" s="6"/>
      <c r="F22" s="8"/>
      <c r="G22" s="3"/>
      <c r="H22" s="8"/>
      <c r="I22" s="6" t="s">
        <v>20</v>
      </c>
      <c r="J22" s="8" t="s">
        <v>20</v>
      </c>
    </row>
    <row r="23" spans="2:12">
      <c r="B23" s="3"/>
      <c r="C23" s="4" t="s">
        <v>3</v>
      </c>
      <c r="D23" s="4"/>
      <c r="E23" s="6">
        <f>13631+21954+2500+33700</f>
        <v>71785</v>
      </c>
      <c r="F23" s="8" t="s">
        <v>19</v>
      </c>
      <c r="G23" s="3">
        <v>2.4</v>
      </c>
      <c r="H23" s="8" t="s">
        <v>27</v>
      </c>
      <c r="I23" s="6">
        <f t="shared" si="0"/>
        <v>172284</v>
      </c>
      <c r="J23" s="8" t="s">
        <v>21</v>
      </c>
    </row>
    <row r="24" spans="2:12">
      <c r="B24" s="3"/>
      <c r="C24" s="4" t="s">
        <v>7</v>
      </c>
      <c r="D24" s="4"/>
      <c r="E24" s="6">
        <v>163944</v>
      </c>
      <c r="F24" s="8" t="s">
        <v>19</v>
      </c>
      <c r="G24" s="3">
        <v>2.65</v>
      </c>
      <c r="H24" s="8" t="s">
        <v>27</v>
      </c>
      <c r="I24" s="6">
        <f t="shared" si="0"/>
        <v>434451.6</v>
      </c>
      <c r="J24" s="8" t="s">
        <v>21</v>
      </c>
    </row>
    <row r="25" spans="2:12">
      <c r="B25" s="1" t="s">
        <v>12</v>
      </c>
      <c r="C25" s="2"/>
      <c r="D25" s="2"/>
      <c r="E25" s="6"/>
      <c r="F25" s="2"/>
      <c r="G25" s="1"/>
      <c r="H25" s="9"/>
      <c r="I25" s="7">
        <f>SUM(I11:I24)</f>
        <v>17863130.200000003</v>
      </c>
      <c r="J25" s="8" t="s">
        <v>21</v>
      </c>
      <c r="L25" s="48">
        <f>SUM(L16:L18)</f>
        <v>47.818723933939459</v>
      </c>
    </row>
    <row r="28" spans="2:12">
      <c r="B28" s="138" t="s">
        <v>37</v>
      </c>
      <c r="C28" s="139"/>
      <c r="D28" s="139"/>
      <c r="E28" s="139"/>
      <c r="F28" s="139"/>
      <c r="G28" s="139"/>
      <c r="H28" s="139"/>
      <c r="I28" s="139"/>
      <c r="J28" s="140"/>
    </row>
    <row r="29" spans="2:12">
      <c r="B29" s="141"/>
      <c r="C29" s="142"/>
      <c r="D29" s="142"/>
      <c r="E29" s="142"/>
      <c r="F29" s="142"/>
      <c r="G29" s="142"/>
      <c r="H29" s="142"/>
      <c r="I29" s="142"/>
      <c r="J29" s="143"/>
    </row>
    <row r="30" spans="2:12">
      <c r="B30" s="21"/>
      <c r="C30" s="13"/>
      <c r="D30" s="13"/>
      <c r="E30" s="14"/>
      <c r="F30" s="13"/>
      <c r="G30" s="13"/>
      <c r="H30" s="13"/>
      <c r="I30" s="14"/>
      <c r="J30" s="18"/>
    </row>
    <row r="31" spans="2:12">
      <c r="B31" s="22" t="s">
        <v>32</v>
      </c>
      <c r="C31" s="10"/>
      <c r="D31" s="2"/>
      <c r="E31" s="12"/>
      <c r="F31" s="2"/>
      <c r="G31" s="2"/>
      <c r="H31" s="2"/>
      <c r="I31" s="12">
        <f>SUM(I11:I18)</f>
        <v>14654509.6</v>
      </c>
      <c r="J31" s="9" t="s">
        <v>21</v>
      </c>
    </row>
    <row r="32" spans="2:12">
      <c r="B32" s="3" t="s">
        <v>16</v>
      </c>
      <c r="C32" s="4"/>
      <c r="D32" s="10"/>
      <c r="E32" s="11"/>
      <c r="F32" s="10"/>
      <c r="G32" s="10"/>
      <c r="H32" s="10"/>
      <c r="I32" s="11">
        <f>I19</f>
        <v>1123551</v>
      </c>
      <c r="J32" s="9" t="s">
        <v>21</v>
      </c>
    </row>
    <row r="33" spans="2:12">
      <c r="B33" s="3" t="s">
        <v>17</v>
      </c>
      <c r="C33" s="4"/>
      <c r="D33" s="4"/>
      <c r="E33" s="15"/>
      <c r="F33" s="4"/>
      <c r="G33" s="4"/>
      <c r="H33" s="4"/>
      <c r="I33" s="15">
        <f>I20</f>
        <v>321750</v>
      </c>
      <c r="J33" s="8" t="s">
        <v>21</v>
      </c>
    </row>
    <row r="34" spans="2:12">
      <c r="B34" s="3" t="s">
        <v>35</v>
      </c>
      <c r="C34" s="4"/>
      <c r="D34" s="2"/>
      <c r="E34" s="12"/>
      <c r="F34" s="2"/>
      <c r="G34" s="2"/>
      <c r="H34" s="2"/>
      <c r="I34" s="12">
        <f>I21</f>
        <v>1156584</v>
      </c>
      <c r="J34" s="8" t="s">
        <v>21</v>
      </c>
    </row>
    <row r="35" spans="2:12">
      <c r="B35" s="23" t="s">
        <v>33</v>
      </c>
      <c r="C35" s="2"/>
      <c r="D35" s="2"/>
      <c r="E35" s="12"/>
      <c r="F35" s="2"/>
      <c r="G35" s="2"/>
      <c r="H35" s="2"/>
      <c r="I35" s="12">
        <f>SUM(I23:I24)</f>
        <v>606735.6</v>
      </c>
      <c r="J35" s="8" t="s">
        <v>21</v>
      </c>
    </row>
    <row r="36" spans="2:12">
      <c r="B36" s="22"/>
      <c r="C36" s="10"/>
      <c r="D36" s="10"/>
      <c r="E36" s="11"/>
      <c r="F36" s="10"/>
      <c r="G36" s="10"/>
      <c r="H36" s="10"/>
      <c r="I36" s="11"/>
      <c r="J36" s="24"/>
    </row>
    <row r="37" spans="2:12" ht="13.5" thickBot="1">
      <c r="B37" s="25" t="s">
        <v>34</v>
      </c>
      <c r="C37" s="16"/>
      <c r="D37" s="16"/>
      <c r="E37" s="17"/>
      <c r="F37" s="16"/>
      <c r="G37" s="16"/>
      <c r="H37" s="16"/>
      <c r="I37" s="17">
        <f>SUM(I31:I35)</f>
        <v>17863130.200000003</v>
      </c>
      <c r="J37" s="19" t="s">
        <v>21</v>
      </c>
    </row>
    <row r="38" spans="2:12" ht="13.5" thickTop="1"/>
    <row r="39" spans="2:12">
      <c r="B39" s="20" t="s">
        <v>36</v>
      </c>
    </row>
    <row r="41" spans="2:12" ht="12.75" customHeight="1">
      <c r="B41" s="146" t="s">
        <v>43</v>
      </c>
      <c r="C41" s="139"/>
      <c r="D41" s="139"/>
      <c r="E41" s="139"/>
      <c r="F41" s="139"/>
      <c r="G41" s="139"/>
      <c r="H41" s="139"/>
      <c r="I41" s="140"/>
      <c r="J41" s="27"/>
    </row>
    <row r="42" spans="2:12" ht="12.75" customHeight="1">
      <c r="B42" s="141"/>
      <c r="C42" s="142"/>
      <c r="D42" s="142"/>
      <c r="E42" s="142"/>
      <c r="F42" s="142"/>
      <c r="G42" s="142"/>
      <c r="H42" s="142"/>
      <c r="I42" s="143"/>
      <c r="J42" s="27"/>
    </row>
    <row r="43" spans="2:12" s="26" customFormat="1">
      <c r="C43" s="38"/>
      <c r="D43" s="36"/>
      <c r="E43" s="37"/>
      <c r="F43" s="36"/>
      <c r="G43" s="36"/>
      <c r="H43" s="147" t="s">
        <v>39</v>
      </c>
      <c r="I43" s="148"/>
      <c r="J43" s="28"/>
      <c r="L43" s="49"/>
    </row>
    <row r="44" spans="2:12" s="26" customFormat="1">
      <c r="B44" s="45" t="s">
        <v>40</v>
      </c>
      <c r="C44" s="40"/>
      <c r="D44" s="41"/>
      <c r="E44" s="42"/>
      <c r="F44" s="41"/>
      <c r="G44" s="41"/>
      <c r="H44" s="43">
        <v>2007</v>
      </c>
      <c r="I44" s="44">
        <v>2008</v>
      </c>
      <c r="J44" s="28"/>
      <c r="L44" s="49"/>
    </row>
    <row r="45" spans="2:12">
      <c r="B45" s="46" t="s">
        <v>32</v>
      </c>
      <c r="C45" s="47"/>
      <c r="D45" s="2"/>
      <c r="E45" s="12"/>
      <c r="F45" s="2"/>
      <c r="G45" s="2"/>
      <c r="H45" s="12">
        <v>16432</v>
      </c>
      <c r="I45" s="29">
        <f>I31/1000</f>
        <v>14654.509599999999</v>
      </c>
      <c r="J45" s="10"/>
    </row>
    <row r="46" spans="2:12">
      <c r="B46" s="3" t="s">
        <v>16</v>
      </c>
      <c r="C46" s="8"/>
      <c r="D46" s="10"/>
      <c r="E46" s="11"/>
      <c r="F46" s="10"/>
      <c r="G46" s="10"/>
      <c r="H46" s="11">
        <v>1580</v>
      </c>
      <c r="I46" s="30">
        <f>I32/1000</f>
        <v>1123.5509999999999</v>
      </c>
      <c r="J46" s="10"/>
    </row>
    <row r="47" spans="2:12">
      <c r="B47" s="3" t="s">
        <v>17</v>
      </c>
      <c r="C47" s="8"/>
      <c r="D47" s="4"/>
      <c r="E47" s="15"/>
      <c r="F47" s="4"/>
      <c r="G47" s="4"/>
      <c r="H47" s="15">
        <v>468</v>
      </c>
      <c r="I47" s="31">
        <f>I33/1000</f>
        <v>321.75</v>
      </c>
      <c r="J47" s="10"/>
    </row>
    <row r="48" spans="2:12">
      <c r="B48" s="3" t="s">
        <v>38</v>
      </c>
      <c r="C48" s="8"/>
      <c r="D48" s="2"/>
      <c r="E48" s="12"/>
      <c r="F48" s="2"/>
      <c r="G48" s="2"/>
      <c r="H48" s="12">
        <v>1579</v>
      </c>
      <c r="I48" s="29">
        <f>I34/1000</f>
        <v>1156.5840000000001</v>
      </c>
      <c r="J48" s="10"/>
    </row>
    <row r="49" spans="2:12">
      <c r="B49" s="23" t="s">
        <v>42</v>
      </c>
      <c r="C49" s="9"/>
      <c r="D49" s="2"/>
      <c r="E49" s="12"/>
      <c r="F49" s="2"/>
      <c r="G49" s="2"/>
      <c r="H49" s="12">
        <v>610</v>
      </c>
      <c r="I49" s="29">
        <f>I35/1000</f>
        <v>606.73559999999998</v>
      </c>
      <c r="J49" s="10"/>
    </row>
    <row r="50" spans="2:12" s="26" customFormat="1" ht="13.5" thickBot="1">
      <c r="B50" s="32" t="s">
        <v>41</v>
      </c>
      <c r="C50" s="39"/>
      <c r="D50" s="33"/>
      <c r="E50" s="34"/>
      <c r="F50" s="33"/>
      <c r="G50" s="33"/>
      <c r="H50" s="34">
        <f>SUM(H45:H49)</f>
        <v>20669</v>
      </c>
      <c r="I50" s="35">
        <f>I37/1000</f>
        <v>17863.130200000003</v>
      </c>
      <c r="J50" s="28"/>
      <c r="L50" s="49"/>
    </row>
    <row r="51" spans="2:12" ht="13.5" thickTop="1"/>
  </sheetData>
  <mergeCells count="7">
    <mergeCell ref="B6:J7"/>
    <mergeCell ref="E8:F8"/>
    <mergeCell ref="B41:I42"/>
    <mergeCell ref="H43:I43"/>
    <mergeCell ref="B28:J29"/>
    <mergeCell ref="I8:J8"/>
    <mergeCell ref="G8:H8"/>
  </mergeCells>
  <phoneticPr fontId="3" type="noConversion"/>
  <pageMargins left="0.75" right="0.75" top="1" bottom="1" header="0" footer="0"/>
  <pageSetup paperSize="9" orientation="portrait" r:id="rId1"/>
  <headerFooter alignWithMargins="0">
    <oddHeader>&amp;CCO2-belastning 2008&amp;RBygningsafdelingen
Ulla Jensen
&amp;D
&amp;T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"/>
  <sheetViews>
    <sheetView workbookViewId="0">
      <pane xSplit="1" topLeftCell="B1" activePane="topRight" state="frozen"/>
      <selection pane="topRight" activeCell="B40" sqref="B40"/>
    </sheetView>
  </sheetViews>
  <sheetFormatPr defaultRowHeight="12.75"/>
  <cols>
    <col min="1" max="1" width="24" customWidth="1"/>
    <col min="8" max="8" width="10.140625" bestFit="1" customWidth="1"/>
    <col min="9" max="10" width="11.28515625" customWidth="1"/>
    <col min="11" max="11" width="11" customWidth="1"/>
    <col min="12" max="12" width="26.7109375" customWidth="1"/>
    <col min="19" max="19" width="10.5703125" bestFit="1" customWidth="1"/>
    <col min="21" max="22" width="10.85546875" customWidth="1"/>
    <col min="23" max="23" width="10.140625" bestFit="1" customWidth="1"/>
    <col min="24" max="29" width="9.140625" style="5"/>
    <col min="30" max="30" width="11.42578125" style="50" customWidth="1"/>
    <col min="31" max="31" width="10.42578125" style="5" customWidth="1"/>
    <col min="32" max="33" width="10.85546875" style="5" customWidth="1"/>
    <col min="34" max="39" width="9.140625" style="5"/>
    <col min="40" max="40" width="10.42578125" style="5" customWidth="1"/>
    <col min="41" max="41" width="9.140625" style="5"/>
    <col min="42" max="42" width="10.140625" style="5" bestFit="1" customWidth="1"/>
    <col min="43" max="43" width="10.140625" bestFit="1" customWidth="1"/>
  </cols>
  <sheetData>
    <row r="1" spans="1:43" s="51" customFormat="1" ht="15">
      <c r="B1" s="151" t="s">
        <v>80</v>
      </c>
      <c r="C1" s="151"/>
      <c r="D1" s="151"/>
      <c r="E1" s="151"/>
      <c r="F1" s="151"/>
      <c r="G1" s="151"/>
      <c r="H1" s="151"/>
      <c r="I1" s="52">
        <f>SUM(C13:F13)</f>
        <v>10629.347708980711</v>
      </c>
      <c r="M1" s="151" t="s">
        <v>79</v>
      </c>
      <c r="N1" s="151"/>
      <c r="O1" s="151"/>
      <c r="P1" s="151"/>
      <c r="Q1" s="151"/>
      <c r="R1" s="151"/>
      <c r="S1" s="151"/>
      <c r="T1" s="151"/>
      <c r="X1" s="152"/>
      <c r="Y1" s="152"/>
      <c r="Z1" s="152"/>
      <c r="AA1" s="152"/>
      <c r="AB1" s="152"/>
      <c r="AC1" s="152"/>
      <c r="AD1" s="152"/>
      <c r="AE1" s="152"/>
      <c r="AF1" s="73"/>
      <c r="AG1" s="73"/>
      <c r="AH1" s="152"/>
      <c r="AI1" s="152"/>
      <c r="AJ1" s="152"/>
      <c r="AK1" s="152"/>
      <c r="AL1" s="152"/>
      <c r="AM1" s="152"/>
      <c r="AN1" s="152"/>
      <c r="AO1" s="152"/>
      <c r="AP1" s="73"/>
    </row>
    <row r="2" spans="1:43" s="51" customFormat="1" ht="15">
      <c r="B2" s="151" t="s">
        <v>57</v>
      </c>
      <c r="C2" s="151"/>
      <c r="D2" s="151"/>
      <c r="E2" s="151"/>
      <c r="F2" s="151"/>
      <c r="G2" s="151"/>
      <c r="H2" s="95"/>
      <c r="M2" s="151" t="s">
        <v>57</v>
      </c>
      <c r="N2" s="151"/>
      <c r="O2" s="151"/>
      <c r="P2" s="151"/>
      <c r="Q2" s="151"/>
      <c r="R2" s="151"/>
      <c r="S2" s="151"/>
      <c r="T2" s="95"/>
      <c r="X2" s="152"/>
      <c r="Y2" s="152"/>
      <c r="Z2" s="152"/>
      <c r="AA2" s="152"/>
      <c r="AB2" s="152"/>
      <c r="AC2" s="152"/>
      <c r="AD2" s="53"/>
      <c r="AE2" s="54"/>
      <c r="AF2" s="52"/>
      <c r="AG2" s="52"/>
      <c r="AH2" s="152"/>
      <c r="AI2" s="152"/>
      <c r="AJ2" s="152"/>
      <c r="AK2" s="152"/>
      <c r="AL2" s="152"/>
      <c r="AM2" s="152"/>
      <c r="AN2" s="53"/>
      <c r="AO2" s="54"/>
      <c r="AP2" s="52"/>
    </row>
    <row r="3" spans="1:43" s="51" customFormat="1" ht="15">
      <c r="A3" s="51" t="s">
        <v>44</v>
      </c>
      <c r="B3" s="94" t="s">
        <v>52</v>
      </c>
      <c r="C3" s="94" t="s">
        <v>53</v>
      </c>
      <c r="D3" s="94" t="s">
        <v>54</v>
      </c>
      <c r="E3" s="94" t="s">
        <v>55</v>
      </c>
      <c r="F3" s="94" t="s">
        <v>56</v>
      </c>
      <c r="G3" s="94" t="s">
        <v>63</v>
      </c>
      <c r="H3" s="51" t="s">
        <v>15</v>
      </c>
      <c r="I3" s="54" t="s">
        <v>78</v>
      </c>
      <c r="J3" s="54" t="s">
        <v>96</v>
      </c>
      <c r="L3" s="51" t="s">
        <v>44</v>
      </c>
      <c r="M3" s="94" t="s">
        <v>52</v>
      </c>
      <c r="N3" s="94" t="s">
        <v>53</v>
      </c>
      <c r="O3" s="94" t="s">
        <v>54</v>
      </c>
      <c r="P3" s="94" t="s">
        <v>55</v>
      </c>
      <c r="Q3" s="94" t="s">
        <v>56</v>
      </c>
      <c r="R3" s="94" t="s">
        <v>13</v>
      </c>
      <c r="S3" s="94" t="s">
        <v>63</v>
      </c>
      <c r="T3" s="51" t="s">
        <v>15</v>
      </c>
      <c r="U3" s="75" t="s">
        <v>78</v>
      </c>
      <c r="V3" s="54" t="s">
        <v>86</v>
      </c>
      <c r="X3" s="54"/>
      <c r="Y3" s="54"/>
      <c r="Z3" s="54"/>
      <c r="AA3" s="54"/>
      <c r="AB3" s="54"/>
      <c r="AC3" s="54"/>
      <c r="AD3" s="54"/>
      <c r="AE3" s="75"/>
      <c r="AF3" s="54"/>
      <c r="AG3" s="54"/>
      <c r="AH3" s="54"/>
      <c r="AI3" s="54"/>
      <c r="AJ3" s="54"/>
      <c r="AK3" s="54"/>
      <c r="AL3" s="54"/>
      <c r="AM3" s="54"/>
      <c r="AN3" s="54"/>
      <c r="AO3" s="75"/>
      <c r="AP3" s="54"/>
    </row>
    <row r="4" spans="1:43" s="26" customFormat="1">
      <c r="B4" s="55" t="s">
        <v>58</v>
      </c>
      <c r="C4" s="55" t="s">
        <v>58</v>
      </c>
      <c r="D4" s="55" t="s">
        <v>58</v>
      </c>
      <c r="E4" s="55" t="s">
        <v>58</v>
      </c>
      <c r="F4" s="55" t="s">
        <v>58</v>
      </c>
      <c r="G4" s="55" t="s">
        <v>58</v>
      </c>
      <c r="H4" s="76" t="s">
        <v>58</v>
      </c>
      <c r="I4" s="55"/>
      <c r="J4" s="67"/>
      <c r="M4" s="55" t="s">
        <v>58</v>
      </c>
      <c r="N4" s="55" t="s">
        <v>58</v>
      </c>
      <c r="O4" s="55" t="s">
        <v>58</v>
      </c>
      <c r="P4" s="55" t="s">
        <v>58</v>
      </c>
      <c r="Q4" s="55" t="s">
        <v>58</v>
      </c>
      <c r="R4" s="55" t="s">
        <v>59</v>
      </c>
      <c r="S4" s="55" t="s">
        <v>58</v>
      </c>
      <c r="T4" s="76" t="s">
        <v>58</v>
      </c>
      <c r="U4" s="76"/>
      <c r="V4" s="55"/>
      <c r="X4" s="55"/>
      <c r="Y4" s="55"/>
      <c r="Z4" s="55"/>
      <c r="AA4" s="55"/>
      <c r="AB4" s="55"/>
      <c r="AC4" s="55"/>
      <c r="AD4" s="55"/>
      <c r="AE4" s="76"/>
      <c r="AF4" s="80"/>
      <c r="AG4" s="80"/>
      <c r="AH4" s="55"/>
      <c r="AI4" s="55"/>
      <c r="AJ4" s="55"/>
      <c r="AK4" s="55"/>
      <c r="AL4" s="55"/>
      <c r="AM4" s="55"/>
      <c r="AN4" s="55"/>
      <c r="AO4" s="76"/>
      <c r="AP4" s="55"/>
    </row>
    <row r="5" spans="1:43">
      <c r="A5" t="s">
        <v>45</v>
      </c>
      <c r="B5" s="5">
        <f t="shared" ref="B5:B11" si="0">G5-SUM(C5:F5)</f>
        <v>1032.9208843194831</v>
      </c>
      <c r="D5" s="5">
        <f>'[7]Forbrug andre varmearter grdkor'!$C$25</f>
        <v>948.69656771829682</v>
      </c>
      <c r="F5" s="5">
        <f>'[7]Forbrug andre varmearter grdkor'!$B$15</f>
        <v>17.428118235149636</v>
      </c>
      <c r="G5" s="5">
        <f>[8]Varme!$D$10</f>
        <v>1999.0455702729296</v>
      </c>
      <c r="H5" s="5">
        <f>[8]El!$E$9</f>
        <v>907.85236093005972</v>
      </c>
      <c r="I5" s="55">
        <f t="shared" ref="I5:I15" si="1">B5*gasfaktor+C5*fjernvarmefaktor+D5*Fjernvarmefaktor_nye_kedler+E5*kraftvarmefaktor+F5*elfaktor+H5*elfaktor</f>
        <v>881873.08203040413</v>
      </c>
      <c r="J5" s="67">
        <f>I5/1000</f>
        <v>881.87308203040413</v>
      </c>
      <c r="L5" t="s">
        <v>45</v>
      </c>
      <c r="M5" s="5">
        <f>S5-SUM(N5:R5)</f>
        <v>941.04338960553741</v>
      </c>
      <c r="O5" s="5">
        <v>883.41937314014467</v>
      </c>
      <c r="Q5" s="5">
        <v>17</v>
      </c>
      <c r="S5" s="5">
        <v>1841.4627627456821</v>
      </c>
      <c r="T5" s="5">
        <v>850.07509721447366</v>
      </c>
      <c r="U5" s="76">
        <v>819396.35942996666</v>
      </c>
      <c r="V5" s="55">
        <v>819.39635942996665</v>
      </c>
      <c r="X5" s="56"/>
      <c r="Y5" s="56"/>
      <c r="Z5" s="56"/>
      <c r="AA5" s="56"/>
      <c r="AB5" s="56"/>
      <c r="AC5" s="56"/>
      <c r="AD5" s="55"/>
      <c r="AE5" s="6"/>
      <c r="AF5" s="55"/>
      <c r="AG5" s="55"/>
      <c r="AH5" s="56"/>
      <c r="AI5" s="56"/>
      <c r="AJ5" s="56"/>
      <c r="AK5" s="56"/>
      <c r="AL5" s="56"/>
      <c r="AM5" s="56"/>
      <c r="AN5" s="56"/>
      <c r="AO5" s="79"/>
      <c r="AP5" s="56"/>
    </row>
    <row r="6" spans="1:43">
      <c r="A6" t="s">
        <v>46</v>
      </c>
      <c r="B6" s="5">
        <f t="shared" si="0"/>
        <v>6243.2738624797221</v>
      </c>
      <c r="C6" s="5">
        <f>[4]Årsopgørelse!$P$17</f>
        <v>1219.5193573378751</v>
      </c>
      <c r="D6" s="5">
        <f>[5]Årsopgørelse!$J$20</f>
        <v>1539.354413320518</v>
      </c>
      <c r="E6" s="5">
        <f>[4]Årsopgørelse!$P$15</f>
        <v>1768.3864899639734</v>
      </c>
      <c r="G6" s="5">
        <f>[8]Varme!$D$17+D6</f>
        <v>10770.534123102088</v>
      </c>
      <c r="H6" s="5">
        <f>[8]El!$E$16+[5]Årsopgørelse!$E$20/1000</f>
        <v>2163.4933592247498</v>
      </c>
      <c r="I6" s="55">
        <f t="shared" si="1"/>
        <v>3519396.249156211</v>
      </c>
      <c r="J6" s="67">
        <f t="shared" ref="J6:J23" si="2">I6/1000</f>
        <v>3519.3962491562111</v>
      </c>
      <c r="L6" t="s">
        <v>46</v>
      </c>
      <c r="M6" s="5">
        <f t="shared" ref="M6:M11" si="3">S6-SUM(N6:R6)</f>
        <v>6193.2166144783641</v>
      </c>
      <c r="N6" s="5">
        <v>1244</v>
      </c>
      <c r="O6" s="5">
        <v>1428</v>
      </c>
      <c r="P6" s="5">
        <v>1804</v>
      </c>
      <c r="S6" s="5">
        <v>10669.216614478364</v>
      </c>
      <c r="T6" s="5">
        <v>2116.740680554713</v>
      </c>
      <c r="U6" s="76">
        <v>3475434.2931682407</v>
      </c>
      <c r="V6" s="55">
        <v>3475.4342931682409</v>
      </c>
      <c r="X6" s="56"/>
      <c r="Y6" s="56"/>
      <c r="Z6" s="56"/>
      <c r="AA6" s="56"/>
      <c r="AB6" s="56"/>
      <c r="AC6" s="56"/>
      <c r="AD6" s="55"/>
      <c r="AE6" s="6"/>
      <c r="AF6" s="55"/>
      <c r="AG6" s="55"/>
      <c r="AH6" s="56"/>
      <c r="AI6" s="56"/>
      <c r="AJ6" s="56"/>
      <c r="AK6" s="56"/>
      <c r="AL6" s="56"/>
      <c r="AM6" s="56"/>
      <c r="AN6" s="56"/>
      <c r="AP6" s="56"/>
    </row>
    <row r="7" spans="1:43">
      <c r="A7" t="s">
        <v>47</v>
      </c>
      <c r="B7" s="5">
        <f t="shared" si="0"/>
        <v>3360.0929258099236</v>
      </c>
      <c r="D7" s="5">
        <f>'[7]Forbrug andre varmearter grdkor'!$C$5</f>
        <v>79</v>
      </c>
      <c r="F7" s="5">
        <f>'[7]Forbrug andre varmearter grdkor'!$B$6+'[7]Forbrug andre varmearter grdkor'!$B$7</f>
        <v>63.331332242677576</v>
      </c>
      <c r="G7" s="5">
        <f>[8]Varme!$D$20</f>
        <v>3502.4242580526011</v>
      </c>
      <c r="H7" s="5">
        <f>[8]El!$E$19</f>
        <v>876.57951624908117</v>
      </c>
      <c r="I7" s="55">
        <f t="shared" si="1"/>
        <v>1128570.2319189948</v>
      </c>
      <c r="J7" s="67">
        <f t="shared" si="2"/>
        <v>1128.5702319189948</v>
      </c>
      <c r="L7" t="s">
        <v>47</v>
      </c>
      <c r="M7" s="5">
        <f t="shared" si="3"/>
        <v>3520.7268221410723</v>
      </c>
      <c r="O7" s="5">
        <v>63</v>
      </c>
      <c r="Q7" s="5">
        <v>66</v>
      </c>
      <c r="R7" s="5">
        <v>45.162999999999997</v>
      </c>
      <c r="S7" s="5">
        <v>3694.8898221410723</v>
      </c>
      <c r="T7" s="5">
        <v>870.463086307141</v>
      </c>
      <c r="U7" s="76">
        <v>1166447.7771448335</v>
      </c>
      <c r="V7" s="55">
        <v>1166.4477771448335</v>
      </c>
      <c r="X7" s="56"/>
      <c r="Y7" s="56"/>
      <c r="Z7" s="56"/>
      <c r="AA7" s="56"/>
      <c r="AB7" s="56"/>
      <c r="AC7" s="56"/>
      <c r="AD7" s="55"/>
      <c r="AE7" s="6"/>
      <c r="AF7" s="55"/>
      <c r="AG7" s="55"/>
      <c r="AH7" s="56"/>
      <c r="AI7" s="56"/>
      <c r="AJ7" s="56"/>
      <c r="AK7" s="56"/>
      <c r="AL7" s="56"/>
      <c r="AM7" s="56"/>
      <c r="AN7" s="56"/>
      <c r="AP7" s="56"/>
    </row>
    <row r="8" spans="1:43">
      <c r="A8" t="s">
        <v>48</v>
      </c>
      <c r="B8" s="5">
        <f t="shared" si="0"/>
        <v>1128.8671197729141</v>
      </c>
      <c r="F8" s="5">
        <f>'[7]Forbrug andre varmearter grdkor'!$B$18</f>
        <v>53</v>
      </c>
      <c r="G8" s="5">
        <f>[8]Varme!$D$19</f>
        <v>1181.8671197729141</v>
      </c>
      <c r="H8" s="5">
        <f>[8]El!$E$18</f>
        <v>334.59101765221999</v>
      </c>
      <c r="I8" s="55">
        <f t="shared" si="1"/>
        <v>404195.48884344357</v>
      </c>
      <c r="J8" s="67">
        <f t="shared" si="2"/>
        <v>404.19548884344357</v>
      </c>
      <c r="L8" t="s">
        <v>48</v>
      </c>
      <c r="M8" s="5">
        <f t="shared" si="3"/>
        <v>1175.8666639767366</v>
      </c>
      <c r="Q8" s="128">
        <v>52.913267018482202</v>
      </c>
      <c r="S8" s="5">
        <v>1228.7799309952188</v>
      </c>
      <c r="T8" s="5">
        <v>331.11478274637403</v>
      </c>
      <c r="U8" s="76">
        <v>412189.95873631595</v>
      </c>
      <c r="V8" s="55">
        <v>412.18995873631593</v>
      </c>
      <c r="X8" s="56"/>
      <c r="Y8" s="56"/>
      <c r="Z8" s="56"/>
      <c r="AA8" s="56"/>
      <c r="AB8" s="56"/>
      <c r="AC8" s="56"/>
      <c r="AD8" s="55"/>
      <c r="AE8" s="6"/>
      <c r="AF8" s="55"/>
      <c r="AG8" s="55"/>
      <c r="AH8" s="56"/>
      <c r="AI8" s="56"/>
      <c r="AJ8" s="56"/>
      <c r="AK8" s="56"/>
      <c r="AL8" s="56"/>
      <c r="AM8" s="56"/>
      <c r="AN8" s="56"/>
      <c r="AP8" s="56"/>
    </row>
    <row r="9" spans="1:43">
      <c r="A9" t="s">
        <v>49</v>
      </c>
      <c r="B9" s="5">
        <f t="shared" si="0"/>
        <v>5967.561682773734</v>
      </c>
      <c r="E9" s="5">
        <f>'[7]Forbrug andre varmearter grdkor'!$D$2+'[7]Forbrug andre varmearter grdkor'!$D$3</f>
        <v>1215.7578028254907</v>
      </c>
      <c r="G9" s="5">
        <f>[8]Varme!$D$25</f>
        <v>7183.3194855992242</v>
      </c>
      <c r="H9" s="5">
        <f>[8]El!$E$23</f>
        <v>2898.2712430609372</v>
      </c>
      <c r="I9" s="55">
        <f t="shared" si="1"/>
        <v>2865277.6621266771</v>
      </c>
      <c r="J9" s="67">
        <f t="shared" si="2"/>
        <v>2865.2776621266771</v>
      </c>
      <c r="L9" t="s">
        <v>49</v>
      </c>
      <c r="M9" s="5">
        <f t="shared" si="3"/>
        <v>6454.556017648817</v>
      </c>
      <c r="P9" s="5">
        <v>1175</v>
      </c>
      <c r="S9" s="5">
        <v>7629.556017648817</v>
      </c>
      <c r="T9" s="5">
        <v>2992.2503899256758</v>
      </c>
      <c r="U9" s="76">
        <v>2995154.2750078691</v>
      </c>
      <c r="V9" s="55">
        <v>2995.1542750078693</v>
      </c>
      <c r="X9" s="56"/>
      <c r="Y9" s="56"/>
      <c r="Z9" s="56"/>
      <c r="AA9" s="56"/>
      <c r="AB9" s="56"/>
      <c r="AC9" s="56"/>
      <c r="AD9" s="55"/>
      <c r="AE9" s="6"/>
      <c r="AF9" s="55"/>
      <c r="AG9" s="55"/>
      <c r="AH9" s="56"/>
      <c r="AI9" s="56"/>
      <c r="AJ9" s="56"/>
      <c r="AK9" s="56"/>
      <c r="AL9" s="56"/>
      <c r="AM9" s="56"/>
      <c r="AN9" s="56"/>
      <c r="AP9" s="56"/>
    </row>
    <row r="10" spans="1:43">
      <c r="A10" t="s">
        <v>50</v>
      </c>
      <c r="B10" s="5">
        <f t="shared" si="0"/>
        <v>511.16004198741246</v>
      </c>
      <c r="D10" s="5">
        <f>'[7]Forbrug andre varmearter grdkor'!$C$4</f>
        <v>124.81350545288853</v>
      </c>
      <c r="G10" s="5">
        <f>[8]Varme!$D$14</f>
        <v>635.97354744030099</v>
      </c>
      <c r="H10" s="5">
        <f>[8]El!$E$13</f>
        <v>168.5813616906635</v>
      </c>
      <c r="I10" s="55">
        <f t="shared" si="1"/>
        <v>213618.19579583046</v>
      </c>
      <c r="J10" s="67">
        <f t="shared" si="2"/>
        <v>213.61819579583045</v>
      </c>
      <c r="L10" t="s">
        <v>50</v>
      </c>
      <c r="M10" s="5">
        <f t="shared" si="3"/>
        <v>522.47201147290036</v>
      </c>
      <c r="O10" s="106">
        <v>106.06398649414004</v>
      </c>
      <c r="S10" s="5">
        <v>628.53599796704043</v>
      </c>
      <c r="T10" s="5">
        <v>180.97440235172996</v>
      </c>
      <c r="U10" s="76">
        <v>216421.7961514116</v>
      </c>
      <c r="V10" s="55">
        <v>216.4217961514116</v>
      </c>
      <c r="X10" s="56"/>
      <c r="Y10" s="56"/>
      <c r="Z10" s="56"/>
      <c r="AA10" s="56"/>
      <c r="AB10" s="56"/>
      <c r="AC10" s="56"/>
      <c r="AD10" s="55"/>
      <c r="AE10" s="6"/>
      <c r="AF10" s="55"/>
      <c r="AG10" s="55"/>
      <c r="AH10" s="56"/>
      <c r="AI10" s="56"/>
      <c r="AJ10" s="56"/>
      <c r="AK10" s="56"/>
      <c r="AL10" s="56"/>
      <c r="AM10" s="56"/>
      <c r="AN10" s="56"/>
      <c r="AP10" s="56"/>
    </row>
    <row r="11" spans="1:43" ht="13.5" thickBot="1">
      <c r="A11" s="59" t="s">
        <v>60</v>
      </c>
      <c r="B11" s="5">
        <f t="shared" si="0"/>
        <v>2294.7313924410269</v>
      </c>
      <c r="C11" s="10"/>
      <c r="D11" s="11">
        <f>[11]Årsopgørelse!$L$10</f>
        <v>387.65831859125439</v>
      </c>
      <c r="E11" s="11">
        <f>'[7]Forbrug andre varmearter grdkor'!$D$10</f>
        <v>3073.74</v>
      </c>
      <c r="F11" s="11">
        <f>'[7]Forbrug andre varmearter grdkor'!$B$9+'[7]Forbrug andre varmearter grdkor'!$B$11</f>
        <v>103.767</v>
      </c>
      <c r="G11" s="11">
        <f>[8]Varme!$D$18</f>
        <v>5859.896711032281</v>
      </c>
      <c r="H11" s="11">
        <f>[8]El!$E$17+[8]El!$E$30</f>
        <v>2315.5601397161631</v>
      </c>
      <c r="I11" s="55">
        <f t="shared" si="1"/>
        <v>2536968.4246740444</v>
      </c>
      <c r="J11" s="67">
        <f t="shared" si="2"/>
        <v>2536.9684246740444</v>
      </c>
      <c r="L11" s="59" t="s">
        <v>60</v>
      </c>
      <c r="M11" s="5">
        <f t="shared" si="3"/>
        <v>1870.6851821634818</v>
      </c>
      <c r="N11" s="10"/>
      <c r="O11" s="11">
        <v>435</v>
      </c>
      <c r="P11" s="11">
        <v>3363</v>
      </c>
      <c r="Q11" s="11">
        <v>130</v>
      </c>
      <c r="R11" s="10"/>
      <c r="S11" s="11">
        <v>5798.6851821634818</v>
      </c>
      <c r="T11" s="11">
        <v>2255.7087900563993</v>
      </c>
      <c r="U11" s="76">
        <v>2530859.8863601387</v>
      </c>
      <c r="V11" s="55">
        <v>2530.8598863601387</v>
      </c>
      <c r="W11" s="10"/>
      <c r="X11" s="56"/>
      <c r="Y11" s="60"/>
      <c r="Z11" s="60"/>
      <c r="AA11" s="60"/>
      <c r="AB11" s="60"/>
      <c r="AC11" s="60"/>
      <c r="AD11" s="61"/>
      <c r="AE11" s="77"/>
      <c r="AF11" s="55"/>
      <c r="AG11" s="55"/>
      <c r="AH11" s="56"/>
      <c r="AI11" s="56"/>
      <c r="AJ11" s="56"/>
      <c r="AK11" s="56"/>
      <c r="AL11" s="56"/>
      <c r="AM11" s="56"/>
      <c r="AN11" s="56"/>
      <c r="AP11" s="56"/>
    </row>
    <row r="12" spans="1:43" ht="13.5" thickBot="1">
      <c r="A12" t="s">
        <v>51</v>
      </c>
      <c r="B12" s="5">
        <f>G12-SUM(C12:F12)</f>
        <v>3023.6653257139164</v>
      </c>
      <c r="F12" s="5">
        <f>'[7]Forbrug andre varmearter grdkor'!$B$13+'[7]Forbrug andre varmearter grdkor'!$B$19+'[7]Forbrug andre varmearter grdkor'!$B$20</f>
        <v>34.894803292586161</v>
      </c>
      <c r="G12" s="5">
        <f>[8]Varme!$D$13+[8]Varme!$D$16+[8]Varme!$D$21+[8]Varme!$D$22+[8]Varme!$D$26-D6</f>
        <v>3058.5601290065024</v>
      </c>
      <c r="H12" s="5">
        <f>[8]El!$E$12+[8]El!$E$15+[8]El!$E$20+[8]El!$E$21+-[5]Årsopgørelse!$E$20/1000+[8]El!$E$24</f>
        <v>1245.9675482931441</v>
      </c>
      <c r="I12" s="55">
        <f t="shared" si="1"/>
        <v>1191468.2490858459</v>
      </c>
      <c r="J12" s="67">
        <f t="shared" si="2"/>
        <v>1191.4682490858459</v>
      </c>
      <c r="K12" s="5"/>
      <c r="L12" t="s">
        <v>51</v>
      </c>
      <c r="M12" s="5">
        <f>S12-SUM(N12:R12)</f>
        <v>3119.8584140016574</v>
      </c>
      <c r="Q12" s="5">
        <v>30</v>
      </c>
      <c r="S12" s="5">
        <v>3149.8584140016574</v>
      </c>
      <c r="T12" s="5">
        <v>1303.4928360962265</v>
      </c>
      <c r="U12" s="76">
        <v>1234701.0011874596</v>
      </c>
      <c r="V12" s="55">
        <v>1234.7010011874595</v>
      </c>
      <c r="X12" s="62"/>
      <c r="Y12" s="62"/>
      <c r="Z12" s="62"/>
      <c r="AA12" s="62"/>
      <c r="AB12" s="62"/>
      <c r="AC12" s="62"/>
      <c r="AD12" s="57"/>
      <c r="AE12" s="62"/>
      <c r="AF12" s="50"/>
      <c r="AG12" s="50"/>
      <c r="AP12" s="56"/>
    </row>
    <row r="13" spans="1:43" s="26" customFormat="1" ht="13.5" thickBot="1">
      <c r="A13" s="63" t="s">
        <v>82</v>
      </c>
      <c r="B13" s="96">
        <f t="shared" ref="B13:H13" si="4">SUM(B5:B12)</f>
        <v>23562.273235298133</v>
      </c>
      <c r="C13" s="96">
        <f t="shared" si="4"/>
        <v>1219.5193573378751</v>
      </c>
      <c r="D13" s="96">
        <f t="shared" si="4"/>
        <v>3079.5228050829578</v>
      </c>
      <c r="E13" s="96">
        <f t="shared" si="4"/>
        <v>6057.8842927894639</v>
      </c>
      <c r="F13" s="96">
        <f t="shared" si="4"/>
        <v>272.42125377041339</v>
      </c>
      <c r="G13" s="96">
        <f t="shared" si="4"/>
        <v>34191.620944278839</v>
      </c>
      <c r="H13" s="96">
        <f t="shared" si="4"/>
        <v>10910.896546817017</v>
      </c>
      <c r="I13" s="55">
        <f t="shared" si="1"/>
        <v>12741367.583631452</v>
      </c>
      <c r="J13" s="67">
        <f t="shared" si="2"/>
        <v>12741.367583631452</v>
      </c>
      <c r="K13" s="50">
        <f>SUM(I5:I12)</f>
        <v>12741367.58363145</v>
      </c>
      <c r="L13" s="63" t="s">
        <v>61</v>
      </c>
      <c r="M13" s="96">
        <f>SUM(M5:M12)</f>
        <v>23798.425115488564</v>
      </c>
      <c r="N13" s="96">
        <v>1244</v>
      </c>
      <c r="O13" s="96">
        <v>2915.4833596342846</v>
      </c>
      <c r="P13" s="96">
        <v>6342</v>
      </c>
      <c r="Q13" s="96">
        <v>295.9132670184822</v>
      </c>
      <c r="R13" s="96">
        <v>45.162999999999997</v>
      </c>
      <c r="S13" s="96">
        <v>34640.984742141329</v>
      </c>
      <c r="T13" s="96">
        <v>10900.820065252732</v>
      </c>
      <c r="U13" s="76">
        <v>12850605.347186234</v>
      </c>
      <c r="V13" s="55">
        <v>12850.605347186234</v>
      </c>
      <c r="W13" s="96">
        <v>12850605.347186234</v>
      </c>
      <c r="X13" s="64"/>
      <c r="Y13" s="64"/>
      <c r="Z13" s="64"/>
      <c r="AA13" s="64"/>
      <c r="AB13" s="64"/>
      <c r="AC13" s="64"/>
      <c r="AD13" s="64"/>
      <c r="AE13" s="64"/>
      <c r="AF13" s="55"/>
      <c r="AG13" s="67"/>
      <c r="AH13" s="57"/>
      <c r="AI13" s="57"/>
      <c r="AJ13" s="57"/>
      <c r="AK13" s="57"/>
      <c r="AL13" s="57"/>
      <c r="AM13" s="57"/>
      <c r="AN13" s="62"/>
      <c r="AO13" s="50"/>
      <c r="AP13" s="56"/>
      <c r="AQ13" s="50"/>
    </row>
    <row r="14" spans="1:43" ht="13.5" thickBot="1">
      <c r="A14" s="59" t="s">
        <v>85</v>
      </c>
      <c r="B14" s="5">
        <f>G14-SUM(C14:F14)</f>
        <v>4876.2548583264143</v>
      </c>
      <c r="C14" s="10"/>
      <c r="D14" s="10"/>
      <c r="E14" s="11">
        <f>SUM('[7]Forbrug andre varmearter grdkor'!$D$21:$D$24)</f>
        <v>283.04096333010665</v>
      </c>
      <c r="F14" s="10"/>
      <c r="G14" s="11">
        <f>[6]Varme!$D$11+[6]Varme!$D$12</f>
        <v>5159.2958216565212</v>
      </c>
      <c r="H14" s="11">
        <f>[8]El!$E$10+[8]El!$E$11</f>
        <v>338.680799702765</v>
      </c>
      <c r="I14" s="81">
        <f t="shared" si="1"/>
        <v>1228020.6032160295</v>
      </c>
      <c r="J14" s="67">
        <f t="shared" si="2"/>
        <v>1228.0206032160295</v>
      </c>
      <c r="L14" s="59" t="s">
        <v>69</v>
      </c>
      <c r="M14" s="5">
        <f>S14-SUM(N14:R14)</f>
        <v>4981.5891958321081</v>
      </c>
      <c r="N14" s="10"/>
      <c r="O14" s="10"/>
      <c r="P14" s="11">
        <v>311.20918829104312</v>
      </c>
      <c r="Q14" s="10"/>
      <c r="R14" s="10"/>
      <c r="S14" s="11">
        <v>5292.7983841231508</v>
      </c>
      <c r="T14" s="11">
        <v>328.96867459990239</v>
      </c>
      <c r="U14" s="76">
        <v>1253219.3748929678</v>
      </c>
      <c r="V14" s="55">
        <v>1253.2193748929678</v>
      </c>
      <c r="W14" s="10"/>
      <c r="X14" s="56"/>
      <c r="Y14" s="68"/>
      <c r="Z14" s="68"/>
      <c r="AA14" s="68"/>
      <c r="AB14" s="68"/>
      <c r="AC14" s="68"/>
      <c r="AD14" s="61"/>
      <c r="AE14" s="78"/>
      <c r="AF14" s="55"/>
      <c r="AG14" s="81"/>
      <c r="AH14" s="56"/>
      <c r="AI14" s="74"/>
      <c r="AJ14" s="74"/>
      <c r="AK14" s="74"/>
      <c r="AL14" s="74"/>
      <c r="AM14" s="74"/>
      <c r="AN14" s="74"/>
      <c r="AP14" s="56"/>
    </row>
    <row r="15" spans="1:43" ht="13.5" thickBot="1">
      <c r="A15" s="26" t="s">
        <v>83</v>
      </c>
      <c r="B15" s="83">
        <f t="shared" ref="B15:H15" si="5">SUM(B13:B14)</f>
        <v>28438.528093624547</v>
      </c>
      <c r="C15" s="83">
        <f t="shared" si="5"/>
        <v>1219.5193573378751</v>
      </c>
      <c r="D15" s="83">
        <f t="shared" si="5"/>
        <v>3079.5228050829578</v>
      </c>
      <c r="E15" s="83">
        <f t="shared" si="5"/>
        <v>6340.9252561195708</v>
      </c>
      <c r="F15" s="83">
        <f t="shared" si="5"/>
        <v>272.42125377041339</v>
      </c>
      <c r="G15" s="83">
        <f t="shared" si="5"/>
        <v>39350.916765935362</v>
      </c>
      <c r="H15" s="83">
        <f t="shared" si="5"/>
        <v>11249.577346519782</v>
      </c>
      <c r="I15" s="58">
        <f t="shared" si="1"/>
        <v>13969388.186847482</v>
      </c>
      <c r="J15" s="67">
        <f t="shared" si="2"/>
        <v>13969.388186847482</v>
      </c>
      <c r="K15" s="72" t="s">
        <v>94</v>
      </c>
      <c r="L15" t="s">
        <v>64</v>
      </c>
      <c r="M15" s="5">
        <f>SUM(M13:M14)</f>
        <v>28780.014311320672</v>
      </c>
      <c r="N15" s="5">
        <v>1244</v>
      </c>
      <c r="O15" s="5">
        <v>2915.4833596342846</v>
      </c>
      <c r="P15" s="5">
        <v>6653.2091882910427</v>
      </c>
      <c r="Q15" s="5">
        <v>295.9132670184822</v>
      </c>
      <c r="R15" s="5">
        <v>45.162999999999997</v>
      </c>
      <c r="S15" s="5">
        <v>39933.783126264476</v>
      </c>
      <c r="T15" s="5">
        <v>11229.788739852635</v>
      </c>
      <c r="U15" s="76">
        <v>14103824.722079203</v>
      </c>
      <c r="V15" s="55">
        <v>14103.824722079202</v>
      </c>
      <c r="W15" s="5">
        <v>14103824.722079203</v>
      </c>
      <c r="X15" s="56"/>
      <c r="Y15" s="56"/>
      <c r="Z15" s="56"/>
      <c r="AA15" s="56"/>
      <c r="AB15" s="56"/>
      <c r="AC15" s="56"/>
      <c r="AD15" s="58"/>
      <c r="AE15" s="56"/>
      <c r="AF15" s="65"/>
      <c r="AG15" s="67"/>
      <c r="AP15" s="82"/>
    </row>
    <row r="16" spans="1:43" ht="14.25" thickTop="1" thickBot="1">
      <c r="A16" t="s">
        <v>78</v>
      </c>
      <c r="B16" s="12">
        <f>B15*gasfaktor</f>
        <v>5804045.0518351924</v>
      </c>
      <c r="C16" s="12">
        <f>C15*fjernvarmefaktor</f>
        <v>353660.61362798378</v>
      </c>
      <c r="D16" s="12">
        <f>D15*Fjernvarmefaktor_nye_kedler</f>
        <v>831471.15737239865</v>
      </c>
      <c r="E16" s="12">
        <f>E15*kraftvarmefaktor</f>
        <v>1813504.6232501972</v>
      </c>
      <c r="F16" s="12">
        <f>F15*B30</f>
        <v>122159.42537494327</v>
      </c>
      <c r="G16" s="12">
        <f>SUM(B16:F16)</f>
        <v>8924840.8714607153</v>
      </c>
      <c r="H16" s="12">
        <f>H15*B30</f>
        <v>5044547.3153867656</v>
      </c>
      <c r="I16" s="12">
        <f>G16+H16</f>
        <v>13969388.186847482</v>
      </c>
      <c r="J16" s="67">
        <f t="shared" si="2"/>
        <v>13969.388186847482</v>
      </c>
      <c r="K16" s="102">
        <f>(V15-I15/1000)/V15</f>
        <v>9.5319204457541776E-3</v>
      </c>
      <c r="L16" t="s">
        <v>78</v>
      </c>
      <c r="M16" s="5">
        <f>M15*gasfaktor</f>
        <v>5873739.2844468104</v>
      </c>
      <c r="N16" s="5">
        <v>360760</v>
      </c>
      <c r="O16" s="5">
        <v>787180.50710125687</v>
      </c>
      <c r="P16" s="5">
        <v>1902817.8278512382</v>
      </c>
      <c r="Q16" s="5">
        <v>132693.73868407728</v>
      </c>
      <c r="R16" s="5">
        <v>10959.676440849342</v>
      </c>
      <c r="S16" s="5">
        <v>9068151.0345242321</v>
      </c>
      <c r="T16" s="5">
        <v>5035673.6875549713</v>
      </c>
      <c r="U16" s="5">
        <v>14103824.722079203</v>
      </c>
      <c r="V16" s="55">
        <v>14103.824722079202</v>
      </c>
      <c r="W16">
        <v>16.883163644381092</v>
      </c>
      <c r="X16" s="56"/>
      <c r="Y16" s="56"/>
      <c r="Z16" s="56"/>
      <c r="AA16" s="56"/>
      <c r="AB16" s="56"/>
      <c r="AC16" s="56"/>
      <c r="AD16" s="66"/>
      <c r="AE16" s="56"/>
      <c r="AF16" s="67"/>
      <c r="AG16" s="67"/>
    </row>
    <row r="17" spans="1:42" ht="14.25" thickTop="1" thickBot="1">
      <c r="A17" t="s">
        <v>16</v>
      </c>
      <c r="H17" s="5">
        <f>[8]El!$E$29</f>
        <v>2867.2710000000002</v>
      </c>
      <c r="I17" s="5">
        <f>H17*elfaktor</f>
        <v>1285744.6800000002</v>
      </c>
      <c r="J17" s="67">
        <f t="shared" si="2"/>
        <v>1285.7446800000002</v>
      </c>
      <c r="L17" t="s">
        <v>16</v>
      </c>
      <c r="T17" s="5">
        <v>2867.2710000000002</v>
      </c>
      <c r="U17" s="5">
        <v>1285744.68</v>
      </c>
      <c r="V17" s="55">
        <v>1285.7446800000002</v>
      </c>
      <c r="X17" s="68"/>
      <c r="Y17" s="68"/>
      <c r="Z17" s="68"/>
      <c r="AA17" s="68"/>
      <c r="AC17" s="68"/>
      <c r="AD17" s="69"/>
      <c r="AE17" s="6"/>
      <c r="AF17" s="50"/>
      <c r="AG17" s="50"/>
      <c r="AH17"/>
      <c r="AO17" s="6"/>
    </row>
    <row r="18" spans="1:42">
      <c r="A18" t="s">
        <v>71</v>
      </c>
      <c r="B18" s="5"/>
      <c r="G18" s="48">
        <f>G16/[2]Varme!$B$26</f>
        <v>29.709559729632247</v>
      </c>
      <c r="H18" s="5">
        <f>[8]El!$E$27</f>
        <v>803.81700000000001</v>
      </c>
      <c r="I18" s="5">
        <f>H18*elfaktor</f>
        <v>360448.46526315791</v>
      </c>
      <c r="J18" s="67">
        <f t="shared" si="2"/>
        <v>360.44846526315791</v>
      </c>
      <c r="L18" t="s">
        <v>71</v>
      </c>
      <c r="M18" s="5"/>
      <c r="S18" s="48">
        <v>30.186619422989224</v>
      </c>
      <c r="T18" s="5">
        <v>804.64499999999998</v>
      </c>
      <c r="U18" s="5">
        <v>360819.75789473683</v>
      </c>
      <c r="V18" s="55">
        <v>360.81975789473682</v>
      </c>
      <c r="X18" s="56"/>
      <c r="Y18" s="56"/>
      <c r="Z18" s="56"/>
      <c r="AA18" s="56"/>
      <c r="AB18" s="56"/>
      <c r="AC18" s="56"/>
      <c r="AD18" s="66"/>
      <c r="AE18" s="6"/>
      <c r="AF18" s="50"/>
      <c r="AG18" s="50"/>
      <c r="AH18"/>
      <c r="AO18" s="6"/>
    </row>
    <row r="19" spans="1:42">
      <c r="A19" t="s">
        <v>84</v>
      </c>
      <c r="H19" s="5">
        <f>[9]Ark1!$E$30</f>
        <v>2708.1972400000004</v>
      </c>
      <c r="I19" s="5">
        <f>H19*elfaktor</f>
        <v>1214412.657094737</v>
      </c>
      <c r="J19" s="67">
        <f t="shared" si="2"/>
        <v>1214.4126570947371</v>
      </c>
      <c r="L19" t="s">
        <v>72</v>
      </c>
      <c r="T19" s="5">
        <v>2702.9870000000001</v>
      </c>
      <c r="U19" s="5">
        <v>1212076.2757894737</v>
      </c>
      <c r="V19" s="55">
        <v>1212.0762757894736</v>
      </c>
      <c r="X19" s="56"/>
      <c r="Y19" s="56"/>
      <c r="Z19" s="56"/>
      <c r="AA19" s="56"/>
      <c r="AB19" s="56"/>
      <c r="AC19" s="56"/>
      <c r="AD19" s="66"/>
      <c r="AE19" s="6"/>
      <c r="AF19" s="50"/>
      <c r="AG19" s="50"/>
      <c r="AH19"/>
      <c r="AO19" s="6"/>
    </row>
    <row r="20" spans="1:42">
      <c r="J20" s="67">
        <f t="shared" si="2"/>
        <v>0</v>
      </c>
      <c r="V20" s="55">
        <v>0</v>
      </c>
      <c r="X20" s="84"/>
      <c r="Y20" s="84"/>
      <c r="Z20" s="84"/>
      <c r="AA20" s="84"/>
      <c r="AB20" s="84"/>
      <c r="AC20" s="84"/>
      <c r="AD20" s="66"/>
      <c r="AE20" s="85"/>
      <c r="AF20" s="50"/>
      <c r="AG20" s="50"/>
      <c r="AH20"/>
      <c r="AO20" s="11"/>
    </row>
    <row r="21" spans="1:42" s="26" customFormat="1" ht="13.5" thickBot="1">
      <c r="A21" s="70" t="s">
        <v>68</v>
      </c>
      <c r="B21" s="69" t="s">
        <v>66</v>
      </c>
      <c r="C21" s="69"/>
      <c r="D21" s="69" t="s">
        <v>67</v>
      </c>
      <c r="E21" s="70"/>
      <c r="F21" s="70"/>
      <c r="G21" s="70"/>
      <c r="H21" s="70"/>
      <c r="J21" s="67">
        <f t="shared" si="2"/>
        <v>0</v>
      </c>
      <c r="L21" s="70" t="s">
        <v>68</v>
      </c>
      <c r="M21" s="69" t="s">
        <v>66</v>
      </c>
      <c r="N21" s="69"/>
      <c r="O21" s="69" t="s">
        <v>67</v>
      </c>
      <c r="P21" s="70"/>
      <c r="Q21" s="70"/>
      <c r="R21" s="70"/>
      <c r="S21" s="70"/>
      <c r="T21" s="70"/>
      <c r="V21" s="55">
        <v>0</v>
      </c>
      <c r="W21" s="70"/>
      <c r="X21" s="69"/>
      <c r="Y21" s="69"/>
      <c r="Z21" s="69"/>
      <c r="AA21" s="69"/>
      <c r="AB21" s="69"/>
      <c r="AC21" s="69"/>
      <c r="AD21" s="69"/>
      <c r="AE21" s="69"/>
      <c r="AF21" s="50"/>
      <c r="AG21" s="50"/>
      <c r="AH21" s="69"/>
      <c r="AI21" s="69"/>
      <c r="AJ21" s="69"/>
      <c r="AK21" s="50"/>
      <c r="AL21" s="50"/>
      <c r="AM21" s="50"/>
      <c r="AN21" s="50"/>
      <c r="AO21" s="50"/>
      <c r="AP21" s="50"/>
    </row>
    <row r="22" spans="1:42" ht="13.5" thickBot="1">
      <c r="A22" s="70" t="s">
        <v>65</v>
      </c>
      <c r="B22" s="67">
        <f>'[10]Drivmidler 2010'!$C$51</f>
        <v>71713.208085457081</v>
      </c>
      <c r="C22" s="28"/>
      <c r="D22" s="5">
        <f>'[10]Drivmidler 2010'!$B$51</f>
        <v>218018</v>
      </c>
      <c r="E22" s="28"/>
      <c r="F22" s="28"/>
      <c r="G22" s="28"/>
      <c r="H22" s="28"/>
      <c r="I22" s="50">
        <f>B22*B32+D22*B33</f>
        <v>749859.39940509689</v>
      </c>
      <c r="J22" s="67">
        <f t="shared" si="2"/>
        <v>749.85939940509684</v>
      </c>
      <c r="L22" s="70" t="s">
        <v>65</v>
      </c>
      <c r="M22" s="67">
        <f>'[3]2009 (CO2-faktor for 2007)'!$D$18</f>
        <v>76759</v>
      </c>
      <c r="N22" s="28"/>
      <c r="O22" s="5">
        <v>185261</v>
      </c>
      <c r="P22" s="28"/>
      <c r="Q22" s="28"/>
      <c r="R22" s="28"/>
      <c r="S22" s="28"/>
      <c r="T22" s="28"/>
      <c r="U22" s="50">
        <v>675163.25</v>
      </c>
      <c r="V22" s="55">
        <v>675.16324999999995</v>
      </c>
      <c r="W22" s="28"/>
      <c r="X22" s="6"/>
      <c r="Y22" s="68"/>
      <c r="Z22" s="6"/>
      <c r="AA22" s="68"/>
      <c r="AB22" s="68"/>
      <c r="AC22" s="68"/>
      <c r="AD22" s="69"/>
      <c r="AE22" s="68"/>
      <c r="AF22" s="50"/>
      <c r="AG22" s="50"/>
    </row>
    <row r="23" spans="1:42" ht="13.5" thickBot="1">
      <c r="I23" s="65">
        <f>SUM(I16:I22)</f>
        <v>17579853.388610471</v>
      </c>
      <c r="J23" s="67">
        <f t="shared" si="2"/>
        <v>17579.853388610471</v>
      </c>
      <c r="U23" s="65">
        <v>17637628.685763415</v>
      </c>
      <c r="V23" s="55">
        <v>17637.628685763415</v>
      </c>
      <c r="X23" s="56"/>
      <c r="Y23" s="56"/>
      <c r="Z23" s="56"/>
      <c r="AA23" s="56"/>
      <c r="AB23" s="56"/>
      <c r="AC23" s="56"/>
      <c r="AD23" s="66"/>
      <c r="AE23" s="56"/>
      <c r="AF23" s="65"/>
      <c r="AG23" s="67"/>
      <c r="AP23" s="83"/>
    </row>
    <row r="24" spans="1:42" ht="13.5" thickTop="1">
      <c r="H24" s="101"/>
      <c r="X24" s="74"/>
      <c r="Y24" s="74"/>
      <c r="Z24" s="74"/>
      <c r="AA24" s="74"/>
      <c r="AB24" s="74"/>
      <c r="AC24" s="74"/>
      <c r="AD24" s="66"/>
      <c r="AE24" s="74"/>
      <c r="AF24" s="67"/>
      <c r="AG24" s="67"/>
      <c r="AP24" s="11"/>
    </row>
    <row r="25" spans="1:42" s="28" customFormat="1">
      <c r="A25" s="28" t="s">
        <v>81</v>
      </c>
      <c r="B25" s="11"/>
      <c r="C25" s="11"/>
      <c r="H25" s="72" t="s">
        <v>95</v>
      </c>
      <c r="I25" s="103">
        <f>(U23-I23)/U23</f>
        <v>3.2756839472178286E-3</v>
      </c>
      <c r="J25" s="103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E25" s="67"/>
      <c r="AF25" s="67"/>
      <c r="AG25" s="67"/>
      <c r="AH25" s="67"/>
      <c r="AI25" s="67"/>
      <c r="AJ25" s="67"/>
      <c r="AK25" s="67"/>
      <c r="AL25" s="67"/>
    </row>
    <row r="26" spans="1:42" s="10" customFormat="1">
      <c r="A26" s="98" t="s">
        <v>0</v>
      </c>
      <c r="B26" s="56">
        <f>2.245/0.011</f>
        <v>204.09090909090912</v>
      </c>
      <c r="C26" s="56" t="s">
        <v>62</v>
      </c>
      <c r="R26" s="91" t="s">
        <v>89</v>
      </c>
      <c r="S26" s="11"/>
      <c r="T26" s="11"/>
      <c r="U26" s="91" t="s">
        <v>91</v>
      </c>
      <c r="V26" s="11"/>
      <c r="W26" s="11"/>
      <c r="X26" s="11"/>
      <c r="Y26" s="11"/>
      <c r="Z26" s="67"/>
      <c r="AA26" s="11"/>
      <c r="AB26" s="11"/>
      <c r="AC26" s="11"/>
      <c r="AE26" s="11"/>
      <c r="AF26" s="11"/>
      <c r="AG26" s="11"/>
      <c r="AH26" s="11"/>
      <c r="AI26" s="11"/>
      <c r="AJ26" s="11"/>
      <c r="AK26" s="11"/>
      <c r="AL26" s="11"/>
    </row>
    <row r="27" spans="1:42" s="10" customFormat="1">
      <c r="A27" s="98" t="s">
        <v>1</v>
      </c>
      <c r="B27" s="56">
        <v>290</v>
      </c>
      <c r="C27" s="56" t="s">
        <v>62</v>
      </c>
      <c r="G27" s="91" t="s">
        <v>89</v>
      </c>
      <c r="I27" s="91" t="s">
        <v>91</v>
      </c>
      <c r="J27" s="91"/>
      <c r="L27" s="91" t="s">
        <v>93</v>
      </c>
      <c r="R27" s="91" t="s">
        <v>87</v>
      </c>
      <c r="S27" s="86">
        <v>18.92802631292561</v>
      </c>
      <c r="T27" s="11"/>
      <c r="U27" s="91" t="s">
        <v>87</v>
      </c>
      <c r="V27" s="97">
        <v>49.395684043546396</v>
      </c>
      <c r="W27" s="11"/>
      <c r="X27" s="11"/>
      <c r="Y27" s="11"/>
      <c r="Z27" s="67"/>
      <c r="AA27" s="11"/>
      <c r="AB27" s="11"/>
      <c r="AC27" s="11"/>
      <c r="AE27" s="11"/>
      <c r="AG27" s="11"/>
      <c r="AH27" s="11"/>
      <c r="AI27" s="11"/>
      <c r="AJ27" s="11"/>
      <c r="AK27" s="11"/>
      <c r="AL27" s="11"/>
    </row>
    <row r="28" spans="1:42" s="10" customFormat="1">
      <c r="A28" s="98" t="s">
        <v>26</v>
      </c>
      <c r="B28" s="56">
        <v>270</v>
      </c>
      <c r="C28" s="56" t="s">
        <v>62</v>
      </c>
      <c r="G28" s="91" t="s">
        <v>87</v>
      </c>
      <c r="H28" s="86">
        <f>(H13-[8]El!$E$30)*elfaktor/([8]El!$B$26-[8]El!$B$10-[8]El!$B$11)</f>
        <v>18.974442465803516</v>
      </c>
      <c r="I28" s="91" t="s">
        <v>87</v>
      </c>
      <c r="J28" s="91"/>
      <c r="K28" s="86">
        <f>H28+H32</f>
        <v>49.045482748378589</v>
      </c>
      <c r="R28" s="91" t="s">
        <v>88</v>
      </c>
      <c r="S28" s="86">
        <v>16.876709433780665</v>
      </c>
      <c r="T28" s="11"/>
      <c r="U28" s="91" t="s">
        <v>88</v>
      </c>
      <c r="V28" s="97">
        <v>47.063328856769886</v>
      </c>
      <c r="W28" s="11"/>
      <c r="X28" s="11"/>
      <c r="Y28" s="11"/>
      <c r="Z28" s="67"/>
      <c r="AA28" s="11"/>
      <c r="AB28" s="11"/>
      <c r="AC28" s="11"/>
      <c r="AE28" s="11"/>
      <c r="AG28" s="11"/>
      <c r="AH28" s="11"/>
      <c r="AI28" s="11"/>
      <c r="AJ28" s="11"/>
      <c r="AK28" s="11"/>
      <c r="AL28" s="11"/>
    </row>
    <row r="29" spans="1:42" s="10" customFormat="1">
      <c r="A29" s="98" t="s">
        <v>2</v>
      </c>
      <c r="B29" s="56">
        <v>286</v>
      </c>
      <c r="C29" s="56" t="s">
        <v>62</v>
      </c>
      <c r="G29" s="91" t="s">
        <v>88</v>
      </c>
      <c r="H29" s="86">
        <f>(H16-[8]El!$E$30*elfaktor)/[8]El!$B$26</f>
        <v>16.929179880181771</v>
      </c>
      <c r="I29" s="91" t="s">
        <v>88</v>
      </c>
      <c r="J29" s="91"/>
      <c r="K29" s="86">
        <f>H29+H33</f>
        <v>46.672006887019293</v>
      </c>
      <c r="L29" s="107">
        <f>(K29-V28)/V28</f>
        <v>-8.3147958135626459E-3</v>
      </c>
      <c r="R29" s="91"/>
      <c r="S29" s="86"/>
      <c r="T29" s="11"/>
      <c r="U29" s="91"/>
      <c r="V29" s="11"/>
      <c r="W29" s="11"/>
      <c r="X29" s="11"/>
      <c r="Y29" s="11"/>
      <c r="Z29" s="67"/>
      <c r="AA29" s="11"/>
      <c r="AB29" s="11"/>
      <c r="AC29" s="11"/>
      <c r="AE29" s="11"/>
      <c r="AG29" s="11"/>
      <c r="AH29" s="11"/>
      <c r="AI29" s="11"/>
      <c r="AJ29" s="11"/>
      <c r="AK29" s="11"/>
      <c r="AL29" s="11"/>
    </row>
    <row r="30" spans="1:42" s="10" customFormat="1">
      <c r="A30" s="98" t="s">
        <v>92</v>
      </c>
      <c r="B30" s="56">
        <f>426/0.95</f>
        <v>448.42105263157896</v>
      </c>
      <c r="C30" s="56" t="s">
        <v>62</v>
      </c>
      <c r="G30" s="91"/>
      <c r="H30" s="86"/>
      <c r="R30" s="105" t="s">
        <v>90</v>
      </c>
      <c r="S30" s="86"/>
      <c r="T30" s="11"/>
      <c r="U30" s="105"/>
      <c r="V30" s="11"/>
      <c r="W30" s="11"/>
      <c r="X30" s="11"/>
      <c r="Y30" s="11"/>
      <c r="Z30" s="67"/>
      <c r="AA30" s="11"/>
      <c r="AB30" s="11"/>
      <c r="AC30" s="11"/>
      <c r="AE30" s="11"/>
      <c r="AG30" s="11"/>
      <c r="AH30" s="11"/>
      <c r="AI30" s="11"/>
      <c r="AJ30" s="11"/>
      <c r="AK30" s="11"/>
      <c r="AL30" s="11"/>
    </row>
    <row r="31" spans="1:42" s="10" customFormat="1">
      <c r="A31" s="98" t="s">
        <v>13</v>
      </c>
      <c r="B31" s="56">
        <f>2.4/9.89*1000</f>
        <v>242.66936299292215</v>
      </c>
      <c r="C31" s="56" t="s">
        <v>62</v>
      </c>
      <c r="G31" s="105" t="s">
        <v>90</v>
      </c>
      <c r="H31" s="86"/>
      <c r="R31" s="91" t="s">
        <v>87</v>
      </c>
      <c r="S31" s="86">
        <v>30.467657730620786</v>
      </c>
      <c r="T31" s="11"/>
      <c r="U31" s="91"/>
      <c r="V31" s="11"/>
      <c r="W31" s="11"/>
      <c r="X31" s="11"/>
      <c r="Y31" s="11"/>
      <c r="Z31" s="67"/>
      <c r="AA31" s="11"/>
      <c r="AB31" s="11"/>
      <c r="AC31" s="11"/>
      <c r="AE31" s="11"/>
      <c r="AF31" s="11"/>
      <c r="AG31" s="11"/>
      <c r="AH31" s="11"/>
      <c r="AI31" s="11"/>
      <c r="AJ31" s="11"/>
      <c r="AK31" s="11"/>
      <c r="AL31" s="11"/>
    </row>
    <row r="32" spans="1:42" s="10" customFormat="1">
      <c r="A32" s="99" t="s">
        <v>3</v>
      </c>
      <c r="B32" s="100">
        <v>2.4</v>
      </c>
      <c r="C32" s="56" t="s">
        <v>27</v>
      </c>
      <c r="D32" s="71"/>
      <c r="E32" s="71"/>
      <c r="F32" s="71"/>
      <c r="G32" s="91" t="s">
        <v>87</v>
      </c>
      <c r="H32" s="104">
        <f>(I13-H13*elfaktor)/([8]Varme!$B$28-[8]Varme!$B$11-[8]Varme!$B$12)</f>
        <v>30.071040282575069</v>
      </c>
      <c r="I32" s="71"/>
      <c r="J32" s="71"/>
      <c r="L32" s="71"/>
      <c r="M32" s="71"/>
      <c r="N32" s="71"/>
      <c r="O32" s="71"/>
      <c r="P32" s="71"/>
      <c r="Q32" s="71"/>
      <c r="R32" s="91" t="s">
        <v>88</v>
      </c>
      <c r="S32" s="86">
        <v>30.186619422989224</v>
      </c>
      <c r="T32" s="11"/>
      <c r="U32" s="91"/>
      <c r="V32" s="11"/>
      <c r="W32" s="11"/>
      <c r="X32" s="11"/>
      <c r="Y32" s="11"/>
      <c r="Z32" s="67"/>
      <c r="AA32" s="11"/>
      <c r="AB32" s="11"/>
      <c r="AC32" s="11"/>
      <c r="AD32" s="71"/>
      <c r="AE32" s="11"/>
      <c r="AG32" s="11"/>
      <c r="AH32" s="11"/>
      <c r="AI32" s="11"/>
      <c r="AJ32" s="11"/>
      <c r="AK32" s="11"/>
      <c r="AL32" s="11"/>
    </row>
    <row r="33" spans="1:38" s="10" customFormat="1">
      <c r="A33" s="99" t="s">
        <v>7</v>
      </c>
      <c r="B33" s="100">
        <v>2.65</v>
      </c>
      <c r="C33" s="7" t="s">
        <v>27</v>
      </c>
      <c r="D33" s="71"/>
      <c r="E33" s="71"/>
      <c r="F33" s="71"/>
      <c r="G33" s="91" t="s">
        <v>88</v>
      </c>
      <c r="H33" s="104">
        <f>G16/[8]Varme!$B$28</f>
        <v>29.742827006837523</v>
      </c>
      <c r="I33" s="71"/>
      <c r="J33" s="71"/>
      <c r="L33" s="71"/>
      <c r="M33" s="71"/>
      <c r="N33" s="71"/>
      <c r="O33" s="71"/>
      <c r="P33" s="71"/>
      <c r="Q33" s="71"/>
      <c r="R33" s="71"/>
      <c r="S33" s="97"/>
      <c r="T33" s="11"/>
      <c r="U33" s="11"/>
      <c r="V33" s="11"/>
      <c r="W33" s="11"/>
      <c r="X33" s="11"/>
      <c r="Y33" s="11"/>
      <c r="Z33" s="67"/>
      <c r="AA33" s="11"/>
      <c r="AB33" s="11"/>
      <c r="AC33" s="11"/>
      <c r="AD33" s="71"/>
      <c r="AE33" s="11"/>
      <c r="AG33" s="11"/>
      <c r="AH33" s="11"/>
      <c r="AI33" s="11"/>
      <c r="AJ33" s="11"/>
      <c r="AK33" s="11"/>
      <c r="AL33" s="11"/>
    </row>
    <row r="34" spans="1:38">
      <c r="G34" s="72"/>
    </row>
    <row r="36" spans="1:38">
      <c r="A36" s="72" t="s">
        <v>70</v>
      </c>
      <c r="B36" s="72"/>
      <c r="C36" s="72"/>
      <c r="D36" s="72"/>
      <c r="E36" s="72"/>
      <c r="F36" s="72"/>
      <c r="G36" s="72"/>
      <c r="H36" s="72"/>
      <c r="I36" s="72"/>
      <c r="J36" s="72"/>
      <c r="L36" s="72" t="s">
        <v>70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38">
      <c r="A37" s="91" t="s">
        <v>76</v>
      </c>
    </row>
    <row r="39" spans="1:38">
      <c r="A39" s="26" t="s">
        <v>115</v>
      </c>
      <c r="B39" s="26"/>
      <c r="C39" s="26"/>
      <c r="D39" s="26"/>
      <c r="E39" s="26"/>
      <c r="F39" s="26"/>
      <c r="G39" s="26"/>
      <c r="H39" s="26"/>
    </row>
    <row r="40" spans="1:38">
      <c r="A40" t="s">
        <v>118</v>
      </c>
    </row>
  </sheetData>
  <mergeCells count="8">
    <mergeCell ref="B1:H1"/>
    <mergeCell ref="B2:G2"/>
    <mergeCell ref="AH1:AO1"/>
    <mergeCell ref="AH2:AM2"/>
    <mergeCell ref="M1:T1"/>
    <mergeCell ref="M2:S2"/>
    <mergeCell ref="X2:AC2"/>
    <mergeCell ref="X1:AE1"/>
  </mergeCells>
  <phoneticPr fontId="3" type="noConversion"/>
  <pageMargins left="0.75" right="0.75" top="1" bottom="1" header="0" footer="0"/>
  <pageSetup paperSize="9" orientation="landscape" r:id="rId1"/>
  <headerFooter alignWithMargins="0">
    <oddHeader>&amp;LBeregnet forår 2009&amp;CCO2-forbrug 2008 2007  graddagekorr.&amp;R&amp;D
&amp;T</oddHeader>
    <oddFooter>&amp;L&amp;8&amp;Z&amp;F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pane xSplit="1" topLeftCell="B1" activePane="topRight" state="frozen"/>
      <selection pane="topRight" activeCell="H10" sqref="H10"/>
    </sheetView>
  </sheetViews>
  <sheetFormatPr defaultRowHeight="12.75"/>
  <cols>
    <col min="1" max="1" width="26.7109375" customWidth="1"/>
    <col min="2" max="3" width="9.140625" style="5"/>
    <col min="4" max="4" width="14" style="5" bestFit="1" customWidth="1"/>
    <col min="5" max="7" width="9.140625" style="5"/>
    <col min="8" max="8" width="10.42578125" style="5" customWidth="1"/>
    <col min="9" max="9" width="9.140625" style="5"/>
    <col min="10" max="10" width="10.140625" style="5" bestFit="1" customWidth="1"/>
    <col min="11" max="12" width="10.140625" bestFit="1" customWidth="1"/>
  </cols>
  <sheetData>
    <row r="1" spans="1:12" s="51" customFormat="1" ht="15">
      <c r="B1" s="152" t="s">
        <v>107</v>
      </c>
      <c r="C1" s="152"/>
      <c r="D1" s="152"/>
      <c r="E1" s="152"/>
      <c r="F1" s="152"/>
      <c r="G1" s="152"/>
      <c r="H1" s="152"/>
      <c r="I1" s="152"/>
      <c r="J1" s="73">
        <v>2007</v>
      </c>
    </row>
    <row r="2" spans="1:12" s="51" customFormat="1" ht="15">
      <c r="B2" s="152" t="s">
        <v>57</v>
      </c>
      <c r="C2" s="152"/>
      <c r="D2" s="152"/>
      <c r="E2" s="152"/>
      <c r="F2" s="152"/>
      <c r="G2" s="152"/>
      <c r="H2" s="53"/>
      <c r="I2" s="54" t="s">
        <v>15</v>
      </c>
      <c r="J2" s="52"/>
    </row>
    <row r="3" spans="1:12" s="51" customFormat="1" ht="15">
      <c r="A3" s="51" t="s">
        <v>44</v>
      </c>
      <c r="B3" s="54" t="s">
        <v>52</v>
      </c>
      <c r="C3" s="54" t="s">
        <v>53</v>
      </c>
      <c r="D3" s="54" t="s">
        <v>54</v>
      </c>
      <c r="E3" s="54" t="s">
        <v>55</v>
      </c>
      <c r="F3" s="54" t="s">
        <v>56</v>
      </c>
      <c r="G3" s="54" t="s">
        <v>13</v>
      </c>
      <c r="H3" s="54" t="s">
        <v>63</v>
      </c>
      <c r="I3" s="75"/>
      <c r="J3" s="54" t="s">
        <v>78</v>
      </c>
      <c r="L3" s="51" t="s">
        <v>112</v>
      </c>
    </row>
    <row r="4" spans="1:12" s="26" customFormat="1">
      <c r="B4" s="55" t="s">
        <v>58</v>
      </c>
      <c r="C4" s="55" t="s">
        <v>58</v>
      </c>
      <c r="D4" s="55" t="s">
        <v>58</v>
      </c>
      <c r="E4" s="55" t="s">
        <v>58</v>
      </c>
      <c r="F4" s="55" t="s">
        <v>58</v>
      </c>
      <c r="G4" s="55" t="s">
        <v>59</v>
      </c>
      <c r="H4" s="55" t="s">
        <v>58</v>
      </c>
      <c r="I4" s="76" t="s">
        <v>58</v>
      </c>
      <c r="J4" s="55"/>
      <c r="L4" s="26" t="s">
        <v>113</v>
      </c>
    </row>
    <row r="5" spans="1:12">
      <c r="A5" t="s">
        <v>45</v>
      </c>
      <c r="B5" s="56">
        <v>881.3796737320705</v>
      </c>
      <c r="C5" s="56"/>
      <c r="D5" s="56">
        <v>847.31109658289915</v>
      </c>
      <c r="E5" s="56"/>
      <c r="F5" s="56">
        <v>14.6409095956996</v>
      </c>
      <c r="G5" s="56"/>
      <c r="H5" s="56">
        <v>1743.3316799106692</v>
      </c>
      <c r="I5" s="79">
        <v>876.34166553889429</v>
      </c>
      <c r="J5" s="56">
        <v>808190.91916185943</v>
      </c>
      <c r="L5" t="s">
        <v>114</v>
      </c>
    </row>
    <row r="6" spans="1:12">
      <c r="A6" t="s">
        <v>46</v>
      </c>
      <c r="B6" s="56">
        <v>6430.3206412723803</v>
      </c>
      <c r="C6" s="56">
        <v>1951.4363616729161</v>
      </c>
      <c r="D6" s="56">
        <v>2146.5351922147138</v>
      </c>
      <c r="E6" s="56">
        <v>2111.2663512292602</v>
      </c>
      <c r="F6" s="56">
        <v>27.291903494691205</v>
      </c>
      <c r="G6" s="56"/>
      <c r="H6" s="56">
        <v>12666.850449883961</v>
      </c>
      <c r="I6" s="5">
        <v>2613.471</v>
      </c>
      <c r="J6" s="56">
        <v>4245846.8895935193</v>
      </c>
    </row>
    <row r="7" spans="1:12">
      <c r="A7" t="s">
        <v>47</v>
      </c>
      <c r="B7" s="56">
        <v>3688.0819771495812</v>
      </c>
      <c r="C7" s="56"/>
      <c r="D7" s="56">
        <v>65.908778955898967</v>
      </c>
      <c r="E7" s="56"/>
      <c r="F7" s="56">
        <v>126.70873533601454</v>
      </c>
      <c r="G7" s="56">
        <v>35.294891543870534</v>
      </c>
      <c r="H7" s="56">
        <v>3915.9943829853651</v>
      </c>
      <c r="I7" s="5">
        <v>1032.7330000000002</v>
      </c>
      <c r="J7" s="56">
        <v>1298982.446108564</v>
      </c>
    </row>
    <row r="8" spans="1:12">
      <c r="A8" t="s">
        <v>48</v>
      </c>
      <c r="B8" s="56">
        <v>1278.2396531292243</v>
      </c>
      <c r="C8" s="56"/>
      <c r="D8" s="56"/>
      <c r="E8" s="56"/>
      <c r="F8" s="56"/>
      <c r="G8" s="56"/>
      <c r="H8" s="56">
        <v>1278.2396531292243</v>
      </c>
      <c r="I8" s="5">
        <v>364.11784065569577</v>
      </c>
      <c r="J8" s="56">
        <v>424155.19823195634</v>
      </c>
    </row>
    <row r="9" spans="1:12">
      <c r="A9" t="s">
        <v>49</v>
      </c>
      <c r="B9" s="56">
        <v>5992.7006489264386</v>
      </c>
      <c r="C9" s="56"/>
      <c r="D9" s="56"/>
      <c r="E9" s="56">
        <v>2075.2780209439916</v>
      </c>
      <c r="F9" s="56"/>
      <c r="G9" s="56"/>
      <c r="H9" s="56">
        <v>8067.9786698704302</v>
      </c>
      <c r="I9" s="5">
        <v>3033.8316340724632</v>
      </c>
      <c r="J9" s="56">
        <v>3177019.2121968167</v>
      </c>
    </row>
    <row r="10" spans="1:12">
      <c r="A10" t="s">
        <v>50</v>
      </c>
      <c r="B10" s="56">
        <v>1574.6613075599446</v>
      </c>
      <c r="C10" s="56"/>
      <c r="D10" s="56">
        <v>139.26081290533452</v>
      </c>
      <c r="E10" s="56"/>
      <c r="F10" s="56"/>
      <c r="G10" s="56"/>
      <c r="H10" s="56">
        <v>1713.922120465279</v>
      </c>
      <c r="I10" s="5">
        <v>787</v>
      </c>
      <c r="J10" s="56">
        <v>711881.84567568172</v>
      </c>
    </row>
    <row r="11" spans="1:12" ht="13.5" thickBot="1">
      <c r="A11" s="59" t="s">
        <v>60</v>
      </c>
      <c r="B11" s="56">
        <v>2324.8741632145329</v>
      </c>
      <c r="C11" s="56"/>
      <c r="D11" s="56">
        <v>523.96363601224562</v>
      </c>
      <c r="E11" s="56">
        <v>3040.250270562276</v>
      </c>
      <c r="F11" s="56">
        <v>134.95114221704426</v>
      </c>
      <c r="G11" s="56"/>
      <c r="H11" s="56">
        <v>6024.0392120060988</v>
      </c>
      <c r="I11" s="5">
        <v>2538.2492010389105</v>
      </c>
      <c r="J11" s="56">
        <v>2684186.7524144715</v>
      </c>
    </row>
    <row r="12" spans="1:12" ht="13.5" thickBot="1">
      <c r="A12" s="59" t="s">
        <v>69</v>
      </c>
      <c r="B12" s="56">
        <v>6352.8517606929381</v>
      </c>
      <c r="C12" s="74"/>
      <c r="D12" s="74"/>
      <c r="E12" s="74">
        <v>297.89964952451163</v>
      </c>
      <c r="F12" s="74"/>
      <c r="G12" s="74"/>
      <c r="H12" s="74">
        <v>6650.75141021745</v>
      </c>
      <c r="I12" s="5">
        <v>473.82339411185251</v>
      </c>
      <c r="J12" s="56">
        <v>1594230.9760727193</v>
      </c>
      <c r="K12" s="5">
        <v>14944494.23945559</v>
      </c>
    </row>
    <row r="13" spans="1:12" s="26" customFormat="1" ht="13.5" thickBot="1">
      <c r="A13" s="63" t="s">
        <v>61</v>
      </c>
      <c r="B13" s="57">
        <v>28523.109825677111</v>
      </c>
      <c r="C13" s="57">
        <v>1951.4363616729161</v>
      </c>
      <c r="D13" s="57">
        <v>3722.9795166710919</v>
      </c>
      <c r="E13" s="57">
        <v>7524.6942922600392</v>
      </c>
      <c r="F13" s="57">
        <v>303.5926906434496</v>
      </c>
      <c r="G13" s="57">
        <v>35.294891543870534</v>
      </c>
      <c r="H13" s="62">
        <v>42061.107578468473</v>
      </c>
      <c r="I13" s="50">
        <v>11719.567735417815</v>
      </c>
      <c r="J13" s="56">
        <v>14944494.239455588</v>
      </c>
      <c r="K13" s="50">
        <v>42061.10757846848</v>
      </c>
      <c r="L13" s="50">
        <v>12463.111090209724</v>
      </c>
    </row>
    <row r="14" spans="1:12">
      <c r="A14" t="s">
        <v>51</v>
      </c>
      <c r="B14" s="5">
        <v>2550.0810152953591</v>
      </c>
      <c r="F14" s="5">
        <v>29.881809123631662</v>
      </c>
      <c r="H14" s="5">
        <v>2579.9628244189907</v>
      </c>
      <c r="I14" s="5">
        <v>743.54335479190854</v>
      </c>
      <c r="J14" s="56">
        <v>867268.4788018564</v>
      </c>
    </row>
    <row r="15" spans="1:12" ht="13.5" thickBot="1">
      <c r="A15" t="s">
        <v>64</v>
      </c>
      <c r="B15" s="5">
        <v>31073.190840972464</v>
      </c>
      <c r="C15" s="5">
        <v>1951.4363616729161</v>
      </c>
      <c r="D15" s="5">
        <v>3722.9795166710919</v>
      </c>
      <c r="E15" s="5">
        <v>7524.6942922600374</v>
      </c>
      <c r="F15" s="5">
        <v>333.47449976708128</v>
      </c>
      <c r="G15" s="5">
        <v>35.294891543870534</v>
      </c>
      <c r="H15" s="5">
        <v>44641.070402887461</v>
      </c>
      <c r="I15" s="5">
        <v>12463.204945280642</v>
      </c>
      <c r="J15" s="82">
        <v>15811804.80484714</v>
      </c>
      <c r="K15" s="5">
        <v>15811762.718257446</v>
      </c>
      <c r="L15" s="5">
        <v>15811762.718257446</v>
      </c>
    </row>
    <row r="16" spans="1:12" ht="13.5" thickTop="1">
      <c r="A16" t="s">
        <v>78</v>
      </c>
      <c r="B16" s="5">
        <v>6341755.7670893809</v>
      </c>
      <c r="C16" s="5">
        <v>565916.54488514562</v>
      </c>
      <c r="D16" s="5">
        <v>1005204.4695011948</v>
      </c>
      <c r="E16" s="5">
        <v>2152062.5675863707</v>
      </c>
      <c r="F16" s="5">
        <v>149536.98621134381</v>
      </c>
      <c r="G16" s="5">
        <v>8564.9888478553366</v>
      </c>
      <c r="H16" s="5">
        <v>10223041.324121293</v>
      </c>
      <c r="I16" s="5">
        <v>5588763.4807258463</v>
      </c>
      <c r="J16" s="5">
        <v>15811804.80484714</v>
      </c>
    </row>
    <row r="17" spans="1:10">
      <c r="A17" t="s">
        <v>16</v>
      </c>
      <c r="B17" t="s">
        <v>16</v>
      </c>
      <c r="I17" s="6">
        <v>2910</v>
      </c>
      <c r="J17" s="5">
        <v>1304905.2631578948</v>
      </c>
    </row>
    <row r="18" spans="1:10">
      <c r="A18" t="s">
        <v>71</v>
      </c>
      <c r="B18" t="s">
        <v>71</v>
      </c>
      <c r="I18" s="6">
        <v>861</v>
      </c>
      <c r="J18" s="5">
        <v>386090.5263157895</v>
      </c>
    </row>
    <row r="19" spans="1:10">
      <c r="A19" t="s">
        <v>72</v>
      </c>
      <c r="B19" t="s">
        <v>72</v>
      </c>
      <c r="I19" s="6">
        <v>2907.8005600000001</v>
      </c>
      <c r="J19" s="5">
        <v>1303918.9879578948</v>
      </c>
    </row>
    <row r="20" spans="1:10">
      <c r="B20"/>
      <c r="I20" s="11"/>
    </row>
    <row r="21" spans="1:10" s="26" customFormat="1" ht="13.5" thickBot="1">
      <c r="A21" s="70" t="s">
        <v>68</v>
      </c>
      <c r="B21" s="69" t="s">
        <v>66</v>
      </c>
      <c r="C21" s="69"/>
      <c r="D21" s="69" t="s">
        <v>67</v>
      </c>
      <c r="E21" s="50"/>
      <c r="F21" s="50"/>
      <c r="G21" s="50"/>
      <c r="H21" s="50">
        <v>42061.10757846848</v>
      </c>
      <c r="I21" s="50"/>
      <c r="J21" s="50"/>
    </row>
    <row r="22" spans="1:10" ht="13.5" thickBot="1">
      <c r="A22" s="70" t="s">
        <v>65</v>
      </c>
      <c r="B22" s="5">
        <v>74632</v>
      </c>
      <c r="D22" s="5">
        <v>162597</v>
      </c>
      <c r="J22" s="5">
        <v>609998.85</v>
      </c>
    </row>
    <row r="23" spans="1:10" ht="13.5" thickBot="1">
      <c r="B23" s="5" t="s">
        <v>108</v>
      </c>
      <c r="J23" s="83">
        <v>19416718.432278719</v>
      </c>
    </row>
    <row r="24" spans="1:10" ht="13.5" thickTop="1">
      <c r="J24" s="11"/>
    </row>
    <row r="25" spans="1:10" s="26" customFormat="1">
      <c r="A25" s="26" t="s">
        <v>109</v>
      </c>
      <c r="B25" s="26" t="s">
        <v>110</v>
      </c>
      <c r="C25" s="50"/>
      <c r="D25" s="50"/>
      <c r="E25" s="50"/>
      <c r="F25" s="50"/>
      <c r="G25" s="50"/>
      <c r="H25" s="50"/>
      <c r="I25" s="50"/>
      <c r="J25" s="50"/>
    </row>
    <row r="26" spans="1:10">
      <c r="A26" s="4" t="s">
        <v>0</v>
      </c>
      <c r="B26" s="4" t="s">
        <v>0</v>
      </c>
      <c r="D26" s="56">
        <f>2.245/0.011</f>
        <v>204.09090909090912</v>
      </c>
      <c r="E26" s="56" t="s">
        <v>62</v>
      </c>
    </row>
    <row r="27" spans="1:10">
      <c r="A27" s="4" t="s">
        <v>1</v>
      </c>
      <c r="B27" s="4" t="s">
        <v>1</v>
      </c>
      <c r="D27" s="3">
        <v>290</v>
      </c>
      <c r="E27" s="56" t="s">
        <v>62</v>
      </c>
    </row>
    <row r="28" spans="1:10">
      <c r="A28" s="4" t="s">
        <v>26</v>
      </c>
      <c r="B28" s="4" t="s">
        <v>26</v>
      </c>
      <c r="D28" s="3">
        <v>270</v>
      </c>
      <c r="E28" s="56" t="s">
        <v>62</v>
      </c>
    </row>
    <row r="29" spans="1:10">
      <c r="A29" s="4" t="s">
        <v>2</v>
      </c>
      <c r="B29" s="4" t="s">
        <v>2</v>
      </c>
      <c r="D29" s="3">
        <v>286</v>
      </c>
      <c r="E29" s="56" t="s">
        <v>62</v>
      </c>
    </row>
    <row r="30" spans="1:10">
      <c r="A30" s="4" t="s">
        <v>111</v>
      </c>
      <c r="B30" s="4" t="s">
        <v>14</v>
      </c>
      <c r="D30" s="3">
        <f>426/0.95</f>
        <v>448.42105263157896</v>
      </c>
      <c r="E30" s="56" t="s">
        <v>62</v>
      </c>
    </row>
    <row r="31" spans="1:10">
      <c r="A31" s="4" t="s">
        <v>13</v>
      </c>
      <c r="B31" s="4" t="s">
        <v>13</v>
      </c>
      <c r="D31" s="56">
        <f>2.4/9.89*1000</f>
        <v>242.66936299292215</v>
      </c>
      <c r="E31" s="56" t="s">
        <v>62</v>
      </c>
    </row>
    <row r="32" spans="1:10">
      <c r="A32" s="71" t="s">
        <v>3</v>
      </c>
      <c r="B32" s="71" t="s">
        <v>3</v>
      </c>
      <c r="D32" s="3">
        <v>2.4</v>
      </c>
      <c r="E32" s="31" t="s">
        <v>27</v>
      </c>
    </row>
    <row r="33" spans="1:5">
      <c r="A33" s="71" t="s">
        <v>7</v>
      </c>
      <c r="B33" s="71" t="s">
        <v>7</v>
      </c>
      <c r="D33" s="3">
        <v>2.65</v>
      </c>
      <c r="E33" s="31" t="s">
        <v>27</v>
      </c>
    </row>
    <row r="36" spans="1:5">
      <c r="A36" s="72" t="s">
        <v>70</v>
      </c>
    </row>
  </sheetData>
  <mergeCells count="2">
    <mergeCell ref="B1:I1"/>
    <mergeCell ref="B2:G2"/>
  </mergeCells>
  <phoneticPr fontId="3" type="noConversion"/>
  <pageMargins left="0.75" right="0.75" top="1" bottom="1" header="0" footer="0"/>
  <pageSetup paperSize="9" orientation="landscape" r:id="rId1"/>
  <headerFooter alignWithMargins="0">
    <oddHeader>&amp;LBeregnet forår 2009&amp;CCO2-forbrug 2008 2007  graddagekorr.&amp;R&amp;D
&amp;T</oddHeader>
    <oddFooter>&amp;L&amp;8&amp;Z&amp;F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B5" sqref="B5:L25"/>
    </sheetView>
  </sheetViews>
  <sheetFormatPr defaultRowHeight="12.75"/>
  <cols>
    <col min="1" max="1" width="27.85546875" customWidth="1"/>
    <col min="10" max="11" width="11.28515625" customWidth="1"/>
    <col min="12" max="12" width="10.140625" bestFit="1" customWidth="1"/>
  </cols>
  <sheetData>
    <row r="1" spans="1:12" ht="15">
      <c r="A1" s="51"/>
      <c r="B1" s="152" t="s">
        <v>99</v>
      </c>
      <c r="C1" s="152"/>
      <c r="D1" s="152"/>
      <c r="E1" s="152"/>
      <c r="F1" s="152"/>
      <c r="G1" s="152"/>
      <c r="H1" s="152"/>
      <c r="I1" s="152"/>
      <c r="J1" s="73">
        <v>2008</v>
      </c>
      <c r="K1" s="73"/>
    </row>
    <row r="2" spans="1:12" ht="15">
      <c r="A2" s="51"/>
      <c r="B2" s="152" t="s">
        <v>57</v>
      </c>
      <c r="C2" s="152"/>
      <c r="D2" s="152"/>
      <c r="E2" s="152"/>
      <c r="F2" s="152"/>
      <c r="G2" s="152"/>
      <c r="H2" s="53"/>
      <c r="I2" s="54" t="s">
        <v>15</v>
      </c>
      <c r="J2" s="52"/>
      <c r="K2" s="52"/>
    </row>
    <row r="3" spans="1:12" ht="15">
      <c r="A3" s="51" t="s">
        <v>44</v>
      </c>
      <c r="B3" s="54" t="s">
        <v>52</v>
      </c>
      <c r="C3" s="54" t="s">
        <v>53</v>
      </c>
      <c r="D3" s="54" t="s">
        <v>54</v>
      </c>
      <c r="E3" s="54" t="s">
        <v>55</v>
      </c>
      <c r="F3" s="54" t="s">
        <v>56</v>
      </c>
      <c r="G3" s="54" t="s">
        <v>13</v>
      </c>
      <c r="H3" s="54" t="s">
        <v>63</v>
      </c>
      <c r="I3" s="75"/>
      <c r="J3" s="75" t="s">
        <v>78</v>
      </c>
      <c r="K3" s="54" t="s">
        <v>96</v>
      </c>
    </row>
    <row r="4" spans="1:12">
      <c r="A4" s="26"/>
      <c r="B4" s="55" t="s">
        <v>58</v>
      </c>
      <c r="C4" s="55" t="s">
        <v>58</v>
      </c>
      <c r="D4" s="55" t="s">
        <v>58</v>
      </c>
      <c r="E4" s="55" t="s">
        <v>58</v>
      </c>
      <c r="F4" s="55" t="s">
        <v>58</v>
      </c>
      <c r="G4" s="55" t="s">
        <v>59</v>
      </c>
      <c r="H4" s="55" t="s">
        <v>58</v>
      </c>
      <c r="I4" s="76" t="s">
        <v>58</v>
      </c>
      <c r="J4" s="127"/>
      <c r="K4" s="80"/>
    </row>
    <row r="5" spans="1:12">
      <c r="A5" t="s">
        <v>45</v>
      </c>
      <c r="B5" s="56">
        <v>935.98871529537394</v>
      </c>
      <c r="C5" s="56"/>
      <c r="D5" s="56">
        <v>793.53728470462613</v>
      </c>
      <c r="E5" s="56"/>
      <c r="F5" s="56">
        <v>20</v>
      </c>
      <c r="G5" s="56"/>
      <c r="H5" s="55">
        <v>1749.5260000000001</v>
      </c>
      <c r="I5" s="6">
        <v>908.49212837455786</v>
      </c>
      <c r="J5" s="76">
        <v>821637.27223956841</v>
      </c>
      <c r="K5" s="55">
        <v>821.63727223956846</v>
      </c>
    </row>
    <row r="6" spans="1:12">
      <c r="A6" t="s">
        <v>46</v>
      </c>
      <c r="B6" s="56">
        <v>6247.6807641634732</v>
      </c>
      <c r="C6" s="56">
        <v>1282.8764127491409</v>
      </c>
      <c r="D6" s="56">
        <v>1455.0884104969059</v>
      </c>
      <c r="E6" s="56">
        <v>2067.4588230873856</v>
      </c>
      <c r="F6" s="56">
        <v>21</v>
      </c>
      <c r="G6" s="56"/>
      <c r="H6" s="55">
        <v>11074.104410496906</v>
      </c>
      <c r="I6" s="6">
        <v>2217.7640000000001</v>
      </c>
      <c r="J6" s="76">
        <v>3635205.0102760014</v>
      </c>
      <c r="K6" s="55">
        <v>3635.2050102760013</v>
      </c>
    </row>
    <row r="7" spans="1:12">
      <c r="A7" t="s">
        <v>47</v>
      </c>
      <c r="B7" s="56">
        <v>3591.739</v>
      </c>
      <c r="C7" s="56"/>
      <c r="D7" s="56">
        <v>68</v>
      </c>
      <c r="E7" s="56"/>
      <c r="F7" s="56">
        <v>127</v>
      </c>
      <c r="G7" s="56">
        <v>39</v>
      </c>
      <c r="H7" s="55">
        <v>3825.739</v>
      </c>
      <c r="I7" s="6">
        <v>969.34</v>
      </c>
      <c r="J7" s="76">
        <v>1252487.3197261021</v>
      </c>
      <c r="K7" s="55">
        <v>1252.487319726102</v>
      </c>
      <c r="L7" t="s">
        <v>101</v>
      </c>
    </row>
    <row r="8" spans="1:12">
      <c r="A8" t="s">
        <v>48</v>
      </c>
      <c r="B8" s="56">
        <v>1211.3810000000001</v>
      </c>
      <c r="C8" s="56"/>
      <c r="D8" s="56"/>
      <c r="E8" s="56"/>
      <c r="F8" s="56"/>
      <c r="G8" s="56"/>
      <c r="H8" s="55">
        <v>1211.3810000000001</v>
      </c>
      <c r="I8" s="6">
        <v>391.75299999999999</v>
      </c>
      <c r="J8" s="76">
        <v>422902.14217703359</v>
      </c>
      <c r="K8" s="55">
        <v>422.90214217703357</v>
      </c>
    </row>
    <row r="9" spans="1:12">
      <c r="A9" t="s">
        <v>49</v>
      </c>
      <c r="B9" s="56">
        <v>5900.7357994201484</v>
      </c>
      <c r="C9" s="56">
        <v>0</v>
      </c>
      <c r="D9" s="56"/>
      <c r="E9" s="56">
        <v>1974.4612005798517</v>
      </c>
      <c r="F9" s="56"/>
      <c r="G9" s="56"/>
      <c r="H9" s="55">
        <v>7875.1970000000001</v>
      </c>
      <c r="I9" s="6">
        <v>3002.63</v>
      </c>
      <c r="J9" s="76">
        <v>3115424.9422379257</v>
      </c>
      <c r="K9" s="55">
        <v>3115.4249422379257</v>
      </c>
    </row>
    <row r="10" spans="1:12">
      <c r="A10" t="s">
        <v>50</v>
      </c>
      <c r="B10" s="56">
        <v>1439.5965783982965</v>
      </c>
      <c r="C10" s="56"/>
      <c r="D10" s="56">
        <v>206.47142160170344</v>
      </c>
      <c r="E10" s="56"/>
      <c r="F10" s="56"/>
      <c r="G10" s="56"/>
      <c r="H10" s="55">
        <v>1646.068</v>
      </c>
      <c r="I10" s="6">
        <v>746.47</v>
      </c>
      <c r="J10" s="76">
        <v>684288.7213998253</v>
      </c>
      <c r="K10" s="55">
        <v>684.28872139982525</v>
      </c>
    </row>
    <row r="11" spans="1:12" ht="13.5" thickBot="1">
      <c r="A11" s="59" t="s">
        <v>60</v>
      </c>
      <c r="B11" s="56">
        <v>2306.3051370263333</v>
      </c>
      <c r="C11" s="60"/>
      <c r="D11" s="60">
        <v>514.45373933640712</v>
      </c>
      <c r="E11" s="60">
        <v>3417.0362980325822</v>
      </c>
      <c r="F11" s="60">
        <v>138.11582560467761</v>
      </c>
      <c r="G11" s="60"/>
      <c r="H11" s="61">
        <v>6375.9110000000001</v>
      </c>
      <c r="I11" s="77">
        <v>2526.9670000000001</v>
      </c>
      <c r="J11" s="76">
        <v>2781950.0489228787</v>
      </c>
      <c r="K11" s="55">
        <v>2781.9500489228785</v>
      </c>
      <c r="L11" t="s">
        <v>102</v>
      </c>
    </row>
    <row r="12" spans="1:12" ht="13.5" thickBot="1">
      <c r="A12" s="59" t="s">
        <v>69</v>
      </c>
      <c r="B12" s="56">
        <v>5170.12062619689</v>
      </c>
      <c r="C12" s="68"/>
      <c r="D12" s="68"/>
      <c r="E12" s="68">
        <v>278.44037380310976</v>
      </c>
      <c r="F12" s="68"/>
      <c r="G12" s="68"/>
      <c r="H12" s="61">
        <v>5448.5609999999997</v>
      </c>
      <c r="I12" s="78">
        <v>343.20433632941911</v>
      </c>
      <c r="J12" s="76">
        <v>1288708.6153824334</v>
      </c>
      <c r="K12" s="55">
        <v>1288.7086153824334</v>
      </c>
    </row>
    <row r="13" spans="1:12" ht="13.5" thickBot="1">
      <c r="A13" s="59" t="s">
        <v>100</v>
      </c>
      <c r="B13" s="56">
        <v>28.075813271805398</v>
      </c>
      <c r="C13" s="68"/>
      <c r="D13" s="68"/>
      <c r="E13" s="68"/>
      <c r="F13" s="68"/>
      <c r="G13" s="68"/>
      <c r="H13" s="61">
        <v>28.075813271805398</v>
      </c>
      <c r="I13" s="79">
        <v>27</v>
      </c>
      <c r="J13" s="76">
        <v>17837.386675162008</v>
      </c>
      <c r="K13" s="55">
        <v>17.837386675162008</v>
      </c>
    </row>
    <row r="14" spans="1:12" ht="13.5" thickBot="1">
      <c r="A14" s="63" t="s">
        <v>61</v>
      </c>
      <c r="B14" s="64">
        <v>26831.623433772322</v>
      </c>
      <c r="C14" s="64">
        <v>1282.8764127491409</v>
      </c>
      <c r="D14" s="64">
        <v>3037.5508561396423</v>
      </c>
      <c r="E14" s="64">
        <v>7737.3966955029291</v>
      </c>
      <c r="F14" s="64">
        <v>306.11582560467764</v>
      </c>
      <c r="G14" s="64">
        <v>39</v>
      </c>
      <c r="H14" s="64">
        <v>39234.56322376871</v>
      </c>
      <c r="I14" s="64">
        <v>11133.620464703978</v>
      </c>
      <c r="J14" s="76">
        <v>14020441.459036928</v>
      </c>
      <c r="K14" s="55">
        <v>14020.441459036927</v>
      </c>
      <c r="L14" s="5">
        <v>14020441.45903693</v>
      </c>
    </row>
    <row r="15" spans="1:12">
      <c r="A15" t="s">
        <v>51</v>
      </c>
      <c r="B15" s="62">
        <v>2466.3708005409644</v>
      </c>
      <c r="C15" s="62">
        <v>0</v>
      </c>
      <c r="D15" s="62">
        <v>0</v>
      </c>
      <c r="E15" s="62"/>
      <c r="F15" s="62">
        <v>30.045975690323736</v>
      </c>
      <c r="G15" s="62">
        <v>0</v>
      </c>
      <c r="H15" s="57">
        <v>2496.4167762312882</v>
      </c>
      <c r="I15" s="62">
        <v>729.72744554833719</v>
      </c>
      <c r="J15" s="76">
        <v>844062.25615101517</v>
      </c>
      <c r="K15" s="55">
        <v>844.06225615101516</v>
      </c>
      <c r="L15" s="5">
        <v>39234.56322376871</v>
      </c>
    </row>
    <row r="16" spans="1:12" ht="13.5" thickBot="1">
      <c r="A16" t="s">
        <v>64</v>
      </c>
      <c r="B16" s="56">
        <v>29297.994234313286</v>
      </c>
      <c r="C16" s="56">
        <v>1282.8764127491409</v>
      </c>
      <c r="D16" s="56">
        <v>3037.5508561396423</v>
      </c>
      <c r="E16" s="56">
        <v>7737.3966955029291</v>
      </c>
      <c r="F16" s="56">
        <v>336.1618012950014</v>
      </c>
      <c r="G16" s="56">
        <v>39</v>
      </c>
      <c r="H16" s="58">
        <v>41730.980000000003</v>
      </c>
      <c r="I16" s="56">
        <v>11863.347910252314</v>
      </c>
      <c r="J16" s="65">
        <v>14864503.715187943</v>
      </c>
      <c r="K16" s="55">
        <v>14864.503715187942</v>
      </c>
      <c r="L16" s="5">
        <v>41730.980000000003</v>
      </c>
    </row>
    <row r="17" spans="1:11" ht="13.5" thickTop="1">
      <c r="A17" t="s">
        <v>78</v>
      </c>
      <c r="B17" s="56">
        <v>5979454.2778212121</v>
      </c>
      <c r="C17" s="56">
        <v>372034.15969725087</v>
      </c>
      <c r="D17" s="56">
        <v>820138.73115770344</v>
      </c>
      <c r="E17" s="56">
        <v>2212895.4549138378</v>
      </c>
      <c r="F17" s="56">
        <v>150742.02879123221</v>
      </c>
      <c r="G17" s="56">
        <v>9464.1051567239629</v>
      </c>
      <c r="H17" s="66">
        <v>9544728.7575379591</v>
      </c>
      <c r="I17" s="56">
        <v>5319774.9576499853</v>
      </c>
      <c r="J17" s="67">
        <v>14864503.715187944</v>
      </c>
      <c r="K17" s="55">
        <v>14864.503715187944</v>
      </c>
    </row>
    <row r="18" spans="1:11" ht="13.5" thickBot="1">
      <c r="A18" t="s">
        <v>16</v>
      </c>
      <c r="B18" s="68"/>
      <c r="C18" s="68"/>
      <c r="D18" s="68"/>
      <c r="E18" s="68"/>
      <c r="F18" s="5"/>
      <c r="G18" s="68"/>
      <c r="H18" s="69"/>
      <c r="I18" s="6">
        <v>2619</v>
      </c>
      <c r="J18" s="50">
        <v>1174414.7368421054</v>
      </c>
      <c r="K18" s="55">
        <v>1174.4147368421054</v>
      </c>
    </row>
    <row r="19" spans="1:11">
      <c r="A19" t="s">
        <v>71</v>
      </c>
      <c r="B19" s="56"/>
      <c r="C19" s="56"/>
      <c r="D19" s="56"/>
      <c r="E19" s="56"/>
      <c r="F19" s="56"/>
      <c r="G19" s="56"/>
      <c r="H19" s="66"/>
      <c r="I19" s="6">
        <v>750</v>
      </c>
      <c r="J19" s="50">
        <v>336315.78947368421</v>
      </c>
      <c r="K19" s="55">
        <v>336.31578947368422</v>
      </c>
    </row>
    <row r="20" spans="1:11">
      <c r="A20" t="s">
        <v>72</v>
      </c>
      <c r="B20" s="56"/>
      <c r="C20" s="56"/>
      <c r="D20" s="56"/>
      <c r="E20" s="56"/>
      <c r="F20" s="56"/>
      <c r="G20" s="56"/>
      <c r="H20" s="66"/>
      <c r="I20" s="6">
        <v>2696</v>
      </c>
      <c r="J20" s="50">
        <v>1208943.1578947369</v>
      </c>
      <c r="K20" s="55">
        <v>1208.9431578947369</v>
      </c>
    </row>
    <row r="21" spans="1:11">
      <c r="B21" s="84"/>
      <c r="C21" s="84"/>
      <c r="D21" s="84"/>
      <c r="E21" s="84"/>
      <c r="F21" s="84"/>
      <c r="G21" s="84"/>
      <c r="H21" s="66">
        <v>39234.56322376871</v>
      </c>
      <c r="I21" s="85"/>
      <c r="J21" s="50"/>
      <c r="K21" s="67"/>
    </row>
    <row r="22" spans="1:11" ht="13.5" thickBot="1">
      <c r="A22" s="70" t="s">
        <v>68</v>
      </c>
      <c r="B22" s="69" t="s">
        <v>66</v>
      </c>
      <c r="C22" s="69"/>
      <c r="D22" s="69" t="s">
        <v>67</v>
      </c>
      <c r="E22" s="69"/>
      <c r="F22" s="69"/>
      <c r="G22" s="69"/>
      <c r="H22" s="69"/>
      <c r="I22" s="69"/>
      <c r="J22" s="50"/>
      <c r="K22" s="67"/>
    </row>
    <row r="23" spans="1:11" ht="13.5" thickBot="1">
      <c r="A23" s="70" t="s">
        <v>65</v>
      </c>
      <c r="B23" s="6">
        <v>71785</v>
      </c>
      <c r="C23" s="68"/>
      <c r="D23" s="6">
        <v>163944</v>
      </c>
      <c r="E23" s="68"/>
      <c r="F23" s="68"/>
      <c r="G23" s="68"/>
      <c r="H23" s="69"/>
      <c r="I23" s="68"/>
      <c r="J23" s="50">
        <v>606735.6</v>
      </c>
      <c r="K23" s="67">
        <v>606.73559999999998</v>
      </c>
    </row>
    <row r="24" spans="1:11" ht="13.5" thickBot="1">
      <c r="B24" s="56"/>
      <c r="C24" s="56"/>
      <c r="D24" s="56"/>
      <c r="E24" s="56"/>
      <c r="F24" s="56"/>
      <c r="G24" s="56"/>
      <c r="H24" s="66"/>
      <c r="I24" s="56"/>
      <c r="J24" s="65">
        <v>18190912.999398474</v>
      </c>
      <c r="K24" s="67">
        <v>18190.912999398475</v>
      </c>
    </row>
    <row r="25" spans="1:11" ht="13.5" thickTop="1">
      <c r="B25" s="56"/>
      <c r="C25" s="56"/>
      <c r="D25" s="56"/>
      <c r="E25" s="56"/>
      <c r="F25" s="56"/>
      <c r="G25" s="56"/>
      <c r="H25" s="66"/>
      <c r="I25" s="56"/>
      <c r="J25" s="67"/>
      <c r="K25" s="67"/>
    </row>
    <row r="26" spans="1:11">
      <c r="A26" s="26" t="s">
        <v>103</v>
      </c>
      <c r="B26" s="55"/>
      <c r="C26" s="55"/>
      <c r="D26" s="55"/>
      <c r="E26" s="55"/>
      <c r="F26" s="55"/>
      <c r="G26" s="55"/>
      <c r="H26" s="57"/>
      <c r="I26" s="55"/>
      <c r="J26" s="50"/>
      <c r="K26" s="50"/>
    </row>
    <row r="27" spans="1:11">
      <c r="A27" s="4" t="s">
        <v>0</v>
      </c>
      <c r="B27" s="56">
        <f>2.245/0.011</f>
        <v>204.09090909090912</v>
      </c>
      <c r="C27" s="56" t="s">
        <v>62</v>
      </c>
      <c r="D27" s="56"/>
      <c r="E27" s="56"/>
      <c r="F27" s="56"/>
      <c r="G27" s="56"/>
      <c r="H27" s="55"/>
      <c r="I27" s="56"/>
      <c r="J27" s="5"/>
      <c r="K27" s="5"/>
    </row>
    <row r="28" spans="1:11">
      <c r="A28" s="4" t="s">
        <v>1</v>
      </c>
      <c r="B28" s="56">
        <v>290</v>
      </c>
      <c r="C28" s="56" t="s">
        <v>62</v>
      </c>
      <c r="D28" s="56"/>
      <c r="E28" s="56"/>
      <c r="F28" s="56"/>
      <c r="G28" s="56"/>
      <c r="H28" s="55"/>
      <c r="I28" s="56"/>
      <c r="J28" s="5"/>
      <c r="K28" s="5"/>
    </row>
    <row r="29" spans="1:11">
      <c r="A29" s="4" t="s">
        <v>26</v>
      </c>
      <c r="B29" s="56">
        <v>270</v>
      </c>
      <c r="C29" s="56" t="s">
        <v>62</v>
      </c>
      <c r="D29" s="56"/>
      <c r="E29" s="56"/>
      <c r="F29" s="56"/>
      <c r="G29" s="56"/>
      <c r="H29" s="55"/>
      <c r="I29" s="56"/>
      <c r="J29" s="5"/>
      <c r="K29" s="5"/>
    </row>
    <row r="30" spans="1:11">
      <c r="A30" s="4" t="s">
        <v>2</v>
      </c>
      <c r="B30" s="56">
        <v>286</v>
      </c>
      <c r="C30" s="56" t="s">
        <v>62</v>
      </c>
      <c r="D30" s="56"/>
      <c r="E30" s="56"/>
      <c r="F30" s="56"/>
      <c r="G30" s="56"/>
      <c r="H30" s="55"/>
      <c r="I30" s="56"/>
      <c r="J30" s="5"/>
      <c r="K30" s="5"/>
    </row>
    <row r="31" spans="1:11">
      <c r="A31" s="4" t="s">
        <v>104</v>
      </c>
      <c r="B31" s="56">
        <f>elfaktor</f>
        <v>448.42105263157896</v>
      </c>
      <c r="C31" s="56" t="s">
        <v>62</v>
      </c>
      <c r="D31" s="56"/>
      <c r="E31" s="56"/>
      <c r="F31" s="56"/>
      <c r="G31" s="56"/>
      <c r="H31" s="55"/>
      <c r="I31" s="56"/>
      <c r="J31" s="5"/>
      <c r="K31" s="5"/>
    </row>
    <row r="32" spans="1:11">
      <c r="A32" s="4" t="s">
        <v>13</v>
      </c>
      <c r="B32" s="56">
        <f>2.4/9.89*1000</f>
        <v>242.66936299292215</v>
      </c>
      <c r="C32" s="56" t="s">
        <v>62</v>
      </c>
      <c r="D32" s="56"/>
      <c r="E32" s="56"/>
      <c r="F32" s="56"/>
      <c r="G32" s="56"/>
      <c r="H32" s="55"/>
      <c r="I32" s="56"/>
      <c r="J32" s="5"/>
      <c r="K32" s="5"/>
    </row>
    <row r="33" spans="1:11">
      <c r="A33" s="71" t="s">
        <v>3</v>
      </c>
      <c r="B33" s="126">
        <v>2.4</v>
      </c>
      <c r="C33" s="31" t="s">
        <v>27</v>
      </c>
      <c r="D33" s="5"/>
      <c r="E33" s="5"/>
      <c r="F33" s="5"/>
      <c r="G33" s="5"/>
      <c r="H33" s="50"/>
      <c r="I33" s="5"/>
      <c r="J33" s="5"/>
      <c r="K33" s="5"/>
    </row>
    <row r="34" spans="1:11">
      <c r="A34" s="71" t="s">
        <v>7</v>
      </c>
      <c r="B34" s="126">
        <v>2.65</v>
      </c>
      <c r="C34" s="31" t="s">
        <v>27</v>
      </c>
      <c r="D34" s="5"/>
      <c r="E34" s="5"/>
      <c r="F34" s="5"/>
      <c r="G34" s="5"/>
      <c r="H34" s="50"/>
      <c r="I34" s="5"/>
      <c r="J34" s="5"/>
      <c r="K34" s="5"/>
    </row>
    <row r="37" spans="1:11">
      <c r="A37" s="72" t="s">
        <v>70</v>
      </c>
    </row>
  </sheetData>
  <mergeCells count="2">
    <mergeCell ref="B1:I1"/>
    <mergeCell ref="B2:G2"/>
  </mergeCells>
  <phoneticPr fontId="3" type="noConversion"/>
  <pageMargins left="0.75" right="0.75" top="1" bottom="1" header="0" footer="0"/>
  <pageSetup paperSize="9" orientation="landscape" r:id="rId1"/>
  <headerFooter alignWithMargins="0">
    <oddHeader>&amp;CCO2 2008 
Beregnet 10.03.11&amp;R&amp;D
&amp;T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F16" sqref="B16:F16"/>
    </sheetView>
  </sheetViews>
  <sheetFormatPr defaultRowHeight="12.75"/>
  <cols>
    <col min="1" max="1" width="44.7109375" customWidth="1"/>
    <col min="2" max="4" width="12.42578125" customWidth="1"/>
    <col min="5" max="5" width="14.140625" hidden="1" customWidth="1"/>
    <col min="6" max="7" width="14.140625" customWidth="1"/>
    <col min="9" max="9" width="10.5703125" customWidth="1"/>
    <col min="11" max="11" width="18.28515625" customWidth="1"/>
  </cols>
  <sheetData>
    <row r="1" spans="1:11" s="26" customFormat="1">
      <c r="D1" s="153"/>
      <c r="E1" s="153"/>
    </row>
    <row r="2" spans="1:11" s="26" customFormat="1">
      <c r="B2" s="89">
        <v>2007</v>
      </c>
      <c r="C2" s="89">
        <v>2008</v>
      </c>
      <c r="D2" s="89">
        <v>2009</v>
      </c>
      <c r="E2" s="89" t="s">
        <v>73</v>
      </c>
      <c r="F2" s="89">
        <v>2010</v>
      </c>
      <c r="G2" s="89" t="s">
        <v>73</v>
      </c>
    </row>
    <row r="3" spans="1:11" s="87" customFormat="1" ht="15">
      <c r="A3" s="108" t="s">
        <v>44</v>
      </c>
      <c r="B3" s="109">
        <v>15811.762718257443</v>
      </c>
      <c r="C3" s="109">
        <v>14846.666328512785</v>
      </c>
      <c r="D3" s="109">
        <v>14103.824722079204</v>
      </c>
      <c r="E3" s="109" t="e">
        <v>#REF!</v>
      </c>
      <c r="F3" s="109">
        <v>13969.38818684748</v>
      </c>
      <c r="G3" s="109">
        <v>-134.43653523172361</v>
      </c>
    </row>
    <row r="4" spans="1:11" ht="15">
      <c r="A4" s="110" t="s">
        <v>45</v>
      </c>
      <c r="B4" s="111">
        <v>808.19091916185948</v>
      </c>
      <c r="C4" s="111">
        <v>821.63727223956846</v>
      </c>
      <c r="D4" s="111">
        <v>819.39635942996665</v>
      </c>
      <c r="E4" s="111" t="e">
        <v>#REF!</v>
      </c>
      <c r="F4" s="109">
        <v>881.87308203040413</v>
      </c>
      <c r="G4" s="109">
        <v>62.476722600437483</v>
      </c>
      <c r="H4" s="10"/>
      <c r="I4" s="10"/>
      <c r="J4" s="10"/>
      <c r="K4" s="10"/>
    </row>
    <row r="5" spans="1:11" ht="15">
      <c r="A5" s="110" t="s">
        <v>46</v>
      </c>
      <c r="B5" s="111">
        <v>4245.8468895935193</v>
      </c>
      <c r="C5" s="111">
        <v>3635.2050102760013</v>
      </c>
      <c r="D5" s="111">
        <v>3475.4342931682409</v>
      </c>
      <c r="E5" s="111" t="e">
        <v>#REF!</v>
      </c>
      <c r="F5" s="111">
        <v>3519.3962491562111</v>
      </c>
      <c r="G5" s="109">
        <v>43.961955987970214</v>
      </c>
      <c r="H5" s="10"/>
      <c r="I5" s="10"/>
      <c r="J5" s="10"/>
      <c r="K5" s="10"/>
    </row>
    <row r="6" spans="1:11" ht="15">
      <c r="A6" s="110" t="s">
        <v>47</v>
      </c>
      <c r="B6" s="111">
        <v>1298.9824461085641</v>
      </c>
      <c r="C6" s="111">
        <v>1252.487319726102</v>
      </c>
      <c r="D6" s="111">
        <v>1166.4477771448335</v>
      </c>
      <c r="E6" s="111" t="e">
        <v>#REF!</v>
      </c>
      <c r="F6" s="111">
        <v>1128.5702319189948</v>
      </c>
      <c r="G6" s="109">
        <v>-37.87754522583873</v>
      </c>
      <c r="H6" s="10"/>
      <c r="I6" s="10"/>
      <c r="J6" s="10"/>
      <c r="K6" s="10"/>
    </row>
    <row r="7" spans="1:11" ht="15">
      <c r="A7" s="110" t="s">
        <v>48</v>
      </c>
      <c r="B7" s="111">
        <v>424.15519823195632</v>
      </c>
      <c r="C7" s="111">
        <v>422.90214217703357</v>
      </c>
      <c r="D7" s="111">
        <v>412.18995873631593</v>
      </c>
      <c r="E7" s="111" t="e">
        <v>#REF!</v>
      </c>
      <c r="F7" s="111">
        <v>404.19548884344357</v>
      </c>
      <c r="G7" s="109">
        <v>-7.9944698928723597</v>
      </c>
      <c r="H7" s="10"/>
      <c r="I7" s="10"/>
      <c r="J7" s="10"/>
      <c r="K7" s="10"/>
    </row>
    <row r="8" spans="1:11" ht="15">
      <c r="A8" s="110" t="s">
        <v>49</v>
      </c>
      <c r="B8" s="111">
        <v>3177.0192121968166</v>
      </c>
      <c r="C8" s="111">
        <v>3115.4249422379257</v>
      </c>
      <c r="D8" s="111">
        <v>2995.1542750078693</v>
      </c>
      <c r="E8" s="111" t="e">
        <v>#REF!</v>
      </c>
      <c r="F8" s="111">
        <v>2865.2776621266771</v>
      </c>
      <c r="G8" s="109">
        <v>-129.87661288119216</v>
      </c>
      <c r="H8" s="10"/>
      <c r="I8" s="10"/>
      <c r="J8" s="10"/>
      <c r="K8" s="10"/>
    </row>
    <row r="9" spans="1:11" ht="15">
      <c r="A9" s="110" t="s">
        <v>50</v>
      </c>
      <c r="B9" s="111">
        <v>711.88184567568169</v>
      </c>
      <c r="C9" s="111">
        <v>684.28872139982525</v>
      </c>
      <c r="D9" s="111">
        <v>216.4217961514116</v>
      </c>
      <c r="E9" s="111" t="e">
        <v>#REF!</v>
      </c>
      <c r="F9" s="111">
        <v>213.61819579583045</v>
      </c>
      <c r="G9" s="109">
        <v>-2.8036003555811533</v>
      </c>
      <c r="H9" s="10"/>
      <c r="I9" s="10"/>
      <c r="J9" s="10"/>
      <c r="K9" s="10"/>
    </row>
    <row r="10" spans="1:11" ht="15.75" thickBot="1">
      <c r="A10" s="112" t="s">
        <v>51</v>
      </c>
      <c r="B10" s="113">
        <v>867.26847880185642</v>
      </c>
      <c r="C10" s="113">
        <v>844.06225615101516</v>
      </c>
      <c r="D10" s="113">
        <v>1234.7010011874595</v>
      </c>
      <c r="E10" s="111" t="e">
        <v>#REF!</v>
      </c>
      <c r="F10" s="113">
        <v>1191.4682490858459</v>
      </c>
      <c r="G10" s="109">
        <v>-43.232752101613642</v>
      </c>
      <c r="H10" s="10"/>
      <c r="I10" s="10"/>
      <c r="J10" s="10"/>
      <c r="K10" s="10"/>
    </row>
    <row r="11" spans="1:11" ht="15.75" thickBot="1">
      <c r="A11" s="114" t="s">
        <v>65</v>
      </c>
      <c r="B11" s="115">
        <v>609.99884999999995</v>
      </c>
      <c r="C11" s="115">
        <v>606.73559999999998</v>
      </c>
      <c r="D11" s="115">
        <v>675.16324999999995</v>
      </c>
      <c r="E11" s="111" t="e">
        <v>#REF!</v>
      </c>
      <c r="F11" s="115">
        <v>749.85939940509684</v>
      </c>
      <c r="G11" s="109">
        <v>74.696149405096889</v>
      </c>
      <c r="H11" s="10"/>
      <c r="I11" s="10"/>
      <c r="J11" s="10"/>
      <c r="K11" s="10"/>
    </row>
    <row r="12" spans="1:11" s="26" customFormat="1" ht="15.75" thickBot="1">
      <c r="A12" s="118" t="s">
        <v>16</v>
      </c>
      <c r="B12" s="119">
        <v>1304.9052631578948</v>
      </c>
      <c r="C12" s="119">
        <v>1174.4147368421054</v>
      </c>
      <c r="D12" s="119">
        <v>1285.7446800000002</v>
      </c>
      <c r="E12" s="120" t="e">
        <v>#REF!</v>
      </c>
      <c r="F12" s="119">
        <v>1285.7446800000002</v>
      </c>
      <c r="G12" s="121">
        <v>0</v>
      </c>
      <c r="H12" s="28"/>
      <c r="I12" s="28"/>
      <c r="J12" s="28"/>
      <c r="K12" s="28"/>
    </row>
    <row r="13" spans="1:11" s="26" customFormat="1" ht="15.75" thickBot="1">
      <c r="A13" s="118" t="s">
        <v>60</v>
      </c>
      <c r="B13" s="119">
        <v>2684.1867524144714</v>
      </c>
      <c r="C13" s="119">
        <v>2781.9500489228785</v>
      </c>
      <c r="D13" s="119">
        <v>2530.8598863601387</v>
      </c>
      <c r="E13" s="120" t="e">
        <v>#REF!</v>
      </c>
      <c r="F13" s="119">
        <v>2536.9684246740444</v>
      </c>
      <c r="G13" s="121">
        <v>6.108538313905683</v>
      </c>
      <c r="H13" s="28"/>
      <c r="I13" s="88"/>
      <c r="J13" s="28"/>
      <c r="K13" s="28"/>
    </row>
    <row r="14" spans="1:11" s="26" customFormat="1" ht="15.75" thickBot="1">
      <c r="A14" s="118" t="s">
        <v>69</v>
      </c>
      <c r="B14" s="119">
        <v>1594.2309760727194</v>
      </c>
      <c r="C14" s="119">
        <v>1288.7086153824334</v>
      </c>
      <c r="D14" s="119">
        <v>1253.2193748929678</v>
      </c>
      <c r="E14" s="120"/>
      <c r="F14" s="119">
        <v>1228.0206032160295</v>
      </c>
      <c r="G14" s="121">
        <v>-25.19877167693835</v>
      </c>
      <c r="H14" s="28"/>
      <c r="I14" s="88"/>
      <c r="J14" s="28"/>
      <c r="K14" s="28"/>
    </row>
    <row r="15" spans="1:11" ht="15">
      <c r="A15" s="122" t="s">
        <v>75</v>
      </c>
      <c r="B15" s="123">
        <v>1690.0095142736843</v>
      </c>
      <c r="C15" s="123">
        <v>1545.2589473684211</v>
      </c>
      <c r="D15" s="123">
        <v>1572.8960336842104</v>
      </c>
      <c r="E15" s="123" t="e">
        <v>#REF!</v>
      </c>
      <c r="F15" s="123">
        <v>1574.8611223578951</v>
      </c>
      <c r="G15" s="121">
        <v>1.9650886736847042</v>
      </c>
      <c r="H15" s="10"/>
      <c r="I15" s="86"/>
      <c r="J15" s="10"/>
      <c r="K15" s="10"/>
    </row>
    <row r="16" spans="1:11" ht="15">
      <c r="A16" s="124" t="s">
        <v>71</v>
      </c>
      <c r="B16" s="120">
        <v>386.09052631578948</v>
      </c>
      <c r="C16" s="120">
        <v>336.31578947368422</v>
      </c>
      <c r="D16" s="120">
        <v>360.81975789473682</v>
      </c>
      <c r="E16" s="120" t="e">
        <v>#REF!</v>
      </c>
      <c r="F16" s="120">
        <v>360.44846526315791</v>
      </c>
      <c r="G16" s="121">
        <v>-0.37129263157891046</v>
      </c>
      <c r="H16" s="10"/>
      <c r="I16" s="86"/>
      <c r="J16" s="10"/>
      <c r="K16" s="10"/>
    </row>
    <row r="17" spans="1:13" ht="15">
      <c r="A17" s="124" t="s">
        <v>77</v>
      </c>
      <c r="B17" s="120">
        <v>1303.9189879578948</v>
      </c>
      <c r="C17" s="120">
        <v>1208.9431578947369</v>
      </c>
      <c r="D17" s="120">
        <v>1212.0762757894736</v>
      </c>
      <c r="E17" s="120" t="e">
        <v>#REF!</v>
      </c>
      <c r="F17" s="120">
        <v>1214.4126570947371</v>
      </c>
      <c r="G17" s="121">
        <v>2.3363813052635578</v>
      </c>
      <c r="H17" s="10"/>
      <c r="I17" s="86"/>
      <c r="J17" s="10"/>
      <c r="K17" s="10"/>
    </row>
    <row r="18" spans="1:13" s="26" customFormat="1" ht="15.75" thickBot="1">
      <c r="A18" s="116" t="s">
        <v>74</v>
      </c>
      <c r="B18" s="117">
        <v>19416.676345689022</v>
      </c>
      <c r="C18" s="117">
        <v>18173.075612723311</v>
      </c>
      <c r="D18" s="117">
        <v>17637.628685763415</v>
      </c>
      <c r="E18" s="117" t="e">
        <v>#REF!</v>
      </c>
      <c r="F18" s="117">
        <v>17579.853388610471</v>
      </c>
      <c r="G18" s="109">
        <v>-57.775297152944404</v>
      </c>
      <c r="H18" s="28"/>
      <c r="I18" s="88"/>
      <c r="J18" s="28"/>
      <c r="K18" s="28"/>
    </row>
    <row r="19" spans="1:13" ht="16.5" thickTop="1" thickBot="1">
      <c r="A19" s="90" t="s">
        <v>97</v>
      </c>
      <c r="B19" s="28"/>
      <c r="C19" s="103">
        <v>-6.4048074491483253E-2</v>
      </c>
      <c r="D19" s="103">
        <v>-2.946374836986973E-2</v>
      </c>
      <c r="E19" s="103" t="e">
        <v>#REF!</v>
      </c>
      <c r="F19" s="103">
        <v>-3.2756839472178568E-3</v>
      </c>
      <c r="G19" s="125"/>
      <c r="H19" s="10"/>
      <c r="I19" s="86"/>
      <c r="J19" s="10"/>
      <c r="K19" s="10"/>
    </row>
    <row r="20" spans="1:13" s="26" customFormat="1" ht="13.5" thickTop="1">
      <c r="A20" s="26" t="s">
        <v>98</v>
      </c>
      <c r="C20" s="103">
        <v>-6.1036609702616249E-2</v>
      </c>
      <c r="D20" s="103">
        <v>-5.0034235968984236E-2</v>
      </c>
      <c r="E20" s="103" t="e">
        <v>#REF!</v>
      </c>
      <c r="F20" s="103">
        <v>-9.5319204457544344E-3</v>
      </c>
      <c r="G20" s="28"/>
      <c r="H20" s="28"/>
      <c r="I20" s="67"/>
      <c r="J20" s="28"/>
      <c r="K20" s="88"/>
      <c r="L20" s="28"/>
      <c r="M20" s="28"/>
    </row>
    <row r="21" spans="1:13">
      <c r="A21" s="72"/>
      <c r="B21" s="72"/>
      <c r="C21" s="72"/>
      <c r="D21" s="10"/>
      <c r="E21" s="11"/>
      <c r="F21" s="10"/>
      <c r="G21" s="10"/>
      <c r="H21" s="10"/>
      <c r="I21" s="11"/>
      <c r="J21" s="10"/>
      <c r="K21" s="86"/>
      <c r="L21" s="10"/>
      <c r="M21" s="10"/>
    </row>
    <row r="22" spans="1:13" s="91" customFormat="1" ht="11.25">
      <c r="A22" s="91" t="s">
        <v>76</v>
      </c>
      <c r="E22" s="92"/>
      <c r="I22" s="92"/>
      <c r="K22" s="93"/>
    </row>
    <row r="23" spans="1:13">
      <c r="D23" s="10"/>
      <c r="E23" s="11"/>
      <c r="F23" s="10"/>
      <c r="G23" s="10"/>
      <c r="H23" s="10"/>
      <c r="I23" s="11"/>
      <c r="J23" s="10"/>
      <c r="K23" s="86"/>
      <c r="L23" s="10"/>
      <c r="M23" s="10"/>
    </row>
    <row r="24" spans="1:13">
      <c r="D24" s="10"/>
      <c r="E24" s="11"/>
      <c r="F24" s="10"/>
      <c r="G24" s="10"/>
      <c r="H24" s="10"/>
      <c r="I24" s="11"/>
      <c r="J24" s="10"/>
      <c r="K24" s="86"/>
      <c r="L24" s="10"/>
      <c r="M24" s="10"/>
    </row>
    <row r="25" spans="1:13">
      <c r="A25" t="s">
        <v>105</v>
      </c>
      <c r="D25" s="10"/>
      <c r="E25" s="11"/>
      <c r="F25" s="10"/>
      <c r="G25" s="10"/>
      <c r="H25" s="10"/>
      <c r="I25" s="11"/>
      <c r="J25" s="10"/>
      <c r="K25" s="86"/>
      <c r="L25" s="10"/>
      <c r="M25" s="10"/>
    </row>
    <row r="26" spans="1:13">
      <c r="D26" s="10"/>
      <c r="E26" s="11"/>
      <c r="F26" s="10"/>
      <c r="G26" s="10"/>
      <c r="H26" s="10"/>
      <c r="I26" s="11"/>
      <c r="J26" s="10"/>
      <c r="K26" s="10"/>
      <c r="L26" s="10"/>
      <c r="M26" s="10"/>
    </row>
    <row r="27" spans="1:13">
      <c r="A27" s="10" t="s">
        <v>106</v>
      </c>
      <c r="B27" s="10"/>
      <c r="C27" s="10"/>
      <c r="D27" s="10"/>
      <c r="E27" s="11"/>
      <c r="F27" s="10"/>
      <c r="G27" s="10"/>
      <c r="H27" s="10"/>
      <c r="I27" s="11"/>
      <c r="J27" s="10"/>
      <c r="K27" s="10"/>
      <c r="L27" s="10"/>
      <c r="M27" s="10"/>
    </row>
    <row r="28" spans="1:13">
      <c r="D28" s="10"/>
      <c r="E28" s="11"/>
      <c r="F28" s="10"/>
      <c r="G28" s="10"/>
      <c r="H28" s="10"/>
      <c r="I28" s="11"/>
      <c r="J28" s="10"/>
      <c r="K28" s="10"/>
      <c r="L28" s="10"/>
      <c r="M28" s="10"/>
    </row>
    <row r="29" spans="1:13">
      <c r="A29" s="10" t="s">
        <v>116</v>
      </c>
      <c r="B29" s="10"/>
      <c r="C29" s="10"/>
      <c r="D29" s="10"/>
      <c r="E29" s="11"/>
      <c r="F29" s="10"/>
      <c r="G29" s="10"/>
      <c r="H29" s="10"/>
      <c r="I29" s="11"/>
      <c r="J29" s="10"/>
      <c r="K29" s="10"/>
      <c r="L29" s="10"/>
      <c r="M29" s="10"/>
    </row>
    <row r="30" spans="1:13">
      <c r="A30" s="10"/>
      <c r="B30" s="10"/>
      <c r="C30" s="10"/>
      <c r="D30" s="10"/>
      <c r="E30" s="11"/>
      <c r="F30" s="10"/>
      <c r="G30" s="10"/>
      <c r="H30" s="10"/>
      <c r="I30" s="11"/>
      <c r="J30" s="10"/>
      <c r="K30" s="10"/>
      <c r="L30" s="10"/>
      <c r="M30" s="10"/>
    </row>
    <row r="31" spans="1:13">
      <c r="A31" s="10"/>
      <c r="B31" s="10"/>
      <c r="C31" s="10"/>
      <c r="D31" s="10"/>
      <c r="E31" s="11"/>
      <c r="F31" s="10"/>
      <c r="G31" s="10"/>
      <c r="H31" s="10"/>
      <c r="I31" s="11"/>
      <c r="J31" s="10"/>
      <c r="K31" s="10"/>
      <c r="L31" s="10"/>
      <c r="M31" s="10"/>
    </row>
    <row r="32" spans="1:13">
      <c r="A32" s="10"/>
      <c r="B32" s="10"/>
      <c r="C32" s="10"/>
      <c r="D32" s="10"/>
      <c r="E32" s="11"/>
      <c r="F32" s="10"/>
      <c r="G32" s="10"/>
      <c r="H32" s="10"/>
      <c r="I32" s="11"/>
      <c r="J32" s="10"/>
      <c r="K32" s="10"/>
      <c r="L32" s="10"/>
      <c r="M32" s="10"/>
    </row>
    <row r="33" spans="1:13">
      <c r="A33" s="71"/>
      <c r="B33" s="71"/>
      <c r="C33" s="71"/>
      <c r="D33" s="10"/>
      <c r="E33" s="11"/>
      <c r="F33" s="10"/>
      <c r="G33" s="10"/>
      <c r="H33" s="10"/>
      <c r="I33" s="11"/>
      <c r="J33" s="10"/>
      <c r="K33" s="10"/>
      <c r="L33" s="10"/>
      <c r="M33" s="10"/>
    </row>
    <row r="34" spans="1:13">
      <c r="A34" s="10"/>
      <c r="B34" s="10"/>
      <c r="C34" s="10"/>
      <c r="D34" s="10"/>
      <c r="E34" s="11"/>
      <c r="F34" s="10"/>
      <c r="G34" s="10"/>
      <c r="H34" s="10"/>
      <c r="I34" s="11"/>
      <c r="J34" s="10"/>
      <c r="K34" s="10"/>
      <c r="L34" s="10"/>
      <c r="M34" s="10"/>
    </row>
    <row r="35" spans="1:13">
      <c r="A35" s="10"/>
      <c r="B35" s="10"/>
      <c r="C35" s="10"/>
      <c r="D35" s="10"/>
      <c r="E35" s="11"/>
      <c r="F35" s="10"/>
      <c r="G35" s="10"/>
      <c r="H35" s="10"/>
      <c r="I35" s="11"/>
      <c r="J35" s="10"/>
      <c r="K35" s="10"/>
      <c r="L35" s="10"/>
      <c r="M35" s="10"/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">
    <mergeCell ref="D1:E1"/>
  </mergeCells>
  <phoneticPr fontId="3" type="noConversion"/>
  <pageMargins left="0.75" right="0.75" top="1" bottom="1" header="0" footer="0"/>
  <pageSetup paperSize="9" orientation="landscape" r:id="rId1"/>
  <headerFooter alignWithMargins="0">
    <oddHeader>&amp;CRapport til Dansk Naturfredningsforening&amp;R&amp;D
&amp;T</oddHeader>
    <oddFooter>&amp;L&amp;8&amp;Z&amp;F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5" sqref="D5:F5"/>
    </sheetView>
  </sheetViews>
  <sheetFormatPr defaultRowHeight="12.75"/>
  <sheetData>
    <row r="1" spans="1:5">
      <c r="A1" s="129" t="s">
        <v>40</v>
      </c>
      <c r="B1" s="153" t="s">
        <v>39</v>
      </c>
      <c r="C1" s="153"/>
      <c r="D1" s="153"/>
      <c r="E1" s="153"/>
    </row>
    <row r="2" spans="1:5">
      <c r="A2" s="98"/>
      <c r="B2" s="130">
        <v>2007</v>
      </c>
      <c r="C2" s="130">
        <v>2008</v>
      </c>
      <c r="D2" s="130">
        <v>2009</v>
      </c>
      <c r="E2" s="130">
        <v>2010</v>
      </c>
    </row>
    <row r="3" spans="1:5" ht="15">
      <c r="A3" s="131" t="s">
        <v>117</v>
      </c>
      <c r="B3" s="132">
        <v>15811.762718257443</v>
      </c>
      <c r="C3" s="132">
        <v>14846.666328512785</v>
      </c>
      <c r="D3" s="132">
        <v>14103.824722079204</v>
      </c>
      <c r="E3" s="132">
        <v>13969.38818684748</v>
      </c>
    </row>
    <row r="4" spans="1:5">
      <c r="A4" s="129" t="s">
        <v>16</v>
      </c>
      <c r="B4" s="133">
        <v>1304.9052631578948</v>
      </c>
      <c r="C4" s="133">
        <v>1174.4147368421054</v>
      </c>
      <c r="D4" s="133">
        <v>1285.7446800000002</v>
      </c>
      <c r="E4" s="133">
        <v>1285.7446800000002</v>
      </c>
    </row>
    <row r="5" spans="1:5">
      <c r="A5" s="129" t="s">
        <v>17</v>
      </c>
      <c r="B5" s="133">
        <v>386.09052631578948</v>
      </c>
      <c r="C5" s="133">
        <v>336.31578947368422</v>
      </c>
      <c r="D5" s="120">
        <v>360.81975789473682</v>
      </c>
      <c r="E5" s="120">
        <v>360.44846526315791</v>
      </c>
    </row>
    <row r="6" spans="1:5">
      <c r="A6" s="129" t="s">
        <v>38</v>
      </c>
      <c r="B6" s="133">
        <v>1303.9189879578948</v>
      </c>
      <c r="C6" s="133">
        <v>1208.9431578947369</v>
      </c>
      <c r="D6" s="133">
        <v>1212.0762757894736</v>
      </c>
      <c r="E6" s="133">
        <v>1214.4126570947371</v>
      </c>
    </row>
    <row r="7" spans="1:5" ht="13.5" thickBot="1">
      <c r="A7" s="134" t="s">
        <v>42</v>
      </c>
      <c r="B7" s="135">
        <v>609.99884999999995</v>
      </c>
      <c r="C7" s="135">
        <v>606.73559999999998</v>
      </c>
      <c r="D7" s="135">
        <v>675.16324999999995</v>
      </c>
      <c r="E7" s="135">
        <v>749.85939940509684</v>
      </c>
    </row>
    <row r="8" spans="1:5" ht="13.5" thickBot="1">
      <c r="A8" s="136" t="s">
        <v>41</v>
      </c>
      <c r="B8" s="137">
        <v>19416.676345689022</v>
      </c>
      <c r="C8" s="137">
        <v>18173.075612723311</v>
      </c>
      <c r="D8" s="137">
        <f>SUM(D3:D7)</f>
        <v>17637.628685763415</v>
      </c>
      <c r="E8" s="137">
        <f>SUM(E3:E7)</f>
        <v>17579.853388610471</v>
      </c>
    </row>
    <row r="9" spans="1:5" ht="13.5" thickTop="1"/>
  </sheetData>
  <mergeCells count="1">
    <mergeCell ref="B1:E1"/>
  </mergeCells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33</vt:i4>
      </vt:variant>
    </vt:vector>
  </HeadingPairs>
  <TitlesOfParts>
    <vt:vector size="39" baseType="lpstr">
      <vt:lpstr>Overordnet</vt:lpstr>
      <vt:lpstr>2009 2010</vt:lpstr>
      <vt:lpstr>2007 detalj.</vt:lpstr>
      <vt:lpstr>2008</vt:lpstr>
      <vt:lpstr>Præsentationsark DNF</vt:lpstr>
      <vt:lpstr>GR</vt:lpstr>
      <vt:lpstr>'2007 detalj.'!benzin07</vt:lpstr>
      <vt:lpstr>benzin07</vt:lpstr>
      <vt:lpstr>Benzin08</vt:lpstr>
      <vt:lpstr>Benzinfaktor</vt:lpstr>
      <vt:lpstr>'2007 detalj.'!diesel07</vt:lpstr>
      <vt:lpstr>diesel07</vt:lpstr>
      <vt:lpstr>Dieselfaktor</vt:lpstr>
      <vt:lpstr>'2007 detalj.'!el_07</vt:lpstr>
      <vt:lpstr>El_07</vt:lpstr>
      <vt:lpstr>elfaktor</vt:lpstr>
      <vt:lpstr>'2007 detalj.'!fjernv07</vt:lpstr>
      <vt:lpstr>fjernv07</vt:lpstr>
      <vt:lpstr>Fjernvarme08</vt:lpstr>
      <vt:lpstr>fjernvarmefaktor</vt:lpstr>
      <vt:lpstr>Fjernvarmefaktor_nye_kedler</vt:lpstr>
      <vt:lpstr>Fjv_ny_faktor</vt:lpstr>
      <vt:lpstr>Fjv_nye_kedler08</vt:lpstr>
      <vt:lpstr>'2007 detalj.'!fjvny07</vt:lpstr>
      <vt:lpstr>fjvny07</vt:lpstr>
      <vt:lpstr>'2007 detalj.'!gas07</vt:lpstr>
      <vt:lpstr>gas07</vt:lpstr>
      <vt:lpstr>gas08</vt:lpstr>
      <vt:lpstr>gasfaktor</vt:lpstr>
      <vt:lpstr>'2007 detalj.'!kraftv07</vt:lpstr>
      <vt:lpstr>kraftv07</vt:lpstr>
      <vt:lpstr>Kraftvarme08</vt:lpstr>
      <vt:lpstr>kraftvarmefaktor</vt:lpstr>
      <vt:lpstr>'2007 detalj.'!olie07</vt:lpstr>
      <vt:lpstr>olie07</vt:lpstr>
      <vt:lpstr>Olie08</vt:lpstr>
      <vt:lpstr>Oliefaktor</vt:lpstr>
      <vt:lpstr>'2007 detalj.'!Udskriftstitler</vt:lpstr>
      <vt:lpstr>'2009 2010'!Udskriftstitler</vt:lpstr>
    </vt:vector>
  </TitlesOfParts>
  <Company>Lyngby-Taarbæk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</dc:creator>
  <cp:lastModifiedBy>Gustav Brade</cp:lastModifiedBy>
  <cp:lastPrinted>2011-03-21T10:21:52Z</cp:lastPrinted>
  <dcterms:created xsi:type="dcterms:W3CDTF">2008-02-27T14:36:33Z</dcterms:created>
  <dcterms:modified xsi:type="dcterms:W3CDTF">2011-04-04T09:01:48Z</dcterms:modified>
</cp:coreProperties>
</file>