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visibility="hidden" xWindow="-15" yWindow="6030" windowWidth="19320" windowHeight="6090" tabRatio="736"/>
    <workbookView xWindow="-15" yWindow="-15" windowWidth="19320" windowHeight="6045"/>
  </bookViews>
  <sheets>
    <sheet name="2009" sheetId="11" r:id="rId1"/>
    <sheet name="2007" sheetId="10" r:id="rId2"/>
    <sheet name="Grafer 2009" sheetId="13" r:id="rId3"/>
  </sheets>
  <definedNames>
    <definedName name="_xlnm.Print_Area" localSheetId="1">'2007'!$A$1:$BC$83</definedName>
    <definedName name="_xlnm.Print_Area" localSheetId="0">'2009'!$A$1:$BC$83</definedName>
  </definedNames>
  <calcPr calcId="125725"/>
</workbook>
</file>

<file path=xl/calcChain.xml><?xml version="1.0" encoding="utf-8"?>
<calcChain xmlns="http://schemas.openxmlformats.org/spreadsheetml/2006/main">
  <c r="AR74" i="11"/>
  <c r="R47"/>
  <c r="T47"/>
  <c r="E144" i="13"/>
  <c r="E143"/>
  <c r="G143" s="1"/>
  <c r="D147"/>
  <c r="D145"/>
  <c r="D144"/>
  <c r="E147"/>
  <c r="E145"/>
  <c r="I143"/>
  <c r="K143" s="1"/>
  <c r="H143"/>
  <c r="T74" i="10"/>
  <c r="U74"/>
  <c r="H144" i="13"/>
  <c r="J144" s="1"/>
  <c r="T74" i="11"/>
  <c r="B245" i="13"/>
  <c r="B247"/>
  <c r="B248"/>
  <c r="B249"/>
  <c r="B250"/>
  <c r="A243"/>
  <c r="A244"/>
  <c r="A245"/>
  <c r="A246"/>
  <c r="A247"/>
  <c r="A248"/>
  <c r="A249"/>
  <c r="A250"/>
  <c r="A242"/>
  <c r="C23" i="11"/>
  <c r="F51" i="13"/>
  <c r="F50"/>
  <c r="F49"/>
  <c r="F48"/>
  <c r="F47"/>
  <c r="F46"/>
  <c r="F45"/>
  <c r="F44"/>
  <c r="F43"/>
  <c r="F42"/>
  <c r="F41"/>
  <c r="F40"/>
  <c r="F39"/>
  <c r="F52" s="1"/>
  <c r="J147"/>
  <c r="I144"/>
  <c r="K144"/>
  <c r="B147"/>
  <c r="B145"/>
  <c r="F145" s="1"/>
  <c r="B144"/>
  <c r="B51"/>
  <c r="B50"/>
  <c r="B49"/>
  <c r="C48"/>
  <c r="B48"/>
  <c r="B47"/>
  <c r="C46"/>
  <c r="B46"/>
  <c r="B45"/>
  <c r="C42"/>
  <c r="B42"/>
  <c r="C41"/>
  <c r="B41"/>
  <c r="C40"/>
  <c r="B40"/>
  <c r="K147"/>
  <c r="W25" i="11"/>
  <c r="X25"/>
  <c r="Z24"/>
  <c r="Y24"/>
  <c r="R72"/>
  <c r="D49" i="13"/>
  <c r="AE77" i="11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AE75"/>
  <c r="AD75"/>
  <c r="AC75"/>
  <c r="AB75"/>
  <c r="AA75"/>
  <c r="Y75"/>
  <c r="Q75"/>
  <c r="P75"/>
  <c r="O75"/>
  <c r="N75"/>
  <c r="M75"/>
  <c r="AF74"/>
  <c r="BA72"/>
  <c r="AY72"/>
  <c r="AX72"/>
  <c r="AW72"/>
  <c r="AV72"/>
  <c r="AE72"/>
  <c r="AE73"/>
  <c r="AC72"/>
  <c r="AC73"/>
  <c r="AB72"/>
  <c r="AB73"/>
  <c r="E46" i="13" s="1"/>
  <c r="AA72" i="11"/>
  <c r="AA73"/>
  <c r="V72"/>
  <c r="V75"/>
  <c r="U72"/>
  <c r="U73"/>
  <c r="T72"/>
  <c r="S72"/>
  <c r="Q72"/>
  <c r="Q73"/>
  <c r="P72"/>
  <c r="D50" i="13"/>
  <c r="O72" i="11"/>
  <c r="O73"/>
  <c r="N72"/>
  <c r="N73"/>
  <c r="M72"/>
  <c r="M73"/>
  <c r="E48" i="13"/>
  <c r="L72" i="11"/>
  <c r="L73"/>
  <c r="J72"/>
  <c r="I72"/>
  <c r="H72"/>
  <c r="H73"/>
  <c r="G72"/>
  <c r="F72"/>
  <c r="F73"/>
  <c r="E43" i="13" s="1"/>
  <c r="E72" i="11"/>
  <c r="E73"/>
  <c r="D72"/>
  <c r="D42" i="13"/>
  <c r="C72" i="11"/>
  <c r="D40" i="13"/>
  <c r="B72" i="11"/>
  <c r="B73"/>
  <c r="AF71"/>
  <c r="C250" i="13"/>
  <c r="AF70" i="11"/>
  <c r="C249" i="13"/>
  <c r="AM69" i="11"/>
  <c r="AF69"/>
  <c r="C248" i="13"/>
  <c r="BC69" i="11"/>
  <c r="AQ69"/>
  <c r="AF68"/>
  <c r="C247" i="13"/>
  <c r="AF66" i="11"/>
  <c r="C245" i="13"/>
  <c r="AF65" i="11"/>
  <c r="C244" i="13"/>
  <c r="AF64" i="11"/>
  <c r="C243" i="13"/>
  <c r="AF63" i="11"/>
  <c r="C242" i="13"/>
  <c r="C251" s="1"/>
  <c r="AF62" i="11"/>
  <c r="AZ61"/>
  <c r="AQ61"/>
  <c r="AO61"/>
  <c r="AF61"/>
  <c r="AZ60"/>
  <c r="AQ60"/>
  <c r="AM60"/>
  <c r="AF60"/>
  <c r="AQ59"/>
  <c r="AF59"/>
  <c r="AM59"/>
  <c r="AQ58"/>
  <c r="AF58"/>
  <c r="AM58"/>
  <c r="AQ57"/>
  <c r="AF57"/>
  <c r="AM57"/>
  <c r="AQ56"/>
  <c r="AF56"/>
  <c r="AM56"/>
  <c r="AQ55"/>
  <c r="AF55"/>
  <c r="AM55"/>
  <c r="AQ54"/>
  <c r="AF54"/>
  <c r="AM54"/>
  <c r="AF53"/>
  <c r="AQ52"/>
  <c r="AO52"/>
  <c r="AQ51"/>
  <c r="AF51"/>
  <c r="AO51"/>
  <c r="AO53"/>
  <c r="AP53" s="1"/>
  <c r="AF50"/>
  <c r="AQ49"/>
  <c r="AF49"/>
  <c r="AM49"/>
  <c r="AQ48"/>
  <c r="AF48"/>
  <c r="AM48"/>
  <c r="AQ47"/>
  <c r="AF47"/>
  <c r="AM47"/>
  <c r="AF46"/>
  <c r="AQ45"/>
  <c r="AF45"/>
  <c r="AM45"/>
  <c r="AQ44"/>
  <c r="AF44"/>
  <c r="AM44"/>
  <c r="AQ43"/>
  <c r="AF43"/>
  <c r="AM43"/>
  <c r="AQ42"/>
  <c r="AF42"/>
  <c r="AM42"/>
  <c r="AQ41"/>
  <c r="AF41"/>
  <c r="AM41"/>
  <c r="AF40"/>
  <c r="AQ39"/>
  <c r="AF39"/>
  <c r="AO39"/>
  <c r="AQ38"/>
  <c r="AF38"/>
  <c r="AO38"/>
  <c r="AQ37"/>
  <c r="AF37"/>
  <c r="AO37"/>
  <c r="AF36"/>
  <c r="AQ35"/>
  <c r="AF35"/>
  <c r="AO35"/>
  <c r="AQ34"/>
  <c r="AF34"/>
  <c r="AO34"/>
  <c r="AQ33"/>
  <c r="AF33"/>
  <c r="AQ32"/>
  <c r="AF32"/>
  <c r="C144" i="13"/>
  <c r="AO32" i="11"/>
  <c r="AQ31"/>
  <c r="AF31"/>
  <c r="AQ30"/>
  <c r="AF30"/>
  <c r="AM30"/>
  <c r="AQ29"/>
  <c r="AF29"/>
  <c r="C147" i="13"/>
  <c r="AM29" i="11"/>
  <c r="AQ28"/>
  <c r="AF28"/>
  <c r="AM28"/>
  <c r="AQ27"/>
  <c r="AF27"/>
  <c r="AF26"/>
  <c r="X72"/>
  <c r="X73"/>
  <c r="W72"/>
  <c r="W73"/>
  <c r="Z72"/>
  <c r="Z73"/>
  <c r="Y72"/>
  <c r="Y73"/>
  <c r="AF23"/>
  <c r="AF22"/>
  <c r="AZ22"/>
  <c r="AF21"/>
  <c r="AS21"/>
  <c r="AF20"/>
  <c r="AR20"/>
  <c r="AF19"/>
  <c r="AF18"/>
  <c r="AR18"/>
  <c r="AQ17"/>
  <c r="AF16"/>
  <c r="AR16"/>
  <c r="AS15"/>
  <c r="AR15"/>
  <c r="AN15"/>
  <c r="AM15"/>
  <c r="AQ14"/>
  <c r="AN14"/>
  <c r="AM14" s="1"/>
  <c r="AF14"/>
  <c r="AQ13"/>
  <c r="AN13"/>
  <c r="AM13" s="1"/>
  <c r="AF13"/>
  <c r="AQ12"/>
  <c r="AN12"/>
  <c r="AM12" s="1"/>
  <c r="AF12"/>
  <c r="AQ11"/>
  <c r="AN11"/>
  <c r="AM11" s="1"/>
  <c r="AF11"/>
  <c r="AQ10"/>
  <c r="AN10"/>
  <c r="AF10"/>
  <c r="AQ9"/>
  <c r="AN9"/>
  <c r="AF9"/>
  <c r="AF8"/>
  <c r="C145" i="13"/>
  <c r="G145" s="1"/>
  <c r="AF32" i="10"/>
  <c r="AM32"/>
  <c r="AF8"/>
  <c r="AU8"/>
  <c r="AZ8"/>
  <c r="AF9"/>
  <c r="AQ9"/>
  <c r="AN9"/>
  <c r="AF10"/>
  <c r="AQ10"/>
  <c r="AN10"/>
  <c r="AM10" s="1"/>
  <c r="AF11"/>
  <c r="AQ11"/>
  <c r="AN11"/>
  <c r="AM11" s="1"/>
  <c r="AF12"/>
  <c r="AQ12"/>
  <c r="AN12"/>
  <c r="AM12" s="1"/>
  <c r="AF13"/>
  <c r="AQ13"/>
  <c r="AN13"/>
  <c r="AM13" s="1"/>
  <c r="AF14"/>
  <c r="AQ14"/>
  <c r="AN14"/>
  <c r="AM14" s="1"/>
  <c r="AN15"/>
  <c r="AD15"/>
  <c r="AF15"/>
  <c r="D143" i="13" s="1"/>
  <c r="AM15" i="10"/>
  <c r="AR15"/>
  <c r="AS15"/>
  <c r="AF16"/>
  <c r="AR16"/>
  <c r="AS16"/>
  <c r="AF28"/>
  <c r="AM28"/>
  <c r="AF29"/>
  <c r="AM29"/>
  <c r="AF30"/>
  <c r="AM30"/>
  <c r="AF33"/>
  <c r="AM33"/>
  <c r="AF34"/>
  <c r="AM34"/>
  <c r="AF37"/>
  <c r="AM37"/>
  <c r="AF38"/>
  <c r="AM38"/>
  <c r="AF39"/>
  <c r="AM39"/>
  <c r="AF41"/>
  <c r="AM41"/>
  <c r="AF42"/>
  <c r="AM42"/>
  <c r="AF43"/>
  <c r="AM43"/>
  <c r="AF44"/>
  <c r="AM44"/>
  <c r="AF45"/>
  <c r="AM45"/>
  <c r="AF47"/>
  <c r="AM47"/>
  <c r="AF48"/>
  <c r="AM48"/>
  <c r="AF49"/>
  <c r="AM49"/>
  <c r="AF54"/>
  <c r="AM54"/>
  <c r="AF55"/>
  <c r="AM55"/>
  <c r="AF56"/>
  <c r="AM56"/>
  <c r="AF57"/>
  <c r="AM57"/>
  <c r="AF58"/>
  <c r="AM58"/>
  <c r="AF59"/>
  <c r="AM59"/>
  <c r="AM60"/>
  <c r="AM69"/>
  <c r="AQ17"/>
  <c r="AF18"/>
  <c r="AF19"/>
  <c r="AR19"/>
  <c r="AS19" s="1"/>
  <c r="AZ19"/>
  <c r="AF20"/>
  <c r="AR20"/>
  <c r="AF21"/>
  <c r="AR21"/>
  <c r="AF22"/>
  <c r="AR22"/>
  <c r="AF23"/>
  <c r="AZ23"/>
  <c r="AQ23" s="1"/>
  <c r="Y24"/>
  <c r="Z24"/>
  <c r="AF24"/>
  <c r="AR24" s="1"/>
  <c r="W25"/>
  <c r="W72"/>
  <c r="X25"/>
  <c r="X72"/>
  <c r="X73"/>
  <c r="AF25"/>
  <c r="AR25"/>
  <c r="AQ25" s="1"/>
  <c r="AF26"/>
  <c r="AR26"/>
  <c r="AF27"/>
  <c r="AQ27"/>
  <c r="AQ28"/>
  <c r="AQ29"/>
  <c r="AQ30"/>
  <c r="AF31"/>
  <c r="AQ31"/>
  <c r="AO32"/>
  <c r="AQ32"/>
  <c r="AO33"/>
  <c r="AQ33"/>
  <c r="AO34"/>
  <c r="AQ34"/>
  <c r="AF35"/>
  <c r="AO35"/>
  <c r="AO36"/>
  <c r="AP36" s="1"/>
  <c r="AQ35"/>
  <c r="AF36"/>
  <c r="AF51"/>
  <c r="AO51"/>
  <c r="AO53" s="1"/>
  <c r="AO52"/>
  <c r="AO37"/>
  <c r="AO40"/>
  <c r="AP40" s="1"/>
  <c r="AO38"/>
  <c r="AO39"/>
  <c r="AO41"/>
  <c r="AO42"/>
  <c r="AO43"/>
  <c r="AO44"/>
  <c r="AO45"/>
  <c r="AO46"/>
  <c r="AP46"/>
  <c r="AO48"/>
  <c r="AO49"/>
  <c r="AO50"/>
  <c r="AP50"/>
  <c r="AQ37"/>
  <c r="AQ38"/>
  <c r="AQ39"/>
  <c r="AF40"/>
  <c r="AQ41"/>
  <c r="AQ42"/>
  <c r="AQ43"/>
  <c r="AQ44"/>
  <c r="AQ45"/>
  <c r="AF46"/>
  <c r="AO47"/>
  <c r="AQ47"/>
  <c r="AQ48"/>
  <c r="AQ49"/>
  <c r="AF50"/>
  <c r="AQ51"/>
  <c r="AQ52"/>
  <c r="AF53"/>
  <c r="AO54"/>
  <c r="AQ54"/>
  <c r="AO55"/>
  <c r="AQ55"/>
  <c r="AO56"/>
  <c r="AQ56"/>
  <c r="AO57"/>
  <c r="AQ57"/>
  <c r="AO58"/>
  <c r="AQ58"/>
  <c r="AO59"/>
  <c r="AQ59"/>
  <c r="AF60"/>
  <c r="AZ60"/>
  <c r="AQ60"/>
  <c r="AF61"/>
  <c r="AO61"/>
  <c r="AZ61"/>
  <c r="AQ61"/>
  <c r="AF62"/>
  <c r="AO62"/>
  <c r="AP62"/>
  <c r="AS62" s="1"/>
  <c r="AQ62" s="1"/>
  <c r="AF63"/>
  <c r="B242" i="13"/>
  <c r="B251" s="1"/>
  <c r="BC63" i="10"/>
  <c r="AQ63"/>
  <c r="AF64"/>
  <c r="BC64"/>
  <c r="AQ64" s="1"/>
  <c r="AF65"/>
  <c r="B244" i="13"/>
  <c r="BC65" i="10"/>
  <c r="AQ65"/>
  <c r="AF66"/>
  <c r="BC66"/>
  <c r="AQ66"/>
  <c r="AF67"/>
  <c r="B246" i="13"/>
  <c r="AF68" i="10"/>
  <c r="BB68"/>
  <c r="AQ68" s="1"/>
  <c r="AF69"/>
  <c r="BC69"/>
  <c r="AQ69" s="1"/>
  <c r="AF70"/>
  <c r="BC70"/>
  <c r="AQ70"/>
  <c r="AF71"/>
  <c r="BC71"/>
  <c r="AQ71" s="1"/>
  <c r="B72"/>
  <c r="C72"/>
  <c r="D72"/>
  <c r="E72"/>
  <c r="F72"/>
  <c r="G72"/>
  <c r="H72"/>
  <c r="B44" i="13"/>
  <c r="I72" i="10"/>
  <c r="J72"/>
  <c r="K72"/>
  <c r="L72"/>
  <c r="M72"/>
  <c r="N72"/>
  <c r="O72"/>
  <c r="P72"/>
  <c r="Q72"/>
  <c r="R72"/>
  <c r="S72"/>
  <c r="T72"/>
  <c r="U72"/>
  <c r="U73"/>
  <c r="V72"/>
  <c r="Y72"/>
  <c r="Z72"/>
  <c r="AA72"/>
  <c r="AB72"/>
  <c r="AC72"/>
  <c r="AD72"/>
  <c r="AE72"/>
  <c r="AV72"/>
  <c r="AW72"/>
  <c r="AX72"/>
  <c r="AY72"/>
  <c r="BA72"/>
  <c r="B73"/>
  <c r="C73"/>
  <c r="D73"/>
  <c r="E73"/>
  <c r="F73"/>
  <c r="C43" i="13"/>
  <c r="G73" i="10"/>
  <c r="H73"/>
  <c r="H146" i="13"/>
  <c r="J146" s="1"/>
  <c r="I73" i="10"/>
  <c r="J73"/>
  <c r="H145" i="13" s="1"/>
  <c r="K73" i="10"/>
  <c r="L73"/>
  <c r="M73"/>
  <c r="N73"/>
  <c r="C51" i="13" s="1"/>
  <c r="O73" i="10"/>
  <c r="P73"/>
  <c r="C50" i="13" s="1"/>
  <c r="Q73" i="10"/>
  <c r="R73"/>
  <c r="C49" i="13" s="1"/>
  <c r="S73" i="10"/>
  <c r="T73"/>
  <c r="C47" i="13" s="1"/>
  <c r="V73" i="10"/>
  <c r="Y73"/>
  <c r="Z73"/>
  <c r="AA73"/>
  <c r="AB73"/>
  <c r="AC73"/>
  <c r="AE73"/>
  <c r="AF74"/>
  <c r="M75"/>
  <c r="N75"/>
  <c r="O75"/>
  <c r="P75"/>
  <c r="Q75"/>
  <c r="R75"/>
  <c r="S75"/>
  <c r="T75"/>
  <c r="U75"/>
  <c r="V75"/>
  <c r="Y75"/>
  <c r="AA75"/>
  <c r="AB75"/>
  <c r="AC75"/>
  <c r="AD75"/>
  <c r="AE75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R62"/>
  <c r="AS25"/>
  <c r="W75"/>
  <c r="W73"/>
  <c r="AF75"/>
  <c r="AS22"/>
  <c r="AQ22"/>
  <c r="AS20"/>
  <c r="AQ20"/>
  <c r="AM9"/>
  <c r="AN72"/>
  <c r="BB72"/>
  <c r="AS26"/>
  <c r="AQ26"/>
  <c r="AS21"/>
  <c r="AQ21"/>
  <c r="AQ16"/>
  <c r="AU72"/>
  <c r="AZ22"/>
  <c r="BC8"/>
  <c r="AQ8"/>
  <c r="BC8" i="11"/>
  <c r="AR21"/>
  <c r="AQ21"/>
  <c r="AR22"/>
  <c r="AF24"/>
  <c r="AF25"/>
  <c r="AR26"/>
  <c r="AM34"/>
  <c r="AM37"/>
  <c r="AM38"/>
  <c r="AO42"/>
  <c r="AO57"/>
  <c r="AO59"/>
  <c r="S73"/>
  <c r="T73"/>
  <c r="V73"/>
  <c r="AR24"/>
  <c r="AS24"/>
  <c r="AQ24"/>
  <c r="AR25"/>
  <c r="AS22"/>
  <c r="AQ22" s="1"/>
  <c r="AS25"/>
  <c r="AR19"/>
  <c r="AS19"/>
  <c r="AO44"/>
  <c r="AM39"/>
  <c r="AM33"/>
  <c r="W75"/>
  <c r="AD15"/>
  <c r="AO41"/>
  <c r="AS26"/>
  <c r="AQ26"/>
  <c r="AQ25"/>
  <c r="AS20"/>
  <c r="AQ20" s="1"/>
  <c r="R73"/>
  <c r="R75"/>
  <c r="AF75"/>
  <c r="AZ8"/>
  <c r="AO58"/>
  <c r="AO45"/>
  <c r="AO43"/>
  <c r="AO46"/>
  <c r="AP46"/>
  <c r="AS46" s="1"/>
  <c r="AQ46" s="1"/>
  <c r="AM32"/>
  <c r="AO47"/>
  <c r="AO48"/>
  <c r="AO49"/>
  <c r="AO50"/>
  <c r="AP50"/>
  <c r="AD72"/>
  <c r="D51" i="13"/>
  <c r="AF15" i="11"/>
  <c r="AM10"/>
  <c r="AR46" i="10"/>
  <c r="AQ46" s="1"/>
  <c r="AR50"/>
  <c r="AS50"/>
  <c r="AZ72"/>
  <c r="AS46"/>
  <c r="F144" i="13"/>
  <c r="D48"/>
  <c r="AO33" i="11"/>
  <c r="AO36"/>
  <c r="AO72" s="1"/>
  <c r="AP36"/>
  <c r="AR36" s="1"/>
  <c r="D46" i="13"/>
  <c r="J73" i="11"/>
  <c r="C73"/>
  <c r="E40" i="13"/>
  <c r="AZ23" i="11"/>
  <c r="D43" i="13"/>
  <c r="AQ23" i="11"/>
  <c r="AF67"/>
  <c r="C246" i="13"/>
  <c r="C146"/>
  <c r="G146" s="1"/>
  <c r="K72" i="11"/>
  <c r="D45" i="13"/>
  <c r="K73" i="11"/>
  <c r="AZ19"/>
  <c r="AQ19"/>
  <c r="J143" i="13"/>
  <c r="B43"/>
  <c r="B143"/>
  <c r="AR18" i="10"/>
  <c r="AS18" i="11"/>
  <c r="AQ18"/>
  <c r="C143" i="13"/>
  <c r="AS18" i="10"/>
  <c r="AQ18"/>
  <c r="AO40" i="11"/>
  <c r="AP40"/>
  <c r="AR40" s="1"/>
  <c r="AR50"/>
  <c r="AS50"/>
  <c r="AQ50" s="1"/>
  <c r="AR46"/>
  <c r="AM9"/>
  <c r="AN72"/>
  <c r="AS16"/>
  <c r="AQ16"/>
  <c r="AU8"/>
  <c r="AO54"/>
  <c r="AO55"/>
  <c r="AO56"/>
  <c r="U75"/>
  <c r="D44" i="13"/>
  <c r="E47"/>
  <c r="I145"/>
  <c r="K145"/>
  <c r="E45"/>
  <c r="E49"/>
  <c r="BC63" i="11"/>
  <c r="AQ63"/>
  <c r="BC70"/>
  <c r="AQ70"/>
  <c r="D41" i="13"/>
  <c r="D47"/>
  <c r="E51"/>
  <c r="BC64" i="11"/>
  <c r="BC66"/>
  <c r="AQ66"/>
  <c r="BB68"/>
  <c r="BC71"/>
  <c r="AQ71"/>
  <c r="D73"/>
  <c r="G73"/>
  <c r="I73"/>
  <c r="E41" i="13"/>
  <c r="P73" i="11"/>
  <c r="E50" i="13"/>
  <c r="S75" i="11"/>
  <c r="T75"/>
  <c r="AU72"/>
  <c r="AQ8"/>
  <c r="AZ72"/>
  <c r="AO62"/>
  <c r="AP62"/>
  <c r="E42" i="13"/>
  <c r="AQ68" i="11"/>
  <c r="BB72"/>
  <c r="AQ64"/>
  <c r="AR62"/>
  <c r="AS62"/>
  <c r="AQ62"/>
  <c r="F147" i="13"/>
  <c r="B146"/>
  <c r="B243"/>
  <c r="AQ50" i="10"/>
  <c r="E150" i="13"/>
  <c r="F146"/>
  <c r="BC67" i="10"/>
  <c r="C44" i="13"/>
  <c r="BC65" i="11"/>
  <c r="AQ65"/>
  <c r="E44" i="13"/>
  <c r="I146"/>
  <c r="K146" s="1"/>
  <c r="BC67" i="11"/>
  <c r="G144" i="13"/>
  <c r="AQ67" i="10"/>
  <c r="BC72"/>
  <c r="AQ67" i="11"/>
  <c r="BC72"/>
  <c r="G147" i="13" l="1"/>
  <c r="J145"/>
  <c r="AS40" i="10"/>
  <c r="AR40"/>
  <c r="AS24"/>
  <c r="AQ24" s="1"/>
  <c r="AQ19"/>
  <c r="F143" i="13"/>
  <c r="D150"/>
  <c r="AS40" i="11"/>
  <c r="AQ40"/>
  <c r="AS36"/>
  <c r="AQ36"/>
  <c r="AP53" i="10"/>
  <c r="AO72"/>
  <c r="AP72"/>
  <c r="AR36"/>
  <c r="AM17"/>
  <c r="A17" s="1"/>
  <c r="AP72" i="11"/>
  <c r="AR53"/>
  <c r="AR72" s="1"/>
  <c r="AM17"/>
  <c r="A17" s="1"/>
  <c r="C45" i="13"/>
  <c r="AQ72" i="11" l="1"/>
  <c r="AR53" i="10"/>
  <c r="AS53"/>
  <c r="AM72" i="11"/>
  <c r="AM72" i="10"/>
  <c r="AR72"/>
  <c r="A72" i="11"/>
  <c r="AF17"/>
  <c r="A72" i="10"/>
  <c r="AF17"/>
  <c r="AQ53" i="11"/>
  <c r="AS53"/>
  <c r="AS36" i="10"/>
  <c r="AS72" s="1"/>
  <c r="AS72" i="11"/>
  <c r="AQ40" i="10"/>
  <c r="B39" i="13" l="1"/>
  <c r="B52" s="1"/>
  <c r="A73" i="10"/>
  <c r="AH74" i="11"/>
  <c r="D39" i="13"/>
  <c r="D52" s="1"/>
  <c r="A73" i="11"/>
  <c r="B148" i="13"/>
  <c r="AF72" i="10"/>
  <c r="AH74" s="1"/>
  <c r="AF72" i="11"/>
  <c r="C148" i="13"/>
  <c r="AQ36" i="10"/>
  <c r="AQ53"/>
  <c r="C149" i="13" l="1"/>
  <c r="E148"/>
  <c r="E149" s="1"/>
  <c r="C3" s="1"/>
  <c r="AF73" i="11"/>
  <c r="AH73" s="1"/>
  <c r="I148" i="13"/>
  <c r="E39"/>
  <c r="E52" s="1"/>
  <c r="H148"/>
  <c r="C39"/>
  <c r="C52" s="1"/>
  <c r="AF73" i="10"/>
  <c r="AH73" s="1"/>
  <c r="D148" i="13"/>
  <c r="D149" s="1"/>
  <c r="B3" s="1"/>
  <c r="B149"/>
  <c r="AQ72" i="10"/>
  <c r="F149" i="13" l="1"/>
  <c r="B4" s="1"/>
  <c r="B5" s="1"/>
  <c r="B6" s="1"/>
  <c r="J148"/>
  <c r="J149" s="1"/>
  <c r="H149"/>
  <c r="K148"/>
  <c r="K149" s="1"/>
  <c r="I149"/>
  <c r="G149"/>
  <c r="C4" s="1"/>
  <c r="C5" s="1"/>
  <c r="C6" s="1"/>
  <c r="F148"/>
  <c r="G148"/>
</calcChain>
</file>

<file path=xl/comments1.xml><?xml version="1.0" encoding="utf-8"?>
<comments xmlns="http://schemas.openxmlformats.org/spreadsheetml/2006/main">
  <authors>
    <author>Jørgen Lindgaard Olesen</author>
  </authors>
  <commentList>
    <comment ref="AG47" authorId="0">
      <text>
        <r>
          <rPr>
            <b/>
            <sz val="8"/>
            <color indexed="81"/>
            <rFont val="Tahoma"/>
            <family val="2"/>
          </rPr>
          <t>Jørgen Lindgaard Olesen:</t>
        </r>
        <r>
          <rPr>
            <sz val="8"/>
            <color indexed="81"/>
            <rFont val="Tahoma"/>
            <family val="2"/>
          </rPr>
          <t xml:space="preserve">
Oplyst af Overgaard Gods.</t>
        </r>
      </text>
    </comment>
  </commentList>
</comments>
</file>

<file path=xl/sharedStrings.xml><?xml version="1.0" encoding="utf-8"?>
<sst xmlns="http://schemas.openxmlformats.org/spreadsheetml/2006/main" count="333" uniqueCount="169">
  <si>
    <t>Sted:</t>
  </si>
  <si>
    <t>År:</t>
  </si>
  <si>
    <t>TJ</t>
  </si>
  <si>
    <t>tons</t>
  </si>
  <si>
    <t>Antal indbyggere</t>
  </si>
  <si>
    <t>Brændsel</t>
  </si>
  <si>
    <t>LPG og petroleum</t>
  </si>
  <si>
    <t>Kul</t>
  </si>
  <si>
    <t>Fuelolie</t>
  </si>
  <si>
    <t>Brændselsolie</t>
  </si>
  <si>
    <t>Dieselolie</t>
  </si>
  <si>
    <t>Benzin</t>
  </si>
  <si>
    <t>Naturgas</t>
  </si>
  <si>
    <t>Vindenergi</t>
  </si>
  <si>
    <t>Bølgeenergi</t>
  </si>
  <si>
    <t>Vandkraft</t>
  </si>
  <si>
    <t>Solenergi</t>
  </si>
  <si>
    <t>Geotermi</t>
  </si>
  <si>
    <t>Halm</t>
  </si>
  <si>
    <t>Organisk affald, husholdninger</t>
  </si>
  <si>
    <t>Anlæg</t>
  </si>
  <si>
    <t>Navn</t>
  </si>
  <si>
    <t>Virkningsgrad %</t>
  </si>
  <si>
    <t>El-net</t>
  </si>
  <si>
    <t>Fjv-net</t>
  </si>
  <si>
    <t>Slutforbrug</t>
  </si>
  <si>
    <t>Samlet</t>
  </si>
  <si>
    <t>Varmtvand</t>
  </si>
  <si>
    <t>Rumvarme</t>
  </si>
  <si>
    <t>Transport</t>
  </si>
  <si>
    <t>Boliger, inkl. fritidshuse</t>
  </si>
  <si>
    <t>Offentlig service</t>
  </si>
  <si>
    <t>Privat service</t>
  </si>
  <si>
    <t>Handel (detail + engros)</t>
  </si>
  <si>
    <t>Bygge- og anlægsvirksomhed</t>
  </si>
  <si>
    <t>Fremstillingsvirksomhed</t>
  </si>
  <si>
    <t>Gartneri</t>
  </si>
  <si>
    <t>Landbrug</t>
  </si>
  <si>
    <t>Elkomfur</t>
  </si>
  <si>
    <t>Elvandvarmer</t>
  </si>
  <si>
    <t>Elradiator</t>
  </si>
  <si>
    <t>Solvarmeanlæg</t>
  </si>
  <si>
    <t>Varmepumper, indv.</t>
  </si>
  <si>
    <t>Træpillekedel, indv.</t>
  </si>
  <si>
    <t>Brændekedel/ovn indv.</t>
  </si>
  <si>
    <t>Halmfyr, indv.</t>
  </si>
  <si>
    <t>Geotermiske anlæg</t>
  </si>
  <si>
    <t>Solcelleanlæg</t>
  </si>
  <si>
    <t>Vindkraftanlæg</t>
  </si>
  <si>
    <t>Vandkraftanlæg</t>
  </si>
  <si>
    <t>Bølgekraftanlæg</t>
  </si>
  <si>
    <t>Dieselbiler, små</t>
  </si>
  <si>
    <t>Busser</t>
  </si>
  <si>
    <t>Traktorer</t>
  </si>
  <si>
    <t>Skibe</t>
  </si>
  <si>
    <t>CO2-emissioner (1000 tons)</t>
  </si>
  <si>
    <t>tons/indbygger</t>
  </si>
  <si>
    <t>CO2-emission (tons/TJ)</t>
  </si>
  <si>
    <t>Elnetvirkningsgrad, %</t>
  </si>
  <si>
    <t>Affaldsforbrændingsanlæg, dampturbine</t>
  </si>
  <si>
    <t>Affaldsforbrændingsanlæg, kedel</t>
  </si>
  <si>
    <t>Affaldsforbrændingsanlæg, kombianlæg</t>
  </si>
  <si>
    <t>Affaldsforbrændingsanlæg, forbrug</t>
  </si>
  <si>
    <t>Lokale KV-værker, motor</t>
  </si>
  <si>
    <t>Lokale KV-værker, forbrug</t>
  </si>
  <si>
    <t>Lokale KV-værker, kedel</t>
  </si>
  <si>
    <t>Belysning</t>
  </si>
  <si>
    <t>Elkompressorer</t>
  </si>
  <si>
    <t>Elmotorer mv.</t>
  </si>
  <si>
    <t>Industrielle KV-værker, dampturbine</t>
  </si>
  <si>
    <t>Industrielle KV-værker, forbrændingsmotor</t>
  </si>
  <si>
    <t>Industrielle KV-værker, gasturbine</t>
  </si>
  <si>
    <t>Industrielle KV-værker, kedel</t>
  </si>
  <si>
    <t>Industrielle KV-værker, kombianlæg</t>
  </si>
  <si>
    <t>Industrielle KV-værker, overskudsvarme</t>
  </si>
  <si>
    <t>Industrielle KV-værker, forbrug, fjv</t>
  </si>
  <si>
    <t>Industrielle KV-værker, forbrug, eget forbrug, el</t>
  </si>
  <si>
    <t>Industrielle KV-værker, forbrug, eget forbrug, varme</t>
  </si>
  <si>
    <t>Fjernvarmeværker, kedel</t>
  </si>
  <si>
    <t>Fjernvarmeværker, sol</t>
  </si>
  <si>
    <t>Fjernvarmeværker, forbrug</t>
  </si>
  <si>
    <t>Decentrale KV-værker, gasturbine</t>
  </si>
  <si>
    <t>Decentrale KV-værker, kedel</t>
  </si>
  <si>
    <t>Decentrale KV-værker, kombianlæg</t>
  </si>
  <si>
    <t>Decentrale KV-værker, forbrug</t>
  </si>
  <si>
    <t>Tog</t>
  </si>
  <si>
    <t>Fly</t>
  </si>
  <si>
    <t>Naturgaskedel, villakedler</t>
  </si>
  <si>
    <t>Busser, kollektiv trafik</t>
  </si>
  <si>
    <t>Naturgaskedel, store anlæg, erhverv</t>
  </si>
  <si>
    <t>Gasoliekedel, store anlæg, erhverv</t>
  </si>
  <si>
    <t>Faktisk energiforbrug</t>
  </si>
  <si>
    <t>Deponi, slam, renseanlæg</t>
  </si>
  <si>
    <t>Afgasset fibre</t>
  </si>
  <si>
    <t>Varmekilder til varmepumper</t>
  </si>
  <si>
    <t>JP1</t>
  </si>
  <si>
    <t>Elimport</t>
  </si>
  <si>
    <t>Import, Brænde og træflis</t>
  </si>
  <si>
    <t>% VE forbrugt</t>
  </si>
  <si>
    <t>Benzinbiler, små, mm.</t>
  </si>
  <si>
    <t>Lastbiler/sættevogne/entreprenørmaskiner</t>
  </si>
  <si>
    <t>Naturgaskedel, blokvarme</t>
  </si>
  <si>
    <t>Randers Kommune</t>
  </si>
  <si>
    <t>Geografisk Energibalance, Randers Kommune</t>
  </si>
  <si>
    <t>Gasoliekedel, indv.</t>
  </si>
  <si>
    <t>Biogasgårdanlæg, motor</t>
  </si>
  <si>
    <t>Eksport rapsolie</t>
  </si>
  <si>
    <t>Bioolie og energiafgrøder</t>
  </si>
  <si>
    <t>Gaskomfur, proces, mm.</t>
  </si>
  <si>
    <t>Leca</t>
  </si>
  <si>
    <t>Novo-sprit</t>
  </si>
  <si>
    <t>Opløsningsmidler</t>
  </si>
  <si>
    <t>Alternative brændsler</t>
  </si>
  <si>
    <t>Lossepladsgas</t>
  </si>
  <si>
    <t>Brænde, træflis og træaffald</t>
  </si>
  <si>
    <t>Træpiller</t>
  </si>
  <si>
    <t>Import, træpiller</t>
  </si>
  <si>
    <t>Husdyrgødning</t>
  </si>
  <si>
    <t xml:space="preserve">Affald, ikke bionedbrydeligt </t>
  </si>
  <si>
    <t>Bruttoenergiforbrug fordelt på brændsler</t>
  </si>
  <si>
    <t>Naturgas og LPG</t>
  </si>
  <si>
    <t>Brændselsolie/diesel</t>
  </si>
  <si>
    <t>Benzin/JP1</t>
  </si>
  <si>
    <t>Biomasse</t>
  </si>
  <si>
    <t>Biogas</t>
  </si>
  <si>
    <t>Affald, ikke bionedbrydeligt</t>
  </si>
  <si>
    <t>Affald, bionedbrydeligt</t>
  </si>
  <si>
    <t>Jordvarme, geotermi, vandkraft mm.</t>
  </si>
  <si>
    <t>1.000 ton CO2</t>
  </si>
  <si>
    <t>I alt</t>
  </si>
  <si>
    <t>Kollektiv el- og varmeforsyning</t>
  </si>
  <si>
    <t>Individuel opvarmning</t>
  </si>
  <si>
    <t>Industri</t>
  </si>
  <si>
    <t>El-import</t>
  </si>
  <si>
    <t>ton CO2</t>
  </si>
  <si>
    <t>Bruttoenergiforbrug</t>
  </si>
  <si>
    <t>CO2-udledning fordelt på brændsler</t>
  </si>
  <si>
    <t>Bruttoenergiforbrug fordelt på omsætningsenheder</t>
  </si>
  <si>
    <t xml:space="preserve">Brændselsforbrug fordelt på omsætningsenheder </t>
  </si>
  <si>
    <t xml:space="preserve">Brug af vedvarende energi fordelt på omsætningsenheder </t>
  </si>
  <si>
    <t xml:space="preserve">CO2-udledning fordelt på omsætningsenheder </t>
  </si>
  <si>
    <t xml:space="preserve">Vedvarende energi fordelt på ressourcetyper </t>
  </si>
  <si>
    <t>TJ/år</t>
  </si>
  <si>
    <t>VE</t>
  </si>
  <si>
    <t>Fossil</t>
  </si>
  <si>
    <t>VE-el</t>
  </si>
  <si>
    <t>Organisk affald, kød og benmel</t>
  </si>
  <si>
    <t>Bruttoenenergiforbrug til transport</t>
  </si>
  <si>
    <t>Lokalt biomassepotentiale</t>
  </si>
  <si>
    <t>Samlet brændselsforbrug</t>
  </si>
  <si>
    <t>Fossile brændsler</t>
  </si>
  <si>
    <t>Vedvarende energi</t>
  </si>
  <si>
    <t>Andel vedvarrende energi</t>
  </si>
  <si>
    <t>Udnyttelsesprocent af lokalt biomassepotentiale</t>
  </si>
  <si>
    <t>Centrale kraftværker, dampturbine</t>
  </si>
  <si>
    <t>Centrale kraftværker, forbrændingsmotor</t>
  </si>
  <si>
    <t>Centrale kraftværker, gasturbine</t>
  </si>
  <si>
    <t>Centrale kraftværker, kedel</t>
  </si>
  <si>
    <t>Centrale kraftværker, forbrug</t>
  </si>
  <si>
    <t>Decentrale KV-værker, dampturbine</t>
  </si>
  <si>
    <t>Decentrale KV-værker, forbrændingsmotor</t>
  </si>
  <si>
    <t>El</t>
  </si>
  <si>
    <t>Proces</t>
  </si>
  <si>
    <t>Varme</t>
  </si>
  <si>
    <t>Ab værk</t>
  </si>
  <si>
    <t>An forbruger</t>
  </si>
  <si>
    <t>Enheder:</t>
  </si>
  <si>
    <t>VE%</t>
  </si>
  <si>
    <t xml:space="preserve">Transport i alt: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</si>
</sst>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#,##0.000"/>
  </numFmts>
  <fonts count="10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4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0" xfId="0" applyAlignment="1">
      <alignment textRotation="90" wrapText="1"/>
    </xf>
    <xf numFmtId="1" fontId="0" fillId="0" borderId="1" xfId="0" applyNumberFormat="1" applyBorder="1"/>
    <xf numFmtId="165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Fill="1"/>
    <xf numFmtId="1" fontId="0" fillId="0" borderId="0" xfId="0" applyNumberFormat="1"/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0" borderId="0" xfId="0" applyNumberFormat="1" applyFill="1"/>
    <xf numFmtId="1" fontId="0" fillId="0" borderId="4" xfId="0" applyNumberFormat="1" applyFill="1" applyBorder="1"/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6" xfId="0" applyNumberFormat="1" applyFill="1" applyBorder="1"/>
    <xf numFmtId="1" fontId="0" fillId="0" borderId="7" xfId="0" applyNumberFormat="1" applyFill="1" applyBorder="1"/>
    <xf numFmtId="1" fontId="0" fillId="0" borderId="8" xfId="0" applyNumberFormat="1" applyFill="1" applyBorder="1"/>
    <xf numFmtId="1" fontId="0" fillId="0" borderId="9" xfId="0" applyNumberFormat="1" applyBorder="1"/>
    <xf numFmtId="1" fontId="0" fillId="0" borderId="10" xfId="0" applyNumberForma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" xfId="0" applyNumberFormat="1" applyFill="1" applyBorder="1" applyAlignment="1">
      <alignment textRotation="90" wrapText="1"/>
    </xf>
    <xf numFmtId="1" fontId="0" fillId="0" borderId="13" xfId="0" applyNumberFormat="1" applyFill="1" applyBorder="1" applyAlignment="1">
      <alignment textRotation="90" wrapText="1"/>
    </xf>
    <xf numFmtId="1" fontId="0" fillId="0" borderId="13" xfId="0" applyNumberFormat="1" applyBorder="1" applyAlignment="1">
      <alignment textRotation="90" wrapText="1"/>
    </xf>
    <xf numFmtId="1" fontId="0" fillId="0" borderId="14" xfId="0" applyNumberFormat="1" applyBorder="1" applyAlignment="1">
      <alignment textRotation="90" wrapText="1"/>
    </xf>
    <xf numFmtId="1" fontId="0" fillId="0" borderId="11" xfId="0" applyNumberFormat="1" applyBorder="1" applyAlignment="1">
      <alignment wrapText="1"/>
    </xf>
    <xf numFmtId="1" fontId="0" fillId="0" borderId="1" xfId="0" applyNumberFormat="1" applyBorder="1" applyAlignment="1">
      <alignment textRotation="90" wrapText="1"/>
    </xf>
    <xf numFmtId="1" fontId="0" fillId="0" borderId="16" xfId="0" applyNumberFormat="1" applyBorder="1" applyAlignment="1">
      <alignment textRotation="90" wrapText="1"/>
    </xf>
    <xf numFmtId="1" fontId="0" fillId="0" borderId="13" xfId="0" applyNumberFormat="1" applyFill="1" applyBorder="1"/>
    <xf numFmtId="1" fontId="0" fillId="0" borderId="13" xfId="0" applyNumberFormat="1" applyBorder="1"/>
    <xf numFmtId="1" fontId="0" fillId="0" borderId="16" xfId="0" applyNumberFormat="1" applyBorder="1"/>
    <xf numFmtId="1" fontId="0" fillId="0" borderId="9" xfId="0" applyNumberFormat="1" applyBorder="1" applyAlignment="1">
      <alignment horizontal="left"/>
    </xf>
    <xf numFmtId="1" fontId="0" fillId="0" borderId="12" xfId="0" applyNumberFormat="1" applyBorder="1" applyAlignment="1">
      <alignment horizontal="left"/>
    </xf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0" borderId="19" xfId="0" applyNumberFormat="1" applyFill="1" applyBorder="1"/>
    <xf numFmtId="3" fontId="0" fillId="2" borderId="20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0" fillId="2" borderId="27" xfId="0" applyNumberFormat="1" applyFill="1" applyBorder="1"/>
    <xf numFmtId="3" fontId="0" fillId="0" borderId="0" xfId="0" applyNumberFormat="1" applyFill="1"/>
    <xf numFmtId="3" fontId="0" fillId="2" borderId="28" xfId="0" applyNumberFormat="1" applyFill="1" applyBorder="1"/>
    <xf numFmtId="3" fontId="0" fillId="0" borderId="29" xfId="0" applyNumberFormat="1" applyFill="1" applyBorder="1"/>
    <xf numFmtId="3" fontId="0" fillId="0" borderId="30" xfId="0" applyNumberFormat="1" applyFill="1" applyBorder="1"/>
    <xf numFmtId="3" fontId="0" fillId="0" borderId="31" xfId="0" applyNumberFormat="1" applyFill="1" applyBorder="1"/>
    <xf numFmtId="3" fontId="0" fillId="2" borderId="32" xfId="0" applyNumberFormat="1" applyFill="1" applyBorder="1"/>
    <xf numFmtId="3" fontId="0" fillId="0" borderId="33" xfId="0" applyNumberFormat="1" applyFill="1" applyBorder="1"/>
    <xf numFmtId="3" fontId="0" fillId="2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1" xfId="0" applyNumberFormat="1" applyBorder="1"/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0" xfId="0" applyNumberForma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0" xfId="0" applyNumberFormat="1" applyBorder="1"/>
    <xf numFmtId="3" fontId="0" fillId="0" borderId="0" xfId="0" applyNumberFormat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Fill="1" applyBorder="1"/>
    <xf numFmtId="3" fontId="0" fillId="0" borderId="40" xfId="0" applyNumberFormat="1" applyBorder="1"/>
    <xf numFmtId="3" fontId="0" fillId="0" borderId="28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4" xfId="0" applyNumberFormat="1" applyFill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0" xfId="0" applyNumberFormat="1" applyFill="1" applyBorder="1"/>
    <xf numFmtId="165" fontId="0" fillId="0" borderId="0" xfId="0" applyNumberFormat="1" applyFill="1"/>
    <xf numFmtId="166" fontId="0" fillId="0" borderId="40" xfId="0" applyNumberFormat="1" applyBorder="1"/>
    <xf numFmtId="0" fontId="0" fillId="0" borderId="25" xfId="0" applyFill="1" applyBorder="1"/>
    <xf numFmtId="3" fontId="1" fillId="0" borderId="25" xfId="0" applyNumberFormat="1" applyFont="1" applyFill="1" applyBorder="1"/>
    <xf numFmtId="1" fontId="5" fillId="0" borderId="6" xfId="0" applyNumberFormat="1" applyFont="1" applyFill="1" applyBorder="1"/>
    <xf numFmtId="166" fontId="0" fillId="0" borderId="38" xfId="0" applyNumberFormat="1" applyBorder="1"/>
    <xf numFmtId="1" fontId="6" fillId="0" borderId="0" xfId="0" applyNumberFormat="1" applyFont="1" applyFill="1"/>
    <xf numFmtId="0" fontId="3" fillId="0" borderId="0" xfId="0" applyFont="1"/>
    <xf numFmtId="0" fontId="0" fillId="0" borderId="25" xfId="0" applyBorder="1"/>
    <xf numFmtId="0" fontId="3" fillId="0" borderId="25" xfId="0" applyFont="1" applyBorder="1"/>
    <xf numFmtId="167" fontId="0" fillId="0" borderId="25" xfId="1" applyNumberFormat="1" applyFont="1" applyBorder="1"/>
    <xf numFmtId="0" fontId="4" fillId="0" borderId="25" xfId="0" applyFont="1" applyBorder="1"/>
    <xf numFmtId="3" fontId="4" fillId="0" borderId="25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1" fontId="3" fillId="0" borderId="25" xfId="0" applyNumberFormat="1" applyFont="1" applyBorder="1"/>
    <xf numFmtId="1" fontId="0" fillId="0" borderId="25" xfId="0" applyNumberFormat="1" applyBorder="1"/>
    <xf numFmtId="49" fontId="4" fillId="0" borderId="0" xfId="0" applyNumberFormat="1" applyFont="1" applyBorder="1"/>
    <xf numFmtId="0" fontId="4" fillId="0" borderId="25" xfId="0" applyFont="1" applyFill="1" applyBorder="1"/>
    <xf numFmtId="168" fontId="0" fillId="0" borderId="25" xfId="0" applyNumberFormat="1" applyFill="1" applyBorder="1"/>
    <xf numFmtId="0" fontId="0" fillId="0" borderId="0" xfId="0" applyBorder="1"/>
    <xf numFmtId="1" fontId="4" fillId="0" borderId="25" xfId="0" applyNumberFormat="1" applyFont="1" applyBorder="1"/>
    <xf numFmtId="4" fontId="0" fillId="0" borderId="25" xfId="0" applyNumberFormat="1" applyFill="1" applyBorder="1"/>
    <xf numFmtId="1" fontId="3" fillId="0" borderId="13" xfId="0" applyNumberFormat="1" applyFont="1" applyBorder="1" applyAlignment="1">
      <alignment textRotation="90" wrapText="1"/>
    </xf>
    <xf numFmtId="0" fontId="3" fillId="0" borderId="0" xfId="0" applyFont="1" applyBorder="1"/>
    <xf numFmtId="0" fontId="4" fillId="0" borderId="0" xfId="0" applyFont="1" applyFill="1" applyBorder="1"/>
    <xf numFmtId="1" fontId="0" fillId="0" borderId="1" xfId="0" applyNumberFormat="1" applyFill="1" applyBorder="1"/>
    <xf numFmtId="1" fontId="0" fillId="0" borderId="16" xfId="0" applyNumberFormat="1" applyFill="1" applyBorder="1"/>
    <xf numFmtId="1" fontId="7" fillId="0" borderId="0" xfId="0" applyNumberFormat="1" applyFont="1" applyFill="1"/>
    <xf numFmtId="1" fontId="0" fillId="0" borderId="14" xfId="0" applyNumberFormat="1" applyFill="1" applyBorder="1" applyAlignment="1">
      <alignment textRotation="90" wrapText="1"/>
    </xf>
    <xf numFmtId="1" fontId="0" fillId="0" borderId="15" xfId="0" applyNumberFormat="1" applyFill="1" applyBorder="1" applyAlignment="1">
      <alignment textRotation="90" wrapText="1"/>
    </xf>
    <xf numFmtId="1" fontId="0" fillId="0" borderId="16" xfId="0" applyNumberFormat="1" applyFill="1" applyBorder="1" applyAlignment="1">
      <alignment textRotation="90" wrapText="1"/>
    </xf>
    <xf numFmtId="1" fontId="4" fillId="0" borderId="6" xfId="0" applyNumberFormat="1" applyFont="1" applyFill="1" applyBorder="1"/>
    <xf numFmtId="3" fontId="0" fillId="2" borderId="27" xfId="0" applyNumberFormat="1" applyFill="1" applyBorder="1"/>
    <xf numFmtId="3" fontId="0" fillId="0" borderId="19" xfId="0" applyNumberFormat="1" applyBorder="1"/>
    <xf numFmtId="1" fontId="0" fillId="0" borderId="12" xfId="0" applyNumberFormat="1" applyBorder="1" applyAlignment="1">
      <alignment textRotation="90" wrapText="1"/>
    </xf>
    <xf numFmtId="0" fontId="1" fillId="0" borderId="25" xfId="0" applyFont="1" applyFill="1" applyBorder="1"/>
    <xf numFmtId="165" fontId="0" fillId="0" borderId="25" xfId="0" applyNumberFormat="1" applyBorder="1"/>
    <xf numFmtId="3" fontId="0" fillId="0" borderId="3" xfId="0" applyNumberFormat="1" applyFill="1" applyBorder="1" applyAlignment="1" applyProtection="1">
      <alignment horizontal="right"/>
      <protection locked="0"/>
    </xf>
    <xf numFmtId="3" fontId="0" fillId="0" borderId="43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/>
    <xf numFmtId="1" fontId="0" fillId="3" borderId="15" xfId="0" applyNumberFormat="1" applyFill="1" applyBorder="1" applyAlignment="1">
      <alignment textRotation="90" wrapText="1"/>
    </xf>
    <xf numFmtId="3" fontId="0" fillId="3" borderId="21" xfId="0" applyNumberFormat="1" applyFill="1" applyBorder="1"/>
    <xf numFmtId="3" fontId="0" fillId="3" borderId="24" xfId="0" applyNumberFormat="1" applyFill="1" applyBorder="1"/>
    <xf numFmtId="3" fontId="0" fillId="3" borderId="30" xfId="0" applyNumberFormat="1" applyFill="1" applyBorder="1"/>
    <xf numFmtId="3" fontId="0" fillId="3" borderId="35" xfId="0" applyNumberFormat="1" applyFill="1" applyBorder="1"/>
    <xf numFmtId="3" fontId="0" fillId="3" borderId="13" xfId="0" applyNumberFormat="1" applyFill="1" applyBorder="1"/>
    <xf numFmtId="3" fontId="1" fillId="0" borderId="0" xfId="0" applyNumberFormat="1" applyFont="1" applyBorder="1"/>
  </cellXfs>
  <cellStyles count="3">
    <cellStyle name="1000-sep (2 dec)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3256484149855907"/>
          <c:y val="3.465346534653465E-2"/>
          <c:w val="0.51440922190201555"/>
          <c:h val="0.85396039603960394"/>
        </c:manualLayout>
      </c:layout>
      <c:barChart>
        <c:barDir val="col"/>
        <c:grouping val="stacked"/>
        <c:ser>
          <c:idx val="1"/>
          <c:order val="0"/>
          <c:tx>
            <c:strRef>
              <c:f>'Grafer 2009'!$A$40</c:f>
              <c:strCache>
                <c:ptCount val="1"/>
                <c:pt idx="0">
                  <c:v>Kul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2009'!$B$40,'Grafer 2009'!$D$40)</c:f>
              <c:numCache>
                <c:formatCode>#,##0</c:formatCode>
                <c:ptCount val="2"/>
                <c:pt idx="0">
                  <c:v>2349.4</c:v>
                </c:pt>
                <c:pt idx="1">
                  <c:v>978.25</c:v>
                </c:pt>
              </c:numCache>
            </c:numRef>
          </c:val>
        </c:ser>
        <c:ser>
          <c:idx val="2"/>
          <c:order val="1"/>
          <c:tx>
            <c:strRef>
              <c:f>'Grafer 2009'!$A$41</c:f>
              <c:strCache>
                <c:ptCount val="1"/>
                <c:pt idx="0">
                  <c:v>Naturgas og LPG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2009'!$B$41,'Grafer 2009'!$D$41)</c:f>
              <c:numCache>
                <c:formatCode>#,##0</c:formatCode>
                <c:ptCount val="2"/>
                <c:pt idx="0">
                  <c:v>1076.8725818524358</c:v>
                </c:pt>
                <c:pt idx="1">
                  <c:v>970.22</c:v>
                </c:pt>
              </c:numCache>
            </c:numRef>
          </c:val>
        </c:ser>
        <c:ser>
          <c:idx val="3"/>
          <c:order val="2"/>
          <c:tx>
            <c:strRef>
              <c:f>'Grafer 2009'!$A$42</c:f>
              <c:strCache>
                <c:ptCount val="1"/>
                <c:pt idx="0">
                  <c:v>Fuelolie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2009'!$B$42,'Grafer 2009'!$D$42)</c:f>
              <c:numCache>
                <c:formatCode>#,##0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</c:ser>
        <c:ser>
          <c:idx val="4"/>
          <c:order val="3"/>
          <c:tx>
            <c:strRef>
              <c:f>'Grafer 2009'!$A$43</c:f>
              <c:strCache>
                <c:ptCount val="1"/>
                <c:pt idx="0">
                  <c:v>Brændselsolie/diesel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2009'!$B$43,'Grafer 2009'!$D$43)</c:f>
              <c:numCache>
                <c:formatCode>#,##0</c:formatCode>
                <c:ptCount val="2"/>
                <c:pt idx="0">
                  <c:v>2451.8025123852449</c:v>
                </c:pt>
                <c:pt idx="1">
                  <c:v>2187.1999999999998</c:v>
                </c:pt>
              </c:numCache>
            </c:numRef>
          </c:val>
        </c:ser>
        <c:ser>
          <c:idx val="5"/>
          <c:order val="4"/>
          <c:tx>
            <c:strRef>
              <c:f>'Grafer 2009'!$A$44</c:f>
              <c:strCache>
                <c:ptCount val="1"/>
                <c:pt idx="0">
                  <c:v>Benzin/JP1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2009'!$B$44,'Grafer 2009'!$D$44)</c:f>
              <c:numCache>
                <c:formatCode>#,##0</c:formatCode>
                <c:ptCount val="2"/>
                <c:pt idx="0">
                  <c:v>2049.7831984966633</c:v>
                </c:pt>
                <c:pt idx="1">
                  <c:v>1870.8</c:v>
                </c:pt>
              </c:numCache>
            </c:numRef>
          </c:val>
        </c:ser>
        <c:ser>
          <c:idx val="6"/>
          <c:order val="5"/>
          <c:tx>
            <c:strRef>
              <c:f>'Grafer 2009'!$A$45</c:f>
              <c:strCache>
                <c:ptCount val="1"/>
                <c:pt idx="0">
                  <c:v>Affald, ikke bionedbrydeligt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2009'!$B$45,'Grafer 2009'!$D$45)</c:f>
              <c:numCache>
                <c:formatCode>#,##0</c:formatCode>
                <c:ptCount val="2"/>
                <c:pt idx="0">
                  <c:v>75.47</c:v>
                </c:pt>
                <c:pt idx="1">
                  <c:v>38.099999999999994</c:v>
                </c:pt>
              </c:numCache>
            </c:numRef>
          </c:val>
        </c:ser>
        <c:ser>
          <c:idx val="7"/>
          <c:order val="6"/>
          <c:tx>
            <c:strRef>
              <c:f>'Grafer 2009'!$A$46</c:f>
              <c:strCache>
                <c:ptCount val="1"/>
                <c:pt idx="0">
                  <c:v>Affald, bionedbrydeligt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2009'!$B$46,'Grafer 2009'!$D$46)</c:f>
              <c:numCache>
                <c:formatCode>#,##0</c:formatCode>
                <c:ptCount val="2"/>
                <c:pt idx="0">
                  <c:v>0</c:v>
                </c:pt>
                <c:pt idx="1">
                  <c:v>63</c:v>
                </c:pt>
              </c:numCache>
            </c:numRef>
          </c:val>
        </c:ser>
        <c:ser>
          <c:idx val="8"/>
          <c:order val="7"/>
          <c:tx>
            <c:strRef>
              <c:f>'Grafer 2009'!$A$47</c:f>
              <c:strCache>
                <c:ptCount val="1"/>
                <c:pt idx="0">
                  <c:v>Biomasse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2009'!$B$47,'Grafer 2009'!$D$47)</c:f>
              <c:numCache>
                <c:formatCode>#,##0</c:formatCode>
                <c:ptCount val="2"/>
                <c:pt idx="0">
                  <c:v>1943.5</c:v>
                </c:pt>
                <c:pt idx="1">
                  <c:v>3321.29</c:v>
                </c:pt>
              </c:numCache>
            </c:numRef>
          </c:val>
        </c:ser>
        <c:ser>
          <c:idx val="9"/>
          <c:order val="8"/>
          <c:tx>
            <c:strRef>
              <c:f>'Grafer 2009'!$A$48</c:f>
              <c:strCache>
                <c:ptCount val="1"/>
                <c:pt idx="0">
                  <c:v>Vindenergi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2009'!$B$48,'Grafer 2009'!$D$48)</c:f>
              <c:numCache>
                <c:formatCode>#,##0</c:formatCode>
                <c:ptCount val="2"/>
                <c:pt idx="0">
                  <c:v>704</c:v>
                </c:pt>
                <c:pt idx="1">
                  <c:v>803</c:v>
                </c:pt>
              </c:numCache>
            </c:numRef>
          </c:val>
        </c:ser>
        <c:ser>
          <c:idx val="10"/>
          <c:order val="9"/>
          <c:tx>
            <c:strRef>
              <c:f>'Grafer 2009'!$A$49</c:f>
              <c:strCache>
                <c:ptCount val="1"/>
                <c:pt idx="0">
                  <c:v>Biogas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2009'!$B$49,'Grafer 2009'!$D$49)</c:f>
              <c:numCache>
                <c:formatCode>#,##0</c:formatCode>
                <c:ptCount val="2"/>
                <c:pt idx="0">
                  <c:v>37.6</c:v>
                </c:pt>
                <c:pt idx="1">
                  <c:v>47.6</c:v>
                </c:pt>
              </c:numCache>
            </c:numRef>
          </c:val>
        </c:ser>
        <c:ser>
          <c:idx val="11"/>
          <c:order val="10"/>
          <c:tx>
            <c:strRef>
              <c:f>'Grafer 2009'!$A$50</c:f>
              <c:strCache>
                <c:ptCount val="1"/>
                <c:pt idx="0">
                  <c:v>Solenergi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2009'!$B$50,'Grafer 2009'!$D$50)</c:f>
              <c:numCache>
                <c:formatCode>#,##0</c:formatCode>
                <c:ptCount val="2"/>
                <c:pt idx="0">
                  <c:v>2.61</c:v>
                </c:pt>
                <c:pt idx="1">
                  <c:v>2.61</c:v>
                </c:pt>
              </c:numCache>
            </c:numRef>
          </c:val>
        </c:ser>
        <c:ser>
          <c:idx val="12"/>
          <c:order val="11"/>
          <c:tx>
            <c:strRef>
              <c:f>'Grafer 2009'!$A$51</c:f>
              <c:strCache>
                <c:ptCount val="1"/>
                <c:pt idx="0">
                  <c:v>Jordvarme, geotermi, vandkraft mm.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2009'!$B$51,'Grafer 2009'!$D$51)</c:f>
              <c:numCache>
                <c:formatCode>#,##0</c:formatCode>
                <c:ptCount val="2"/>
                <c:pt idx="0">
                  <c:v>0.10200000000000001</c:v>
                </c:pt>
                <c:pt idx="1">
                  <c:v>1.38</c:v>
                </c:pt>
              </c:numCache>
            </c:numRef>
          </c:val>
        </c:ser>
        <c:ser>
          <c:idx val="0"/>
          <c:order val="12"/>
          <c:tx>
            <c:strRef>
              <c:f>'Grafer 2009'!$A$39</c:f>
              <c:strCache>
                <c:ptCount val="1"/>
                <c:pt idx="0">
                  <c:v>Elimport</c:v>
                </c:pt>
              </c:strCache>
            </c:strRef>
          </c:tx>
          <c:cat>
            <c:numRef>
              <c:f>('Grafer 2009'!$B$38,'Grafer 2009'!$D$38)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2009'!$B$39,'Grafer 2009'!$D$39)</c:f>
              <c:numCache>
                <c:formatCode>#,##0</c:formatCode>
                <c:ptCount val="2"/>
                <c:pt idx="0">
                  <c:v>49.359085585277207</c:v>
                </c:pt>
                <c:pt idx="1">
                  <c:v>191.48642577544851</c:v>
                </c:pt>
              </c:numCache>
            </c:numRef>
          </c:val>
        </c:ser>
        <c:overlap val="100"/>
        <c:axId val="81959936"/>
        <c:axId val="85172992"/>
      </c:barChart>
      <c:catAx>
        <c:axId val="819599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85172992"/>
        <c:crosses val="autoZero"/>
        <c:auto val="1"/>
        <c:lblAlgn val="ctr"/>
        <c:lblOffset val="100"/>
      </c:catAx>
      <c:valAx>
        <c:axId val="85172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8195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51396648044684"/>
          <c:y val="0.13118811881188119"/>
          <c:w val="0.28491620111731847"/>
          <c:h val="0.7326732673267327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0806916426513007"/>
          <c:y val="3.465346534653465E-2"/>
          <c:w val="0.60806916426512969"/>
          <c:h val="0.85396039603960394"/>
        </c:manualLayout>
      </c:layout>
      <c:barChart>
        <c:barDir val="col"/>
        <c:grouping val="stacked"/>
        <c:ser>
          <c:idx val="1"/>
          <c:order val="0"/>
          <c:tx>
            <c:strRef>
              <c:f>'Grafer 2009'!$A$40</c:f>
              <c:strCache>
                <c:ptCount val="1"/>
                <c:pt idx="0">
                  <c:v>Kul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2009'!$C$40,'Grafer 2009'!$E$40)</c:f>
              <c:numCache>
                <c:formatCode>#,##0</c:formatCode>
                <c:ptCount val="2"/>
                <c:pt idx="0">
                  <c:v>223.19300000000001</c:v>
                </c:pt>
                <c:pt idx="1">
                  <c:v>92.933750000000003</c:v>
                </c:pt>
              </c:numCache>
            </c:numRef>
          </c:val>
        </c:ser>
        <c:ser>
          <c:idx val="2"/>
          <c:order val="1"/>
          <c:tx>
            <c:strRef>
              <c:f>'Grafer 2009'!$A$41</c:f>
              <c:strCache>
                <c:ptCount val="1"/>
                <c:pt idx="0">
                  <c:v>Naturgas og LPG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2009'!$C$41,'Grafer 2009'!$E$41)</c:f>
              <c:numCache>
                <c:formatCode>#,##0</c:formatCode>
                <c:ptCount val="2"/>
                <c:pt idx="0">
                  <c:v>61.865447335484312</c:v>
                </c:pt>
                <c:pt idx="1">
                  <c:v>55.530795999999995</c:v>
                </c:pt>
              </c:numCache>
            </c:numRef>
          </c:val>
        </c:ser>
        <c:ser>
          <c:idx val="3"/>
          <c:order val="2"/>
          <c:tx>
            <c:strRef>
              <c:f>'Grafer 2009'!$A$42</c:f>
              <c:strCache>
                <c:ptCount val="1"/>
                <c:pt idx="0">
                  <c:v>Fuelolie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2009'!$C$42,'Grafer 2009'!$E$42)</c:f>
              <c:numCache>
                <c:formatCode>#,##0</c:formatCode>
                <c:ptCount val="2"/>
                <c:pt idx="0">
                  <c:v>1.482</c:v>
                </c:pt>
                <c:pt idx="1">
                  <c:v>1.482</c:v>
                </c:pt>
              </c:numCache>
            </c:numRef>
          </c:val>
        </c:ser>
        <c:ser>
          <c:idx val="4"/>
          <c:order val="3"/>
          <c:tx>
            <c:strRef>
              <c:f>'Grafer 2009'!$A$43</c:f>
              <c:strCache>
                <c:ptCount val="1"/>
                <c:pt idx="0">
                  <c:v>Brændselsolie/diesel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2009'!$C$43,'Grafer 2009'!$E$43)</c:f>
              <c:numCache>
                <c:formatCode>#,##0</c:formatCode>
                <c:ptCount val="2"/>
                <c:pt idx="0">
                  <c:v>181.18820566526961</c:v>
                </c:pt>
                <c:pt idx="1">
                  <c:v>161.63408000000004</c:v>
                </c:pt>
              </c:numCache>
            </c:numRef>
          </c:val>
        </c:ser>
        <c:ser>
          <c:idx val="5"/>
          <c:order val="4"/>
          <c:tx>
            <c:strRef>
              <c:f>'Grafer 2009'!$A$44</c:f>
              <c:strCache>
                <c:ptCount val="1"/>
                <c:pt idx="0">
                  <c:v>Benzin/JP1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2009'!$C$44,'Grafer 2009'!$E$44)</c:f>
              <c:numCache>
                <c:formatCode>#,##0</c:formatCode>
                <c:ptCount val="2"/>
                <c:pt idx="0">
                  <c:v>148.97039029175977</c:v>
                </c:pt>
                <c:pt idx="1">
                  <c:v>135.96339999999998</c:v>
                </c:pt>
              </c:numCache>
            </c:numRef>
          </c:val>
        </c:ser>
        <c:ser>
          <c:idx val="6"/>
          <c:order val="5"/>
          <c:tx>
            <c:strRef>
              <c:f>'Grafer 2009'!$A$45</c:f>
              <c:strCache>
                <c:ptCount val="1"/>
                <c:pt idx="0">
                  <c:v>Affald, ikke bionedbrydeligt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2009'!$C$45,'Grafer 2009'!$E$45)</c:f>
              <c:numCache>
                <c:formatCode>#,##0</c:formatCode>
                <c:ptCount val="2"/>
                <c:pt idx="0">
                  <c:v>5.8373819999999998</c:v>
                </c:pt>
                <c:pt idx="1">
                  <c:v>2.9756399999999998</c:v>
                </c:pt>
              </c:numCache>
            </c:numRef>
          </c:val>
        </c:ser>
        <c:ser>
          <c:idx val="0"/>
          <c:order val="6"/>
          <c:tx>
            <c:strRef>
              <c:f>'Grafer 2009'!$A$39</c:f>
              <c:strCache>
                <c:ptCount val="1"/>
                <c:pt idx="0">
                  <c:v>Elimport</c:v>
                </c:pt>
              </c:strCache>
            </c:strRef>
          </c:tx>
          <c:cat>
            <c:numRef>
              <c:f>('Grafer 2009'!$C$38,'Grafer 2009'!$E$38)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('Grafer 2009'!$C$39,'Grafer 2009'!$E$39)</c:f>
              <c:numCache>
                <c:formatCode>#,##0</c:formatCode>
                <c:ptCount val="2"/>
                <c:pt idx="0">
                  <c:v>6.1007829783402618</c:v>
                </c:pt>
                <c:pt idx="1">
                  <c:v>23.303898016872086</c:v>
                </c:pt>
              </c:numCache>
            </c:numRef>
          </c:val>
        </c:ser>
        <c:overlap val="100"/>
        <c:axId val="68991232"/>
        <c:axId val="69005312"/>
      </c:barChart>
      <c:catAx>
        <c:axId val="689912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9005312"/>
        <c:crosses val="autoZero"/>
        <c:auto val="1"/>
        <c:lblAlgn val="ctr"/>
        <c:lblOffset val="100"/>
      </c:catAx>
      <c:valAx>
        <c:axId val="69005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1.000 ton/ 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899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75977653631311"/>
          <c:y val="0.30198019801980208"/>
          <c:w val="0.22206703910614528"/>
          <c:h val="0.3960396039603961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2247838616714685"/>
          <c:y val="3.465346534653465E-2"/>
          <c:w val="0.52161383285302665"/>
          <c:h val="0.85396039603960394"/>
        </c:manualLayout>
      </c:layout>
      <c:barChart>
        <c:barDir val="col"/>
        <c:grouping val="stacked"/>
        <c:ser>
          <c:idx val="0"/>
          <c:order val="0"/>
          <c:tx>
            <c:strRef>
              <c:f>'Grafer 2009'!$A$46</c:f>
              <c:strCache>
                <c:ptCount val="1"/>
                <c:pt idx="0">
                  <c:v>Affald, bionedbrydeligt</c:v>
                </c:pt>
              </c:strCache>
            </c:strRef>
          </c:tx>
          <c:cat>
            <c:strRef>
              <c:f>('Grafer 2009'!$B$38,'Grafer 2009'!$D$38,'Grafer 2009'!$F$38)</c:f>
              <c:strCache>
                <c:ptCount val="3"/>
                <c:pt idx="0">
                  <c:v>2007</c:v>
                </c:pt>
                <c:pt idx="1">
                  <c:v>2009</c:v>
                </c:pt>
                <c:pt idx="2">
                  <c:v>Lokalt biomassepotentiale</c:v>
                </c:pt>
              </c:strCache>
            </c:strRef>
          </c:cat>
          <c:val>
            <c:numRef>
              <c:f>('Grafer 2009'!$B$46,'Grafer 2009'!$D$46,'Grafer 2009'!$F$46)</c:f>
              <c:numCache>
                <c:formatCode>#,##0</c:formatCode>
                <c:ptCount val="3"/>
                <c:pt idx="0">
                  <c:v>0</c:v>
                </c:pt>
                <c:pt idx="1">
                  <c:v>63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'Grafer 2009'!$A$47</c:f>
              <c:strCache>
                <c:ptCount val="1"/>
                <c:pt idx="0">
                  <c:v>Biomasse</c:v>
                </c:pt>
              </c:strCache>
            </c:strRef>
          </c:tx>
          <c:cat>
            <c:strRef>
              <c:f>('Grafer 2009'!$B$38,'Grafer 2009'!$D$38,'Grafer 2009'!$F$38)</c:f>
              <c:strCache>
                <c:ptCount val="3"/>
                <c:pt idx="0">
                  <c:v>2007</c:v>
                </c:pt>
                <c:pt idx="1">
                  <c:v>2009</c:v>
                </c:pt>
                <c:pt idx="2">
                  <c:v>Lokalt biomassepotentiale</c:v>
                </c:pt>
              </c:strCache>
            </c:strRef>
          </c:cat>
          <c:val>
            <c:numRef>
              <c:f>('Grafer 2009'!$B$47,'Grafer 2009'!$D$47,'Grafer 2009'!$F$47)</c:f>
              <c:numCache>
                <c:formatCode>#,##0</c:formatCode>
                <c:ptCount val="3"/>
                <c:pt idx="0">
                  <c:v>1943.5</c:v>
                </c:pt>
                <c:pt idx="1">
                  <c:v>3321.29</c:v>
                </c:pt>
                <c:pt idx="2">
                  <c:v>2565.0208935203691</c:v>
                </c:pt>
              </c:numCache>
            </c:numRef>
          </c:val>
        </c:ser>
        <c:ser>
          <c:idx val="2"/>
          <c:order val="2"/>
          <c:tx>
            <c:strRef>
              <c:f>'Grafer 2009'!$A$48</c:f>
              <c:strCache>
                <c:ptCount val="1"/>
                <c:pt idx="0">
                  <c:v>Vindenergi</c:v>
                </c:pt>
              </c:strCache>
            </c:strRef>
          </c:tx>
          <c:cat>
            <c:strRef>
              <c:f>('Grafer 2009'!$B$38,'Grafer 2009'!$D$38,'Grafer 2009'!$F$38)</c:f>
              <c:strCache>
                <c:ptCount val="3"/>
                <c:pt idx="0">
                  <c:v>2007</c:v>
                </c:pt>
                <c:pt idx="1">
                  <c:v>2009</c:v>
                </c:pt>
                <c:pt idx="2">
                  <c:v>Lokalt biomassepotentiale</c:v>
                </c:pt>
              </c:strCache>
            </c:strRef>
          </c:cat>
          <c:val>
            <c:numRef>
              <c:f>('Grafer 2009'!$B$48,'Grafer 2009'!$D$48,'Grafer 2009'!$F$48)</c:f>
              <c:numCache>
                <c:formatCode>#,##0</c:formatCode>
                <c:ptCount val="3"/>
                <c:pt idx="0">
                  <c:v>704</c:v>
                </c:pt>
                <c:pt idx="1">
                  <c:v>803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'Grafer 2009'!$A$49</c:f>
              <c:strCache>
                <c:ptCount val="1"/>
                <c:pt idx="0">
                  <c:v>Biogas</c:v>
                </c:pt>
              </c:strCache>
            </c:strRef>
          </c:tx>
          <c:cat>
            <c:strRef>
              <c:f>('Grafer 2009'!$B$38,'Grafer 2009'!$D$38,'Grafer 2009'!$F$38)</c:f>
              <c:strCache>
                <c:ptCount val="3"/>
                <c:pt idx="0">
                  <c:v>2007</c:v>
                </c:pt>
                <c:pt idx="1">
                  <c:v>2009</c:v>
                </c:pt>
                <c:pt idx="2">
                  <c:v>Lokalt biomassepotentiale</c:v>
                </c:pt>
              </c:strCache>
            </c:strRef>
          </c:cat>
          <c:val>
            <c:numRef>
              <c:f>('Grafer 2009'!$B$49,'Grafer 2009'!$D$49,'Grafer 2009'!$F$49)</c:f>
              <c:numCache>
                <c:formatCode>#,##0</c:formatCode>
                <c:ptCount val="3"/>
                <c:pt idx="0">
                  <c:v>37.6</c:v>
                </c:pt>
                <c:pt idx="1">
                  <c:v>47.6</c:v>
                </c:pt>
                <c:pt idx="2">
                  <c:v>336.17251482505162</c:v>
                </c:pt>
              </c:numCache>
            </c:numRef>
          </c:val>
        </c:ser>
        <c:ser>
          <c:idx val="4"/>
          <c:order val="4"/>
          <c:tx>
            <c:strRef>
              <c:f>'Grafer 2009'!$A$50</c:f>
              <c:strCache>
                <c:ptCount val="1"/>
                <c:pt idx="0">
                  <c:v>Solenergi</c:v>
                </c:pt>
              </c:strCache>
            </c:strRef>
          </c:tx>
          <c:cat>
            <c:strRef>
              <c:f>('Grafer 2009'!$B$38,'Grafer 2009'!$D$38,'Grafer 2009'!$F$38)</c:f>
              <c:strCache>
                <c:ptCount val="3"/>
                <c:pt idx="0">
                  <c:v>2007</c:v>
                </c:pt>
                <c:pt idx="1">
                  <c:v>2009</c:v>
                </c:pt>
                <c:pt idx="2">
                  <c:v>Lokalt biomassepotentiale</c:v>
                </c:pt>
              </c:strCache>
            </c:strRef>
          </c:cat>
          <c:val>
            <c:numRef>
              <c:f>('Grafer 2009'!$B$50,'Grafer 2009'!$D$50,'Grafer 2009'!$F$50)</c:f>
              <c:numCache>
                <c:formatCode>#,##0</c:formatCode>
                <c:ptCount val="3"/>
                <c:pt idx="0">
                  <c:v>2.61</c:v>
                </c:pt>
                <c:pt idx="1">
                  <c:v>2.61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'Grafer 2009'!$A$51</c:f>
              <c:strCache>
                <c:ptCount val="1"/>
                <c:pt idx="0">
                  <c:v>Jordvarme, geotermi, vandkraft mm.</c:v>
                </c:pt>
              </c:strCache>
            </c:strRef>
          </c:tx>
          <c:cat>
            <c:strRef>
              <c:f>('Grafer 2009'!$B$38,'Grafer 2009'!$D$38,'Grafer 2009'!$F$38)</c:f>
              <c:strCache>
                <c:ptCount val="3"/>
                <c:pt idx="0">
                  <c:v>2007</c:v>
                </c:pt>
                <c:pt idx="1">
                  <c:v>2009</c:v>
                </c:pt>
                <c:pt idx="2">
                  <c:v>Lokalt biomassepotentiale</c:v>
                </c:pt>
              </c:strCache>
            </c:strRef>
          </c:cat>
          <c:val>
            <c:numRef>
              <c:f>('Grafer 2009'!$B$51,'Grafer 2009'!$D$51,'Grafer 2009'!$F$51)</c:f>
              <c:numCache>
                <c:formatCode>#,##0</c:formatCode>
                <c:ptCount val="3"/>
                <c:pt idx="0">
                  <c:v>0.10200000000000001</c:v>
                </c:pt>
                <c:pt idx="1">
                  <c:v>1.38</c:v>
                </c:pt>
                <c:pt idx="2">
                  <c:v>0</c:v>
                </c:pt>
              </c:numCache>
            </c:numRef>
          </c:val>
        </c:ser>
        <c:overlap val="100"/>
        <c:axId val="69213568"/>
        <c:axId val="69227648"/>
      </c:barChart>
      <c:catAx>
        <c:axId val="69213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9227648"/>
        <c:crosses val="autoZero"/>
        <c:auto val="1"/>
        <c:lblAlgn val="ctr"/>
        <c:lblOffset val="100"/>
      </c:catAx>
      <c:valAx>
        <c:axId val="69227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921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91061452513981"/>
          <c:y val="0.33415841584158423"/>
          <c:w val="0.28491620111731847"/>
          <c:h val="0.3366336633663367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3256484149855907"/>
          <c:y val="3.465346534653465E-2"/>
          <c:w val="0.55763688760806962"/>
          <c:h val="0.85396039603960394"/>
        </c:manualLayout>
      </c:layout>
      <c:barChart>
        <c:barDir val="col"/>
        <c:grouping val="stacked"/>
        <c:ser>
          <c:idx val="0"/>
          <c:order val="0"/>
          <c:tx>
            <c:strRef>
              <c:f>'Grafer 2009'!$A$143</c:f>
              <c:strCache>
                <c:ptCount val="1"/>
                <c:pt idx="0">
                  <c:v>Individuel opvarmning</c:v>
                </c:pt>
              </c:strCache>
            </c:strRef>
          </c:tx>
          <c:cat>
            <c:numRef>
              <c:f>'Grafer 2009'!$B$142:$C$142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2009'!$B$143:$C$143</c:f>
              <c:numCache>
                <c:formatCode>#,##0</c:formatCode>
                <c:ptCount val="2"/>
                <c:pt idx="0">
                  <c:v>1841.6224210200003</c:v>
                </c:pt>
                <c:pt idx="1">
                  <c:v>1710.6799999999998</c:v>
                </c:pt>
              </c:numCache>
            </c:numRef>
          </c:val>
        </c:ser>
        <c:ser>
          <c:idx val="1"/>
          <c:order val="1"/>
          <c:tx>
            <c:strRef>
              <c:f>'Grafer 2009'!$A$144</c:f>
              <c:strCache>
                <c:ptCount val="1"/>
                <c:pt idx="0">
                  <c:v>Kollektiv el- og varmeforsyning</c:v>
                </c:pt>
              </c:strCache>
            </c:strRef>
          </c:tx>
          <c:cat>
            <c:numRef>
              <c:f>'Grafer 2009'!$B$142:$C$142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2009'!$B$144:$C$144</c:f>
              <c:numCache>
                <c:formatCode>#,##0</c:formatCode>
                <c:ptCount val="2"/>
                <c:pt idx="0">
                  <c:v>3532.3004999999998</c:v>
                </c:pt>
                <c:pt idx="1">
                  <c:v>3820.9600000000005</c:v>
                </c:pt>
              </c:numCache>
            </c:numRef>
          </c:val>
        </c:ser>
        <c:ser>
          <c:idx val="2"/>
          <c:order val="2"/>
          <c:tx>
            <c:strRef>
              <c:f>'Grafer 2009'!$A$145</c:f>
              <c:strCache>
                <c:ptCount val="1"/>
                <c:pt idx="0">
                  <c:v>Industri</c:v>
                </c:pt>
              </c:strCache>
            </c:strRef>
          </c:tx>
          <c:cat>
            <c:numRef>
              <c:f>'Grafer 2009'!$B$142:$C$142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2009'!$B$145:$C$145</c:f>
              <c:numCache>
                <c:formatCode>#,##0</c:formatCode>
                <c:ptCount val="2"/>
                <c:pt idx="0">
                  <c:v>848.12166083243562</c:v>
                </c:pt>
                <c:pt idx="1">
                  <c:v>493.50000000000006</c:v>
                </c:pt>
              </c:numCache>
            </c:numRef>
          </c:val>
        </c:ser>
        <c:ser>
          <c:idx val="3"/>
          <c:order val="3"/>
          <c:tx>
            <c:strRef>
              <c:f>'Grafer 2009'!$A$146</c:f>
              <c:strCache>
                <c:ptCount val="1"/>
                <c:pt idx="0">
                  <c:v>Transport</c:v>
                </c:pt>
              </c:strCache>
            </c:strRef>
          </c:tx>
          <c:cat>
            <c:numRef>
              <c:f>'Grafer 2009'!$B$142:$C$142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2009'!$B$146:$C$146</c:f>
              <c:numCache>
                <c:formatCode>#,##0</c:formatCode>
                <c:ptCount val="2"/>
                <c:pt idx="0">
                  <c:v>3783.7857108819089</c:v>
                </c:pt>
                <c:pt idx="1">
                  <c:v>3474</c:v>
                </c:pt>
              </c:numCache>
            </c:numRef>
          </c:val>
        </c:ser>
        <c:ser>
          <c:idx val="4"/>
          <c:order val="4"/>
          <c:tx>
            <c:strRef>
              <c:f>'Grafer 2009'!$A$147</c:f>
              <c:strCache>
                <c:ptCount val="1"/>
                <c:pt idx="0">
                  <c:v>VE-el</c:v>
                </c:pt>
              </c:strCache>
            </c:strRef>
          </c:tx>
          <c:cat>
            <c:numRef>
              <c:f>'Grafer 2009'!$B$142:$C$142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2009'!$B$147:$C$147</c:f>
              <c:numCache>
                <c:formatCode>#,##0</c:formatCode>
                <c:ptCount val="2"/>
                <c:pt idx="0">
                  <c:v>704</c:v>
                </c:pt>
                <c:pt idx="1">
                  <c:v>803</c:v>
                </c:pt>
              </c:numCache>
            </c:numRef>
          </c:val>
        </c:ser>
        <c:ser>
          <c:idx val="5"/>
          <c:order val="5"/>
          <c:tx>
            <c:strRef>
              <c:f>'Grafer 2009'!$A$148</c:f>
              <c:strCache>
                <c:ptCount val="1"/>
                <c:pt idx="0">
                  <c:v>El-import</c:v>
                </c:pt>
              </c:strCache>
            </c:strRef>
          </c:tx>
          <c:cat>
            <c:numRef>
              <c:f>'Grafer 2009'!$B$142:$C$142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2009'!$B$148:$C$148</c:f>
              <c:numCache>
                <c:formatCode>#,##0</c:formatCode>
                <c:ptCount val="2"/>
                <c:pt idx="0">
                  <c:v>49.359085585277207</c:v>
                </c:pt>
                <c:pt idx="1">
                  <c:v>191.48642577544851</c:v>
                </c:pt>
              </c:numCache>
            </c:numRef>
          </c:val>
        </c:ser>
        <c:overlap val="100"/>
        <c:axId val="42345600"/>
        <c:axId val="42347136"/>
      </c:barChart>
      <c:catAx>
        <c:axId val="423456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47136"/>
        <c:crosses val="autoZero"/>
        <c:auto val="1"/>
        <c:lblAlgn val="ctr"/>
        <c:lblOffset val="100"/>
      </c:catAx>
      <c:valAx>
        <c:axId val="42347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 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4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01675977653636"/>
          <c:y val="0.32920792079207928"/>
          <c:w val="0.24441340782122914"/>
          <c:h val="0.3366336633663367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3256484149855907"/>
          <c:y val="3.465346534653465E-2"/>
          <c:w val="0.55763688760806962"/>
          <c:h val="0.78712871287128761"/>
        </c:manualLayout>
      </c:layout>
      <c:barChart>
        <c:barDir val="col"/>
        <c:grouping val="stacked"/>
        <c:ser>
          <c:idx val="0"/>
          <c:order val="0"/>
          <c:tx>
            <c:strRef>
              <c:f>'Grafer 2009'!$A$143</c:f>
              <c:strCache>
                <c:ptCount val="1"/>
                <c:pt idx="0">
                  <c:v>Individuel opvarmning</c:v>
                </c:pt>
              </c:strCache>
            </c:strRef>
          </c:tx>
          <c:cat>
            <c:multiLvlStrRef>
              <c:f>'Grafer 2009'!$D$141:$G$142</c:f>
              <c:multiLvlStrCache>
                <c:ptCount val="4"/>
                <c:lvl>
                  <c:pt idx="0">
                    <c:v>2007</c:v>
                  </c:pt>
                  <c:pt idx="1">
                    <c:v>2009</c:v>
                  </c:pt>
                  <c:pt idx="2">
                    <c:v>2007</c:v>
                  </c:pt>
                  <c:pt idx="3">
                    <c:v>2009</c:v>
                  </c:pt>
                </c:lvl>
                <c:lvl>
                  <c:pt idx="0">
                    <c:v>VE</c:v>
                  </c:pt>
                  <c:pt idx="1">
                    <c:v>VE</c:v>
                  </c:pt>
                  <c:pt idx="2">
                    <c:v>Fossil</c:v>
                  </c:pt>
                  <c:pt idx="3">
                    <c:v>Fossil</c:v>
                  </c:pt>
                </c:lvl>
              </c:multiLvlStrCache>
            </c:multiLvlStrRef>
          </c:cat>
          <c:val>
            <c:numRef>
              <c:f>'Grafer 2009'!$D$143:$G$143</c:f>
              <c:numCache>
                <c:formatCode>#,##0</c:formatCode>
                <c:ptCount val="4"/>
                <c:pt idx="0">
                  <c:v>776.50199999999995</c:v>
                </c:pt>
                <c:pt idx="1">
                  <c:v>783.68</c:v>
                </c:pt>
                <c:pt idx="2" formatCode="0">
                  <c:v>1065.1204210200003</c:v>
                </c:pt>
                <c:pt idx="3" formatCode="0">
                  <c:v>926.99999999999989</c:v>
                </c:pt>
              </c:numCache>
            </c:numRef>
          </c:val>
        </c:ser>
        <c:ser>
          <c:idx val="1"/>
          <c:order val="1"/>
          <c:tx>
            <c:strRef>
              <c:f>'Grafer 2009'!$A$144</c:f>
              <c:strCache>
                <c:ptCount val="1"/>
                <c:pt idx="0">
                  <c:v>Kollektiv el- og varmeforsyning</c:v>
                </c:pt>
              </c:strCache>
            </c:strRef>
          </c:tx>
          <c:cat>
            <c:multiLvlStrRef>
              <c:f>'Grafer 2009'!$D$141:$G$142</c:f>
              <c:multiLvlStrCache>
                <c:ptCount val="4"/>
                <c:lvl>
                  <c:pt idx="0">
                    <c:v>2007</c:v>
                  </c:pt>
                  <c:pt idx="1">
                    <c:v>2009</c:v>
                  </c:pt>
                  <c:pt idx="2">
                    <c:v>2007</c:v>
                  </c:pt>
                  <c:pt idx="3">
                    <c:v>2009</c:v>
                  </c:pt>
                </c:lvl>
                <c:lvl>
                  <c:pt idx="0">
                    <c:v>VE</c:v>
                  </c:pt>
                  <c:pt idx="1">
                    <c:v>VE</c:v>
                  </c:pt>
                  <c:pt idx="2">
                    <c:v>Fossil</c:v>
                  </c:pt>
                  <c:pt idx="3">
                    <c:v>Fossil</c:v>
                  </c:pt>
                </c:lvl>
              </c:multiLvlStrCache>
            </c:multiLvlStrRef>
          </c:cat>
          <c:val>
            <c:numRef>
              <c:f>'Grafer 2009'!$D$144:$G$144</c:f>
              <c:numCache>
                <c:formatCode>#,##0</c:formatCode>
                <c:ptCount val="4"/>
                <c:pt idx="0">
                  <c:v>1207</c:v>
                </c:pt>
                <c:pt idx="1">
                  <c:v>2588.89</c:v>
                </c:pt>
                <c:pt idx="2" formatCode="0">
                  <c:v>2325.3004999999998</c:v>
                </c:pt>
                <c:pt idx="3" formatCode="0">
                  <c:v>1232.0700000000006</c:v>
                </c:pt>
              </c:numCache>
            </c:numRef>
          </c:val>
        </c:ser>
        <c:ser>
          <c:idx val="2"/>
          <c:order val="2"/>
          <c:tx>
            <c:strRef>
              <c:f>'Grafer 2009'!$A$145</c:f>
              <c:strCache>
                <c:ptCount val="1"/>
                <c:pt idx="0">
                  <c:v>Industri</c:v>
                </c:pt>
              </c:strCache>
            </c:strRef>
          </c:tx>
          <c:cat>
            <c:multiLvlStrRef>
              <c:f>'Grafer 2009'!$D$141:$G$142</c:f>
              <c:multiLvlStrCache>
                <c:ptCount val="4"/>
                <c:lvl>
                  <c:pt idx="0">
                    <c:v>2007</c:v>
                  </c:pt>
                  <c:pt idx="1">
                    <c:v>2009</c:v>
                  </c:pt>
                  <c:pt idx="2">
                    <c:v>2007</c:v>
                  </c:pt>
                  <c:pt idx="3">
                    <c:v>2009</c:v>
                  </c:pt>
                </c:lvl>
                <c:lvl>
                  <c:pt idx="0">
                    <c:v>VE</c:v>
                  </c:pt>
                  <c:pt idx="1">
                    <c:v>VE</c:v>
                  </c:pt>
                  <c:pt idx="2">
                    <c:v>Fossil</c:v>
                  </c:pt>
                  <c:pt idx="3">
                    <c:v>Fossil</c:v>
                  </c:pt>
                </c:lvl>
              </c:multiLvlStrCache>
            </c:multiLvlStrRef>
          </c:cat>
          <c:val>
            <c:numRef>
              <c:f>'Grafer 2009'!$D$145:$G$145</c:f>
              <c:numCache>
                <c:formatCode>#,##0</c:formatCode>
                <c:ptCount val="4"/>
                <c:pt idx="0">
                  <c:v>0</c:v>
                </c:pt>
                <c:pt idx="1">
                  <c:v>63</c:v>
                </c:pt>
                <c:pt idx="2" formatCode="0">
                  <c:v>848.12166083243562</c:v>
                </c:pt>
                <c:pt idx="3" formatCode="0">
                  <c:v>430.50000000000006</c:v>
                </c:pt>
              </c:numCache>
            </c:numRef>
          </c:val>
        </c:ser>
        <c:ser>
          <c:idx val="3"/>
          <c:order val="3"/>
          <c:tx>
            <c:strRef>
              <c:f>'Grafer 2009'!$A$146</c:f>
              <c:strCache>
                <c:ptCount val="1"/>
                <c:pt idx="0">
                  <c:v>Transport</c:v>
                </c:pt>
              </c:strCache>
            </c:strRef>
          </c:tx>
          <c:cat>
            <c:multiLvlStrRef>
              <c:f>'Grafer 2009'!$D$141:$G$142</c:f>
              <c:multiLvlStrCache>
                <c:ptCount val="4"/>
                <c:lvl>
                  <c:pt idx="0">
                    <c:v>2007</c:v>
                  </c:pt>
                  <c:pt idx="1">
                    <c:v>2009</c:v>
                  </c:pt>
                  <c:pt idx="2">
                    <c:v>2007</c:v>
                  </c:pt>
                  <c:pt idx="3">
                    <c:v>2009</c:v>
                  </c:pt>
                </c:lvl>
                <c:lvl>
                  <c:pt idx="0">
                    <c:v>VE</c:v>
                  </c:pt>
                  <c:pt idx="1">
                    <c:v>VE</c:v>
                  </c:pt>
                  <c:pt idx="2">
                    <c:v>Fossil</c:v>
                  </c:pt>
                  <c:pt idx="3">
                    <c:v>Fossil</c:v>
                  </c:pt>
                </c:lvl>
              </c:multiLvlStrCache>
            </c:multiLvlStrRef>
          </c:cat>
          <c:val>
            <c:numRef>
              <c:f>'Grafer 2009'!$D$146:$G$146</c:f>
              <c:numCache>
                <c:formatCode>General</c:formatCode>
                <c:ptCount val="4"/>
                <c:pt idx="2" formatCode="0">
                  <c:v>3783.7857108819089</c:v>
                </c:pt>
                <c:pt idx="3" formatCode="0">
                  <c:v>3474</c:v>
                </c:pt>
              </c:numCache>
            </c:numRef>
          </c:val>
        </c:ser>
        <c:ser>
          <c:idx val="4"/>
          <c:order val="4"/>
          <c:tx>
            <c:strRef>
              <c:f>'Grafer 2009'!$A$147</c:f>
              <c:strCache>
                <c:ptCount val="1"/>
                <c:pt idx="0">
                  <c:v>VE-el</c:v>
                </c:pt>
              </c:strCache>
            </c:strRef>
          </c:tx>
          <c:cat>
            <c:multiLvlStrRef>
              <c:f>'Grafer 2009'!$D$141:$G$142</c:f>
              <c:multiLvlStrCache>
                <c:ptCount val="4"/>
                <c:lvl>
                  <c:pt idx="0">
                    <c:v>2007</c:v>
                  </c:pt>
                  <c:pt idx="1">
                    <c:v>2009</c:v>
                  </c:pt>
                  <c:pt idx="2">
                    <c:v>2007</c:v>
                  </c:pt>
                  <c:pt idx="3">
                    <c:v>2009</c:v>
                  </c:pt>
                </c:lvl>
                <c:lvl>
                  <c:pt idx="0">
                    <c:v>VE</c:v>
                  </c:pt>
                  <c:pt idx="1">
                    <c:v>VE</c:v>
                  </c:pt>
                  <c:pt idx="2">
                    <c:v>Fossil</c:v>
                  </c:pt>
                  <c:pt idx="3">
                    <c:v>Fossil</c:v>
                  </c:pt>
                </c:lvl>
              </c:multiLvlStrCache>
            </c:multiLvlStrRef>
          </c:cat>
          <c:val>
            <c:numRef>
              <c:f>'Grafer 2009'!$D$147:$G$147</c:f>
              <c:numCache>
                <c:formatCode>#,##0</c:formatCode>
                <c:ptCount val="4"/>
                <c:pt idx="0">
                  <c:v>704.31</c:v>
                </c:pt>
                <c:pt idx="1">
                  <c:v>803.31</c:v>
                </c:pt>
                <c:pt idx="2" formatCode="0">
                  <c:v>-0.30999999999994543</c:v>
                </c:pt>
                <c:pt idx="3" formatCode="0">
                  <c:v>-0.30999999999994543</c:v>
                </c:pt>
              </c:numCache>
            </c:numRef>
          </c:val>
        </c:ser>
        <c:ser>
          <c:idx val="5"/>
          <c:order val="5"/>
          <c:tx>
            <c:strRef>
              <c:f>'Grafer 2009'!$A$148</c:f>
              <c:strCache>
                <c:ptCount val="1"/>
                <c:pt idx="0">
                  <c:v>El-import</c:v>
                </c:pt>
              </c:strCache>
            </c:strRef>
          </c:tx>
          <c:cat>
            <c:multiLvlStrRef>
              <c:f>'Grafer 2009'!$D$141:$G$142</c:f>
              <c:multiLvlStrCache>
                <c:ptCount val="4"/>
                <c:lvl>
                  <c:pt idx="0">
                    <c:v>2007</c:v>
                  </c:pt>
                  <c:pt idx="1">
                    <c:v>2009</c:v>
                  </c:pt>
                  <c:pt idx="2">
                    <c:v>2007</c:v>
                  </c:pt>
                  <c:pt idx="3">
                    <c:v>2009</c:v>
                  </c:pt>
                </c:lvl>
                <c:lvl>
                  <c:pt idx="0">
                    <c:v>VE</c:v>
                  </c:pt>
                  <c:pt idx="1">
                    <c:v>VE</c:v>
                  </c:pt>
                  <c:pt idx="2">
                    <c:v>Fossil</c:v>
                  </c:pt>
                  <c:pt idx="3">
                    <c:v>Fossil</c:v>
                  </c:pt>
                </c:lvl>
              </c:multiLvlStrCache>
            </c:multiLvlStrRef>
          </c:cat>
          <c:val>
            <c:numRef>
              <c:f>'Grafer 2009'!$D$148:$G$148</c:f>
              <c:numCache>
                <c:formatCode>0</c:formatCode>
                <c:ptCount val="4"/>
                <c:pt idx="0">
                  <c:v>13.326953108024847</c:v>
                </c:pt>
                <c:pt idx="1">
                  <c:v>52.467280662472895</c:v>
                </c:pt>
                <c:pt idx="2">
                  <c:v>36.032132477252361</c:v>
                </c:pt>
                <c:pt idx="3">
                  <c:v>139.01914511297562</c:v>
                </c:pt>
              </c:numCache>
            </c:numRef>
          </c:val>
        </c:ser>
        <c:overlap val="100"/>
        <c:axId val="60229504"/>
        <c:axId val="60231040"/>
      </c:barChart>
      <c:catAx>
        <c:axId val="60229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0231040"/>
        <c:crosses val="autoZero"/>
        <c:auto val="1"/>
        <c:lblAlgn val="ctr"/>
        <c:lblOffset val="100"/>
      </c:catAx>
      <c:valAx>
        <c:axId val="60231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 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02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01675977653636"/>
          <c:y val="0.32920792079207928"/>
          <c:w val="0.24441340782122914"/>
          <c:h val="0.3366336633663367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340057636887608"/>
          <c:y val="3.465346534653465E-2"/>
          <c:w val="0.55619596541786742"/>
          <c:h val="0.85396039603960394"/>
        </c:manualLayout>
      </c:layout>
      <c:barChart>
        <c:barDir val="col"/>
        <c:grouping val="stacked"/>
        <c:ser>
          <c:idx val="0"/>
          <c:order val="0"/>
          <c:tx>
            <c:strRef>
              <c:f>'Grafer 2009'!$A$143</c:f>
              <c:strCache>
                <c:ptCount val="1"/>
                <c:pt idx="0">
                  <c:v>Individuel opvarmning</c:v>
                </c:pt>
              </c:strCache>
            </c:strRef>
          </c:tx>
          <c:cat>
            <c:numRef>
              <c:f>'Grafer 2009'!$J$142:$K$142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2009'!$J$143:$K$143</c:f>
              <c:numCache>
                <c:formatCode>#,##0</c:formatCode>
                <c:ptCount val="2"/>
                <c:pt idx="0">
                  <c:v>71.271839913935992</c:v>
                </c:pt>
                <c:pt idx="1">
                  <c:v>62.246699999999997</c:v>
                </c:pt>
              </c:numCache>
            </c:numRef>
          </c:val>
        </c:ser>
        <c:ser>
          <c:idx val="1"/>
          <c:order val="1"/>
          <c:tx>
            <c:strRef>
              <c:f>'Grafer 2009'!$A$144</c:f>
              <c:strCache>
                <c:ptCount val="1"/>
                <c:pt idx="0">
                  <c:v>Kollektiv el- og varmeforsyning</c:v>
                </c:pt>
              </c:strCache>
            </c:strRef>
          </c:tx>
          <c:cat>
            <c:numRef>
              <c:f>'Grafer 2009'!$J$142:$K$142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2009'!$J$144:$K$144</c:f>
              <c:numCache>
                <c:formatCode>#,##0</c:formatCode>
                <c:ptCount val="2"/>
                <c:pt idx="0">
                  <c:v>206.11257999999998</c:v>
                </c:pt>
                <c:pt idx="1">
                  <c:v>103.92230599999999</c:v>
                </c:pt>
              </c:numCache>
            </c:numRef>
          </c:val>
        </c:ser>
        <c:ser>
          <c:idx val="2"/>
          <c:order val="2"/>
          <c:tx>
            <c:strRef>
              <c:f>'Grafer 2009'!$A$145</c:f>
              <c:strCache>
                <c:ptCount val="1"/>
                <c:pt idx="0">
                  <c:v>Industri</c:v>
                </c:pt>
              </c:strCache>
            </c:strRef>
          </c:tx>
          <c:cat>
            <c:numRef>
              <c:f>'Grafer 2009'!$J$142:$K$142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2009'!$J$145:$K$145</c:f>
              <c:numCache>
                <c:formatCode>#,##0</c:formatCode>
                <c:ptCount val="2"/>
                <c:pt idx="0">
                  <c:v>67.960929421548315</c:v>
                </c:pt>
                <c:pt idx="1">
                  <c:v>29.832879999999999</c:v>
                </c:pt>
              </c:numCache>
            </c:numRef>
          </c:val>
        </c:ser>
        <c:ser>
          <c:idx val="3"/>
          <c:order val="3"/>
          <c:tx>
            <c:strRef>
              <c:f>'Grafer 2009'!$A$146</c:f>
              <c:strCache>
                <c:ptCount val="1"/>
                <c:pt idx="0">
                  <c:v>Transport</c:v>
                </c:pt>
              </c:strCache>
            </c:strRef>
          </c:tx>
          <c:cat>
            <c:numRef>
              <c:f>'Grafer 2009'!$J$142:$K$142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2009'!$J$146:$K$146</c:f>
              <c:numCache>
                <c:formatCode>#,##0</c:formatCode>
                <c:ptCount val="2"/>
                <c:pt idx="0">
                  <c:v>277.19107595702934</c:v>
                </c:pt>
                <c:pt idx="1">
                  <c:v>254.51777999999999</c:v>
                </c:pt>
              </c:numCache>
            </c:numRef>
          </c:val>
        </c:ser>
        <c:ser>
          <c:idx val="4"/>
          <c:order val="4"/>
          <c:tx>
            <c:strRef>
              <c:f>'Grafer 2009'!$A$147</c:f>
              <c:strCache>
                <c:ptCount val="1"/>
                <c:pt idx="0">
                  <c:v>VE-el</c:v>
                </c:pt>
              </c:strCache>
            </c:strRef>
          </c:tx>
          <c:cat>
            <c:numRef>
              <c:f>'Grafer 2009'!$J$142:$K$142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2009'!$J$147:$K$147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'Grafer 2009'!$A$148</c:f>
              <c:strCache>
                <c:ptCount val="1"/>
                <c:pt idx="0">
                  <c:v>El-import</c:v>
                </c:pt>
              </c:strCache>
            </c:strRef>
          </c:tx>
          <c:cat>
            <c:numRef>
              <c:f>'Grafer 2009'!$J$142:$K$142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2009'!$J$148:$K$148</c:f>
              <c:numCache>
                <c:formatCode>#,##0</c:formatCode>
                <c:ptCount val="2"/>
                <c:pt idx="0">
                  <c:v>6.1007829783402618</c:v>
                </c:pt>
                <c:pt idx="1">
                  <c:v>23.303898016872086</c:v>
                </c:pt>
              </c:numCache>
            </c:numRef>
          </c:val>
        </c:ser>
        <c:overlap val="100"/>
        <c:axId val="60271616"/>
        <c:axId val="60281600"/>
      </c:barChart>
      <c:catAx>
        <c:axId val="602716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0281600"/>
        <c:crosses val="autoZero"/>
        <c:auto val="1"/>
        <c:lblAlgn val="ctr"/>
        <c:lblOffset val="100"/>
      </c:catAx>
      <c:valAx>
        <c:axId val="60281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1.000 ton/ 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0271616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4301675977653636"/>
          <c:y val="0.35643564356435642"/>
          <c:w val="0.24441340782122914"/>
          <c:h val="0.2821782178217822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0765550239234448"/>
          <c:y val="3.465346534653465E-2"/>
          <c:w val="0.58133971291866027"/>
          <c:h val="0.85396039603960394"/>
        </c:manualLayout>
      </c:layout>
      <c:barChart>
        <c:barDir val="col"/>
        <c:grouping val="stacked"/>
        <c:ser>
          <c:idx val="0"/>
          <c:order val="0"/>
          <c:tx>
            <c:strRef>
              <c:f>'Grafer 2009'!$A$242</c:f>
              <c:strCache>
                <c:ptCount val="1"/>
                <c:pt idx="0">
                  <c:v>Benzinbiler, små, mm.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2009'!$B$242:$C$242</c:f>
              <c:numCache>
                <c:formatCode>#,##0</c:formatCode>
                <c:ptCount val="2"/>
                <c:pt idx="0">
                  <c:v>1384</c:v>
                </c:pt>
                <c:pt idx="1">
                  <c:v>1264</c:v>
                </c:pt>
              </c:numCache>
            </c:numRef>
          </c:val>
        </c:ser>
        <c:ser>
          <c:idx val="1"/>
          <c:order val="1"/>
          <c:tx>
            <c:strRef>
              <c:f>'Grafer 2009'!$A$243</c:f>
              <c:strCache>
                <c:ptCount val="1"/>
                <c:pt idx="0">
                  <c:v>Dieselbiler, små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2009'!$B$243:$C$243</c:f>
              <c:numCache>
                <c:formatCode>#,##0</c:formatCode>
                <c:ptCount val="2"/>
                <c:pt idx="0">
                  <c:v>330</c:v>
                </c:pt>
                <c:pt idx="1">
                  <c:v>305</c:v>
                </c:pt>
              </c:numCache>
            </c:numRef>
          </c:val>
        </c:ser>
        <c:ser>
          <c:idx val="2"/>
          <c:order val="2"/>
          <c:tx>
            <c:strRef>
              <c:f>'Grafer 2009'!$A$244</c:f>
              <c:strCache>
                <c:ptCount val="1"/>
                <c:pt idx="0">
                  <c:v>Busser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2009'!$B$244:$C$244</c:f>
              <c:numCache>
                <c:formatCode>#,##0</c:formatCode>
                <c:ptCount val="2"/>
                <c:pt idx="0">
                  <c:v>23</c:v>
                </c:pt>
                <c:pt idx="1">
                  <c:v>27</c:v>
                </c:pt>
              </c:numCache>
            </c:numRef>
          </c:val>
        </c:ser>
        <c:ser>
          <c:idx val="3"/>
          <c:order val="3"/>
          <c:tx>
            <c:strRef>
              <c:f>'Grafer 2009'!$A$245</c:f>
              <c:strCache>
                <c:ptCount val="1"/>
                <c:pt idx="0">
                  <c:v>Busser, kollektiv trafik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2009'!$B$245:$C$245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'Grafer 2009'!$A$246</c:f>
              <c:strCache>
                <c:ptCount val="1"/>
                <c:pt idx="0">
                  <c:v>Lastbiler/sættevogne/entreprenørmaskiner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2009'!$B$246:$C$246</c:f>
              <c:numCache>
                <c:formatCode>#,##0</c:formatCode>
                <c:ptCount val="2"/>
                <c:pt idx="0">
                  <c:v>1098</c:v>
                </c:pt>
                <c:pt idx="1">
                  <c:v>980</c:v>
                </c:pt>
              </c:numCache>
            </c:numRef>
          </c:val>
        </c:ser>
        <c:ser>
          <c:idx val="5"/>
          <c:order val="5"/>
          <c:tx>
            <c:strRef>
              <c:f>'Grafer 2009'!$A$247</c:f>
              <c:strCache>
                <c:ptCount val="1"/>
                <c:pt idx="0">
                  <c:v>Traktorer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2009'!$B$247:$C$247</c:f>
              <c:numCache>
                <c:formatCode>#,##0</c:formatCode>
                <c:ptCount val="2"/>
                <c:pt idx="0">
                  <c:v>153.00251238524498</c:v>
                </c:pt>
                <c:pt idx="1">
                  <c:v>160</c:v>
                </c:pt>
              </c:numCache>
            </c:numRef>
          </c:val>
        </c:ser>
        <c:ser>
          <c:idx val="6"/>
          <c:order val="6"/>
          <c:tx>
            <c:strRef>
              <c:f>'Grafer 2009'!$A$248</c:f>
              <c:strCache>
                <c:ptCount val="1"/>
                <c:pt idx="0">
                  <c:v>Tog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2009'!$B$248:$C$248</c:f>
              <c:numCache>
                <c:formatCode>#,##0</c:formatCode>
                <c:ptCount val="2"/>
                <c:pt idx="0">
                  <c:v>53</c:v>
                </c:pt>
                <c:pt idx="1">
                  <c:v>53.2</c:v>
                </c:pt>
              </c:numCache>
            </c:numRef>
          </c:val>
        </c:ser>
        <c:ser>
          <c:idx val="7"/>
          <c:order val="7"/>
          <c:tx>
            <c:strRef>
              <c:f>'Grafer 2009'!$A$249</c:f>
              <c:strCache>
                <c:ptCount val="1"/>
                <c:pt idx="0">
                  <c:v>Fly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2009'!$B$249:$C$249</c:f>
              <c:numCache>
                <c:formatCode>#,##0</c:formatCode>
                <c:ptCount val="2"/>
                <c:pt idx="0">
                  <c:v>684.78319849666354</c:v>
                </c:pt>
                <c:pt idx="1">
                  <c:v>625.79999999999995</c:v>
                </c:pt>
              </c:numCache>
            </c:numRef>
          </c:val>
        </c:ser>
        <c:ser>
          <c:idx val="8"/>
          <c:order val="8"/>
          <c:tx>
            <c:strRef>
              <c:f>'Grafer 2009'!$A$250</c:f>
              <c:strCache>
                <c:ptCount val="1"/>
                <c:pt idx="0">
                  <c:v>Skibe</c:v>
                </c:pt>
              </c:strCache>
            </c:strRef>
          </c:tx>
          <c:cat>
            <c:numRef>
              <c:f>'Grafer 2009'!$B$241:$C$241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2009'!$B$250:$C$250</c:f>
              <c:numCache>
                <c:formatCode>#,##0</c:formatCode>
                <c:ptCount val="2"/>
                <c:pt idx="0">
                  <c:v>58</c:v>
                </c:pt>
                <c:pt idx="1">
                  <c:v>59</c:v>
                </c:pt>
              </c:numCache>
            </c:numRef>
          </c:val>
        </c:ser>
        <c:overlap val="100"/>
        <c:axId val="60529280"/>
        <c:axId val="60547456"/>
      </c:barChart>
      <c:catAx>
        <c:axId val="60529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0547456"/>
        <c:crosses val="autoZero"/>
        <c:auto val="1"/>
        <c:lblAlgn val="ctr"/>
        <c:lblOffset val="100"/>
      </c:catAx>
      <c:valAx>
        <c:axId val="60547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052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73922388865938"/>
          <c:y val="0.2450495049504951"/>
          <c:w val="0.30601811705878201"/>
          <c:h val="0.5074257425742574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13256484149855907"/>
          <c:y val="3.465346534653465E-2"/>
          <c:w val="0.51440922190201555"/>
          <c:h val="0.85396039603960394"/>
        </c:manualLayout>
      </c:layout>
      <c:barChart>
        <c:barDir val="col"/>
        <c:grouping val="stacked"/>
        <c:ser>
          <c:idx val="2"/>
          <c:order val="0"/>
          <c:tx>
            <c:strRef>
              <c:f>'Grafer 2009'!$A$4</c:f>
              <c:strCache>
                <c:ptCount val="1"/>
                <c:pt idx="0">
                  <c:v>Fossile brændsler</c:v>
                </c:pt>
              </c:strCache>
            </c:strRef>
          </c:tx>
          <c:cat>
            <c:numRef>
              <c:f>'Grafer 2009'!$B$2:$C$2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2009'!$B$4:$C$4</c:f>
              <c:numCache>
                <c:formatCode>0</c:formatCode>
                <c:ptCount val="2"/>
                <c:pt idx="0">
                  <c:v>8058.0504252115979</c:v>
                </c:pt>
                <c:pt idx="1">
                  <c:v>6202.279145112976</c:v>
                </c:pt>
              </c:numCache>
            </c:numRef>
          </c:val>
        </c:ser>
        <c:ser>
          <c:idx val="1"/>
          <c:order val="1"/>
          <c:tx>
            <c:strRef>
              <c:f>'Grafer 2009'!$A$3</c:f>
              <c:strCache>
                <c:ptCount val="1"/>
                <c:pt idx="0">
                  <c:v>Vedvarende energi</c:v>
                </c:pt>
              </c:strCache>
            </c:strRef>
          </c:tx>
          <c:cat>
            <c:numRef>
              <c:f>'Grafer 2009'!$B$2:$C$2</c:f>
              <c:numCache>
                <c:formatCode>General</c:formatCode>
                <c:ptCount val="2"/>
                <c:pt idx="0">
                  <c:v>2007</c:v>
                </c:pt>
                <c:pt idx="1">
                  <c:v>2009</c:v>
                </c:pt>
              </c:numCache>
            </c:numRef>
          </c:cat>
          <c:val>
            <c:numRef>
              <c:f>'Grafer 2009'!$B$3:$C$3</c:f>
              <c:numCache>
                <c:formatCode>#,##0</c:formatCode>
                <c:ptCount val="2"/>
                <c:pt idx="0">
                  <c:v>2701.1389531080249</c:v>
                </c:pt>
                <c:pt idx="1">
                  <c:v>4291.3472806624723</c:v>
                </c:pt>
              </c:numCache>
            </c:numRef>
          </c:val>
        </c:ser>
        <c:overlap val="100"/>
        <c:axId val="68088576"/>
        <c:axId val="68090112"/>
      </c:barChart>
      <c:catAx>
        <c:axId val="680885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8090112"/>
        <c:crosses val="autoZero"/>
        <c:auto val="1"/>
        <c:lblAlgn val="ctr"/>
        <c:lblOffset val="100"/>
      </c:catAx>
      <c:valAx>
        <c:axId val="68090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TJ/år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80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04566049355592"/>
          <c:y val="0.38185831969023681"/>
          <c:w val="0.16746682502675947"/>
          <c:h val="0.11517268262259289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200025</xdr:colOff>
      <xdr:row>76</xdr:row>
      <xdr:rowOff>0</xdr:rowOff>
    </xdr:from>
    <xdr:to>
      <xdr:col>38</xdr:col>
      <xdr:colOff>19050</xdr:colOff>
      <xdr:row>76</xdr:row>
      <xdr:rowOff>704850</xdr:rowOff>
    </xdr:to>
    <xdr:grpSp>
      <xdr:nvGrpSpPr>
        <xdr:cNvPr id="1027" name="Gruppe 3"/>
        <xdr:cNvGrpSpPr>
          <a:grpSpLocks/>
        </xdr:cNvGrpSpPr>
      </xdr:nvGrpSpPr>
      <xdr:grpSpPr bwMode="auto">
        <a:xfrm>
          <a:off x="13747937" y="13603941"/>
          <a:ext cx="5780554" cy="704850"/>
          <a:chOff x="12495439" y="13596257"/>
          <a:chExt cx="5783036" cy="704850"/>
        </a:xfrm>
      </xdr:grpSpPr>
      <xdr:pic>
        <xdr:nvPicPr>
          <xdr:cNvPr id="1028" name="Picture 9" descr="RM'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9" name="Billede 0" descr="logo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76</xdr:row>
      <xdr:rowOff>0</xdr:rowOff>
    </xdr:from>
    <xdr:to>
      <xdr:col>38</xdr:col>
      <xdr:colOff>28575</xdr:colOff>
      <xdr:row>76</xdr:row>
      <xdr:rowOff>704850</xdr:rowOff>
    </xdr:to>
    <xdr:grpSp>
      <xdr:nvGrpSpPr>
        <xdr:cNvPr id="2049" name="Gruppe 3"/>
        <xdr:cNvGrpSpPr>
          <a:grpSpLocks/>
        </xdr:cNvGrpSpPr>
      </xdr:nvGrpSpPr>
      <xdr:grpSpPr bwMode="auto">
        <a:xfrm>
          <a:off x="13735050" y="13858875"/>
          <a:ext cx="5781675" cy="704850"/>
          <a:chOff x="12495439" y="13596257"/>
          <a:chExt cx="5783036" cy="704850"/>
        </a:xfrm>
      </xdr:grpSpPr>
      <xdr:pic>
        <xdr:nvPicPr>
          <xdr:cNvPr id="2050" name="Picture 9" descr="RM'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95439" y="13596257"/>
            <a:ext cx="5783036" cy="704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51" name="Billede 0" descr="logo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928146" y="13824857"/>
            <a:ext cx="17907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57</xdr:row>
      <xdr:rowOff>9525</xdr:rowOff>
    </xdr:from>
    <xdr:to>
      <xdr:col>5</xdr:col>
      <xdr:colOff>514350</xdr:colOff>
      <xdr:row>80</xdr:row>
      <xdr:rowOff>133350</xdr:rowOff>
    </xdr:to>
    <xdr:graphicFrame macro="">
      <xdr:nvGraphicFramePr>
        <xdr:cNvPr id="3073" name="Diagra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84</xdr:row>
      <xdr:rowOff>123825</xdr:rowOff>
    </xdr:from>
    <xdr:to>
      <xdr:col>5</xdr:col>
      <xdr:colOff>457200</xdr:colOff>
      <xdr:row>108</xdr:row>
      <xdr:rowOff>85725</xdr:rowOff>
    </xdr:to>
    <xdr:graphicFrame macro="">
      <xdr:nvGraphicFramePr>
        <xdr:cNvPr id="3074" name="Diagra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112</xdr:row>
      <xdr:rowOff>142875</xdr:rowOff>
    </xdr:from>
    <xdr:to>
      <xdr:col>5</xdr:col>
      <xdr:colOff>400050</xdr:colOff>
      <xdr:row>136</xdr:row>
      <xdr:rowOff>104775</xdr:rowOff>
    </xdr:to>
    <xdr:graphicFrame macro="">
      <xdr:nvGraphicFramePr>
        <xdr:cNvPr id="3075" name="Diagram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153</xdr:row>
      <xdr:rowOff>142875</xdr:rowOff>
    </xdr:from>
    <xdr:to>
      <xdr:col>5</xdr:col>
      <xdr:colOff>457200</xdr:colOff>
      <xdr:row>177</xdr:row>
      <xdr:rowOff>104775</xdr:rowOff>
    </xdr:to>
    <xdr:graphicFrame macro="">
      <xdr:nvGraphicFramePr>
        <xdr:cNvPr id="3076" name="Diagram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184</xdr:row>
      <xdr:rowOff>142875</xdr:rowOff>
    </xdr:from>
    <xdr:to>
      <xdr:col>5</xdr:col>
      <xdr:colOff>447675</xdr:colOff>
      <xdr:row>208</xdr:row>
      <xdr:rowOff>104775</xdr:rowOff>
    </xdr:to>
    <xdr:graphicFrame macro="">
      <xdr:nvGraphicFramePr>
        <xdr:cNvPr id="3077" name="Diagram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213</xdr:row>
      <xdr:rowOff>28575</xdr:rowOff>
    </xdr:from>
    <xdr:to>
      <xdr:col>5</xdr:col>
      <xdr:colOff>495300</xdr:colOff>
      <xdr:row>236</xdr:row>
      <xdr:rowOff>152400</xdr:rowOff>
    </xdr:to>
    <xdr:graphicFrame macro="">
      <xdr:nvGraphicFramePr>
        <xdr:cNvPr id="3078" name="Diagram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252</xdr:row>
      <xdr:rowOff>0</xdr:rowOff>
    </xdr:from>
    <xdr:to>
      <xdr:col>6</xdr:col>
      <xdr:colOff>38100</xdr:colOff>
      <xdr:row>275</xdr:row>
      <xdr:rowOff>123825</xdr:rowOff>
    </xdr:to>
    <xdr:graphicFrame macro="">
      <xdr:nvGraphicFramePr>
        <xdr:cNvPr id="3079" name="Diagram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142875</xdr:colOff>
      <xdr:row>9</xdr:row>
      <xdr:rowOff>47625</xdr:rowOff>
    </xdr:from>
    <xdr:to>
      <xdr:col>5</xdr:col>
      <xdr:colOff>504825</xdr:colOff>
      <xdr:row>33</xdr:row>
      <xdr:rowOff>9525</xdr:rowOff>
    </xdr:to>
    <xdr:graphicFrame macro="">
      <xdr:nvGraphicFramePr>
        <xdr:cNvPr id="3080" name="Diagra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6"/>
  <sheetViews>
    <sheetView showZeros="0" tabSelected="1" topLeftCell="A64" zoomScale="73" zoomScaleNormal="73" workbookViewId="0">
      <selection activeCell="Q84" sqref="Q84"/>
    </sheetView>
    <sheetView showZeros="0" tabSelected="1" topLeftCell="A31" zoomScale="85" zoomScaleNormal="85" workbookViewId="1">
      <selection activeCell="AQ75" sqref="AQ75"/>
    </sheetView>
  </sheetViews>
  <sheetFormatPr defaultRowHeight="12.75"/>
  <cols>
    <col min="1" max="1" width="10.140625" bestFit="1" customWidth="1"/>
    <col min="2" max="2" width="5.7109375" style="6" customWidth="1"/>
    <col min="3" max="3" width="8.5703125" customWidth="1"/>
    <col min="4" max="4" width="7.140625" customWidth="1"/>
    <col min="5" max="5" width="5.7109375" customWidth="1"/>
    <col min="6" max="6" width="8.42578125" customWidth="1"/>
    <col min="7" max="7" width="6.140625" style="6" customWidth="1"/>
    <col min="8" max="8" width="8.140625" customWidth="1"/>
    <col min="9" max="9" width="7" bestFit="1" customWidth="1"/>
    <col min="10" max="12" width="7" customWidth="1"/>
    <col min="13" max="13" width="6.85546875" customWidth="1"/>
    <col min="14" max="19" width="5.7109375" customWidth="1"/>
    <col min="20" max="20" width="6.5703125" customWidth="1"/>
    <col min="21" max="21" width="5.7109375" customWidth="1"/>
    <col min="22" max="22" width="6.42578125" bestFit="1" customWidth="1"/>
    <col min="23" max="23" width="7.42578125" customWidth="1"/>
    <col min="24" max="24" width="6.140625" customWidth="1"/>
    <col min="25" max="28" width="5.7109375" customWidth="1"/>
    <col min="29" max="29" width="5.7109375" style="6" customWidth="1"/>
    <col min="30" max="30" width="5.7109375" customWidth="1"/>
    <col min="31" max="31" width="7.140625" customWidth="1"/>
    <col min="32" max="32" width="8.7109375" customWidth="1"/>
    <col min="33" max="33" width="52.140625" bestFit="1" customWidth="1"/>
    <col min="34" max="38" width="5.7109375" customWidth="1"/>
    <col min="40" max="40" width="6.42578125" customWidth="1"/>
    <col min="41" max="41" width="8.140625" bestFit="1" customWidth="1"/>
    <col min="42" max="42" width="6.85546875" customWidth="1"/>
    <col min="43" max="43" width="7.5703125" customWidth="1"/>
    <col min="44" max="44" width="6.5703125" customWidth="1"/>
    <col min="45" max="45" width="7.28515625" bestFit="1" customWidth="1"/>
    <col min="46" max="46" width="5.7109375" hidden="1" customWidth="1"/>
    <col min="47" max="51" width="5.7109375" customWidth="1"/>
    <col min="52" max="52" width="6.42578125" style="6" bestFit="1" customWidth="1"/>
    <col min="53" max="54" width="5.7109375" customWidth="1"/>
    <col min="55" max="55" width="7.28515625" bestFit="1" customWidth="1"/>
  </cols>
  <sheetData>
    <row r="1" spans="1:56" s="6" customFormat="1">
      <c r="A1" s="8" t="s">
        <v>0</v>
      </c>
      <c r="B1" s="9"/>
      <c r="C1" s="9" t="s">
        <v>102</v>
      </c>
      <c r="D1" s="9"/>
      <c r="E1" s="9"/>
      <c r="F1" s="8" t="s">
        <v>4</v>
      </c>
      <c r="G1" s="9"/>
      <c r="H1" s="9"/>
      <c r="I1" s="9"/>
      <c r="J1" s="9"/>
      <c r="K1" s="9"/>
      <c r="L1" s="9"/>
      <c r="M1" s="121">
        <v>94221</v>
      </c>
      <c r="N1" s="12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6" s="6" customFormat="1">
      <c r="A2" s="11" t="s">
        <v>1</v>
      </c>
      <c r="B2" s="12"/>
      <c r="C2" s="12">
        <v>2009</v>
      </c>
      <c r="D2" s="12"/>
      <c r="E2" s="12"/>
      <c r="F2" s="11" t="s">
        <v>58</v>
      </c>
      <c r="G2" s="12"/>
      <c r="H2" s="12"/>
      <c r="I2" s="12"/>
      <c r="J2" s="12"/>
      <c r="K2" s="12"/>
      <c r="L2" s="12"/>
      <c r="M2" s="12"/>
      <c r="N2" s="13">
        <v>92.88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6" s="6" customFormat="1" ht="13.5" thickBot="1">
      <c r="A3" s="14" t="s">
        <v>166</v>
      </c>
      <c r="B3" s="15"/>
      <c r="C3" s="15" t="s">
        <v>2</v>
      </c>
      <c r="D3" s="15" t="s">
        <v>3</v>
      </c>
      <c r="E3" s="15"/>
      <c r="F3" s="86"/>
      <c r="G3" s="15"/>
      <c r="H3" s="15"/>
      <c r="I3" s="15"/>
      <c r="J3" s="15"/>
      <c r="K3" s="15"/>
      <c r="L3" s="15"/>
      <c r="M3" s="15"/>
      <c r="N3" s="1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6" ht="18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6"/>
    </row>
    <row r="5" spans="1:56" ht="13.5" thickBot="1">
      <c r="A5" s="17"/>
      <c r="B5" s="18"/>
      <c r="C5" s="19"/>
      <c r="D5" s="19"/>
      <c r="E5" s="19"/>
      <c r="F5" s="19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 t="s">
        <v>103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1"/>
    </row>
    <row r="6" spans="1:56" ht="13.5" thickBot="1">
      <c r="A6" s="17" t="s">
        <v>5</v>
      </c>
      <c r="B6" s="18"/>
      <c r="C6" s="19"/>
      <c r="D6" s="19"/>
      <c r="E6" s="19"/>
      <c r="F6" s="19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 t="s">
        <v>20</v>
      </c>
      <c r="AH6" s="19" t="s">
        <v>22</v>
      </c>
      <c r="AI6" s="19"/>
      <c r="AJ6" s="19"/>
      <c r="AK6" s="19"/>
      <c r="AL6" s="19"/>
      <c r="AM6" s="17" t="s">
        <v>23</v>
      </c>
      <c r="AN6" s="21"/>
      <c r="AO6" s="17" t="s">
        <v>24</v>
      </c>
      <c r="AP6" s="21"/>
      <c r="AQ6" s="123" t="s">
        <v>25</v>
      </c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1"/>
    </row>
    <row r="7" spans="1:56" s="1" customFormat="1" ht="132" customHeight="1" thickBot="1">
      <c r="A7" s="22" t="s">
        <v>96</v>
      </c>
      <c r="B7" s="23" t="s">
        <v>6</v>
      </c>
      <c r="C7" s="24" t="s">
        <v>7</v>
      </c>
      <c r="D7" s="24" t="s">
        <v>8</v>
      </c>
      <c r="E7" s="23" t="s">
        <v>9</v>
      </c>
      <c r="F7" s="24" t="s">
        <v>10</v>
      </c>
      <c r="G7" s="23" t="s">
        <v>95</v>
      </c>
      <c r="H7" s="24" t="s">
        <v>11</v>
      </c>
      <c r="I7" s="24" t="s">
        <v>12</v>
      </c>
      <c r="J7" s="24" t="s">
        <v>110</v>
      </c>
      <c r="K7" s="24" t="s">
        <v>111</v>
      </c>
      <c r="L7" s="24" t="s">
        <v>112</v>
      </c>
      <c r="M7" s="23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3" t="s">
        <v>117</v>
      </c>
      <c r="S7" s="24" t="s">
        <v>93</v>
      </c>
      <c r="T7" s="23" t="s">
        <v>107</v>
      </c>
      <c r="U7" s="23" t="s">
        <v>106</v>
      </c>
      <c r="V7" s="24" t="s">
        <v>18</v>
      </c>
      <c r="W7" s="23" t="s">
        <v>114</v>
      </c>
      <c r="X7" s="23" t="s">
        <v>97</v>
      </c>
      <c r="Y7" s="23" t="s">
        <v>115</v>
      </c>
      <c r="Z7" s="23" t="s">
        <v>116</v>
      </c>
      <c r="AA7" s="24" t="s">
        <v>113</v>
      </c>
      <c r="AB7" s="106" t="s">
        <v>146</v>
      </c>
      <c r="AC7" s="24" t="s">
        <v>92</v>
      </c>
      <c r="AD7" s="24" t="s">
        <v>94</v>
      </c>
      <c r="AE7" s="24" t="s">
        <v>118</v>
      </c>
      <c r="AF7" s="25" t="s">
        <v>91</v>
      </c>
      <c r="AG7" s="26" t="s">
        <v>21</v>
      </c>
      <c r="AH7" s="27" t="s">
        <v>161</v>
      </c>
      <c r="AI7" s="24" t="s">
        <v>162</v>
      </c>
      <c r="AJ7" s="24" t="s">
        <v>163</v>
      </c>
      <c r="AK7" s="24" t="s">
        <v>23</v>
      </c>
      <c r="AL7" s="25" t="s">
        <v>24</v>
      </c>
      <c r="AM7" s="27" t="s">
        <v>164</v>
      </c>
      <c r="AN7" s="25" t="s">
        <v>165</v>
      </c>
      <c r="AO7" s="27" t="s">
        <v>164</v>
      </c>
      <c r="AP7" s="25" t="s">
        <v>165</v>
      </c>
      <c r="AQ7" s="124" t="s">
        <v>26</v>
      </c>
      <c r="AR7" s="24" t="s">
        <v>27</v>
      </c>
      <c r="AS7" s="24" t="s">
        <v>28</v>
      </c>
      <c r="AT7" s="24"/>
      <c r="AU7" s="24" t="s">
        <v>30</v>
      </c>
      <c r="AV7" s="24" t="s">
        <v>31</v>
      </c>
      <c r="AW7" s="24" t="s">
        <v>32</v>
      </c>
      <c r="AX7" s="24" t="s">
        <v>33</v>
      </c>
      <c r="AY7" s="24" t="s">
        <v>34</v>
      </c>
      <c r="AZ7" s="24" t="s">
        <v>35</v>
      </c>
      <c r="BA7" s="28" t="s">
        <v>36</v>
      </c>
      <c r="BB7" s="28" t="s">
        <v>37</v>
      </c>
      <c r="BC7" s="25" t="s">
        <v>29</v>
      </c>
    </row>
    <row r="8" spans="1:56" s="6" customFormat="1">
      <c r="A8" s="34"/>
      <c r="B8" s="81">
        <v>41.9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>
        <f t="shared" ref="AF8:AF51" si="0">SUM(A8:AE8)</f>
        <v>41.9</v>
      </c>
      <c r="AG8" s="37" t="s">
        <v>108</v>
      </c>
      <c r="AH8" s="38"/>
      <c r="AI8" s="39"/>
      <c r="AJ8" s="39">
        <v>38</v>
      </c>
      <c r="AK8" s="39"/>
      <c r="AL8" s="40"/>
      <c r="AM8" s="38"/>
      <c r="AN8" s="40"/>
      <c r="AO8" s="38"/>
      <c r="AP8" s="40"/>
      <c r="AQ8" s="125">
        <f t="shared" ref="AQ8:AQ14" si="1">SUM(AR8:BC8,-AT8)</f>
        <v>15.922000000000001</v>
      </c>
      <c r="AR8" s="39"/>
      <c r="AS8" s="39"/>
      <c r="AT8" s="39"/>
      <c r="AU8" s="39">
        <f>AF8*AJ8/100*0.2</f>
        <v>3.1844000000000001</v>
      </c>
      <c r="AV8" s="39"/>
      <c r="AW8" s="39"/>
      <c r="AX8" s="39"/>
      <c r="AY8" s="39"/>
      <c r="AZ8" s="39">
        <f>AF8*AJ8/100*0.6</f>
        <v>9.5532000000000004</v>
      </c>
      <c r="BA8" s="39"/>
      <c r="BB8" s="39"/>
      <c r="BC8" s="40">
        <f>AF8*AJ8/100*0.2</f>
        <v>3.1844000000000001</v>
      </c>
    </row>
    <row r="9" spans="1:56" s="6" customForma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>
        <f t="shared" si="0"/>
        <v>0</v>
      </c>
      <c r="AG9" s="44" t="s">
        <v>38</v>
      </c>
      <c r="AH9" s="41"/>
      <c r="AI9" s="42">
        <v>44</v>
      </c>
      <c r="AJ9" s="42"/>
      <c r="AK9" s="42"/>
      <c r="AL9" s="43"/>
      <c r="AM9" s="41">
        <f t="shared" ref="AM9:AM15" si="2">-AN9/$N$2%</f>
        <v>-88.33489938141102</v>
      </c>
      <c r="AN9" s="43">
        <f>AQ9/AI9%</f>
        <v>82.045454545454547</v>
      </c>
      <c r="AO9" s="41"/>
      <c r="AP9" s="43"/>
      <c r="AQ9" s="126">
        <f t="shared" si="1"/>
        <v>36.1</v>
      </c>
      <c r="AR9" s="42"/>
      <c r="AS9" s="42"/>
      <c r="AT9" s="42"/>
      <c r="AU9" s="42">
        <v>36.1</v>
      </c>
      <c r="AV9" s="42"/>
      <c r="AW9" s="42"/>
      <c r="AX9" s="42"/>
      <c r="AY9" s="42"/>
      <c r="AZ9" s="42"/>
      <c r="BA9" s="42"/>
      <c r="BB9" s="42"/>
      <c r="BC9" s="43"/>
    </row>
    <row r="10" spans="1:56" s="6" customForma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>
        <f t="shared" si="0"/>
        <v>0</v>
      </c>
      <c r="AG10" s="44" t="s">
        <v>39</v>
      </c>
      <c r="AH10" s="41"/>
      <c r="AI10" s="42"/>
      <c r="AJ10" s="42">
        <v>90</v>
      </c>
      <c r="AK10" s="42"/>
      <c r="AL10" s="43"/>
      <c r="AM10" s="41">
        <f t="shared" si="2"/>
        <v>-8.3740070820174175</v>
      </c>
      <c r="AN10" s="43">
        <f>AQ10/AJ10%</f>
        <v>7.7777777777777777</v>
      </c>
      <c r="AO10" s="41"/>
      <c r="AP10" s="43"/>
      <c r="AQ10" s="126">
        <f t="shared" si="1"/>
        <v>7</v>
      </c>
      <c r="AR10" s="42">
        <v>7</v>
      </c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3"/>
    </row>
    <row r="11" spans="1:56" s="6" customForma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>
        <f t="shared" si="0"/>
        <v>0</v>
      </c>
      <c r="AG11" s="44" t="s">
        <v>40</v>
      </c>
      <c r="AH11" s="41"/>
      <c r="AI11" s="42"/>
      <c r="AJ11" s="42">
        <v>100</v>
      </c>
      <c r="AK11" s="42"/>
      <c r="AL11" s="43"/>
      <c r="AM11" s="41">
        <f t="shared" si="2"/>
        <v>-35.637381567614128</v>
      </c>
      <c r="AN11" s="43">
        <f>AQ11/AJ11%</f>
        <v>33.1</v>
      </c>
      <c r="AO11" s="41"/>
      <c r="AP11" s="43"/>
      <c r="AQ11" s="126">
        <f t="shared" si="1"/>
        <v>33.1</v>
      </c>
      <c r="AR11" s="42"/>
      <c r="AS11" s="42">
        <v>33.1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3"/>
    </row>
    <row r="12" spans="1:56" s="6" customForma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>
        <f t="shared" si="0"/>
        <v>0</v>
      </c>
      <c r="AG12" s="44" t="s">
        <v>66</v>
      </c>
      <c r="AH12" s="41"/>
      <c r="AI12" s="42">
        <v>50</v>
      </c>
      <c r="AJ12" s="42"/>
      <c r="AK12" s="42"/>
      <c r="AL12" s="43"/>
      <c r="AM12" s="41">
        <f t="shared" si="2"/>
        <v>-277.77777777777777</v>
      </c>
      <c r="AN12" s="43">
        <f>AQ12/AI12%</f>
        <v>258</v>
      </c>
      <c r="AO12" s="41"/>
      <c r="AP12" s="43"/>
      <c r="AQ12" s="126">
        <f t="shared" si="1"/>
        <v>129</v>
      </c>
      <c r="AR12" s="42"/>
      <c r="AS12" s="42"/>
      <c r="AT12" s="42"/>
      <c r="AU12" s="42">
        <v>41</v>
      </c>
      <c r="AV12" s="42">
        <v>28.9</v>
      </c>
      <c r="AW12" s="42">
        <v>13.5</v>
      </c>
      <c r="AX12" s="42">
        <v>22.4</v>
      </c>
      <c r="AY12" s="42">
        <v>0.4</v>
      </c>
      <c r="AZ12" s="42">
        <v>13.2</v>
      </c>
      <c r="BA12" s="42">
        <v>0.1</v>
      </c>
      <c r="BB12" s="42">
        <v>9.5</v>
      </c>
      <c r="BC12" s="43"/>
    </row>
    <row r="13" spans="1:56" s="6" customForma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>
        <f t="shared" si="0"/>
        <v>0</v>
      </c>
      <c r="AG13" s="44" t="s">
        <v>67</v>
      </c>
      <c r="AH13" s="41"/>
      <c r="AI13" s="42">
        <v>150</v>
      </c>
      <c r="AJ13" s="42"/>
      <c r="AK13" s="42"/>
      <c r="AL13" s="43"/>
      <c r="AM13" s="41">
        <f t="shared" si="2"/>
        <v>-233.99368360608673</v>
      </c>
      <c r="AN13" s="43">
        <f>AQ13/AI13%</f>
        <v>217.33333333333334</v>
      </c>
      <c r="AO13" s="41"/>
      <c r="AP13" s="43"/>
      <c r="AQ13" s="126">
        <f t="shared" si="1"/>
        <v>326</v>
      </c>
      <c r="AR13" s="42"/>
      <c r="AS13" s="42"/>
      <c r="AT13" s="42"/>
      <c r="AU13" s="42">
        <v>145.19999999999999</v>
      </c>
      <c r="AV13" s="42">
        <v>0</v>
      </c>
      <c r="AW13" s="42">
        <v>45.5</v>
      </c>
      <c r="AX13" s="42">
        <v>75.2</v>
      </c>
      <c r="AY13" s="42">
        <v>1.6</v>
      </c>
      <c r="AZ13" s="42">
        <v>52.7</v>
      </c>
      <c r="BA13" s="42">
        <v>0.1</v>
      </c>
      <c r="BB13" s="42">
        <v>5.7</v>
      </c>
      <c r="BC13" s="43"/>
    </row>
    <row r="14" spans="1:56" s="6" customForma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>
        <f t="shared" si="0"/>
        <v>0</v>
      </c>
      <c r="AG14" s="44" t="s">
        <v>68</v>
      </c>
      <c r="AH14" s="41"/>
      <c r="AI14" s="42">
        <v>85</v>
      </c>
      <c r="AJ14" s="42"/>
      <c r="AK14" s="42"/>
      <c r="AL14" s="43"/>
      <c r="AM14" s="41">
        <f t="shared" si="2"/>
        <v>-1135.1775852459848</v>
      </c>
      <c r="AN14" s="43">
        <f>AQ14/AI14%</f>
        <v>1054.3529411764707</v>
      </c>
      <c r="AO14" s="41"/>
      <c r="AP14" s="43"/>
      <c r="AQ14" s="126">
        <f t="shared" si="1"/>
        <v>896.2</v>
      </c>
      <c r="AR14" s="42"/>
      <c r="AS14" s="42"/>
      <c r="AT14" s="42"/>
      <c r="AU14" s="42">
        <v>228</v>
      </c>
      <c r="AV14" s="42">
        <v>133</v>
      </c>
      <c r="AW14" s="42">
        <v>43.3</v>
      </c>
      <c r="AX14" s="42">
        <v>71.599999999999994</v>
      </c>
      <c r="AY14" s="42">
        <v>9.5</v>
      </c>
      <c r="AZ14" s="42">
        <v>321.3</v>
      </c>
      <c r="BA14" s="42">
        <v>1.1000000000000001</v>
      </c>
      <c r="BB14" s="42">
        <v>88.4</v>
      </c>
      <c r="BC14" s="43"/>
    </row>
    <row r="15" spans="1:56" s="6" customForma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f>AQ15-AN15</f>
        <v>1.38</v>
      </c>
      <c r="AE15" s="42"/>
      <c r="AF15" s="43">
        <f t="shared" si="0"/>
        <v>1.38</v>
      </c>
      <c r="AG15" s="44" t="s">
        <v>42</v>
      </c>
      <c r="AH15" s="41"/>
      <c r="AI15" s="42"/>
      <c r="AJ15" s="42">
        <v>250</v>
      </c>
      <c r="AK15" s="42"/>
      <c r="AL15" s="43"/>
      <c r="AM15" s="41">
        <f t="shared" si="2"/>
        <v>-0.99052540913006026</v>
      </c>
      <c r="AN15" s="43">
        <f>AQ15/AJ15%</f>
        <v>0.91999999999999993</v>
      </c>
      <c r="AO15" s="41"/>
      <c r="AP15" s="43"/>
      <c r="AQ15" s="126">
        <v>2.2999999999999998</v>
      </c>
      <c r="AR15" s="42">
        <f>AQ15*17.5%</f>
        <v>0.40249999999999997</v>
      </c>
      <c r="AS15" s="42">
        <f>AQ15*82.5%</f>
        <v>1.8974999999999997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3"/>
    </row>
    <row r="16" spans="1:56" s="6" customFormat="1">
      <c r="A16" s="6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>
        <v>2.2999999999999998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71">
        <f t="shared" si="0"/>
        <v>2.2999999999999998</v>
      </c>
      <c r="AG16" s="44" t="s">
        <v>41</v>
      </c>
      <c r="AH16" s="69"/>
      <c r="AI16" s="70"/>
      <c r="AJ16" s="70">
        <v>100</v>
      </c>
      <c r="AK16" s="70"/>
      <c r="AL16" s="71"/>
      <c r="AM16" s="69"/>
      <c r="AN16" s="71"/>
      <c r="AO16" s="69"/>
      <c r="AP16" s="71"/>
      <c r="AQ16" s="126">
        <f t="shared" ref="AQ16:AQ22" si="3">SUM(AR16:BC16,-AT16)</f>
        <v>2.2999999999999998</v>
      </c>
      <c r="AR16" s="42">
        <f>AF16*80%</f>
        <v>1.8399999999999999</v>
      </c>
      <c r="AS16" s="42">
        <f>AF16-AR16</f>
        <v>0.45999999999999996</v>
      </c>
      <c r="AT16" s="42"/>
      <c r="AU16" s="42"/>
      <c r="AV16" s="42"/>
      <c r="AW16" s="42"/>
      <c r="AX16" s="42"/>
      <c r="AY16" s="42"/>
      <c r="AZ16" s="42"/>
      <c r="BA16" s="42"/>
      <c r="BB16" s="42"/>
      <c r="BC16" s="43"/>
      <c r="BD16"/>
    </row>
    <row r="17" spans="1:56" s="6" customFormat="1">
      <c r="A17" s="69">
        <f>AH17%*AM17</f>
        <v>191.48642577544851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71">
        <f t="shared" si="0"/>
        <v>191.48642577544851</v>
      </c>
      <c r="AG17" s="44" t="s">
        <v>96</v>
      </c>
      <c r="AH17" s="69">
        <v>100</v>
      </c>
      <c r="AI17" s="70"/>
      <c r="AJ17" s="70"/>
      <c r="AK17" s="70"/>
      <c r="AL17" s="71"/>
      <c r="AM17" s="69">
        <f>-SUM(AM18:AM71,AM8:AM16)</f>
        <v>191.48642577544851</v>
      </c>
      <c r="AN17" s="71"/>
      <c r="AO17" s="69"/>
      <c r="AP17" s="71"/>
      <c r="AQ17" s="126">
        <f t="shared" si="3"/>
        <v>0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  <c r="BD17"/>
    </row>
    <row r="18" spans="1:56" s="6" customFormat="1">
      <c r="A18" s="69"/>
      <c r="B18" s="42"/>
      <c r="C18" s="42"/>
      <c r="D18" s="42"/>
      <c r="E18" s="42">
        <v>561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71">
        <f t="shared" si="0"/>
        <v>561</v>
      </c>
      <c r="AG18" s="44" t="s">
        <v>104</v>
      </c>
      <c r="AH18" s="69"/>
      <c r="AI18" s="70"/>
      <c r="AJ18" s="70">
        <v>75</v>
      </c>
      <c r="AK18" s="70"/>
      <c r="AL18" s="71"/>
      <c r="AM18" s="69"/>
      <c r="AN18" s="71"/>
      <c r="AO18" s="69"/>
      <c r="AP18" s="71"/>
      <c r="AQ18" s="126">
        <f t="shared" si="3"/>
        <v>420.75</v>
      </c>
      <c r="AR18" s="42">
        <f>AF18*AJ18/100*17.5%</f>
        <v>73.631249999999994</v>
      </c>
      <c r="AS18" s="42">
        <f>AF18*AJ18/100-AR18</f>
        <v>347.11874999999998</v>
      </c>
      <c r="AT18" s="42"/>
      <c r="AU18" s="42"/>
      <c r="AV18" s="42"/>
      <c r="AW18" s="42"/>
      <c r="AX18" s="42"/>
      <c r="AY18" s="42"/>
      <c r="AZ18" s="42"/>
      <c r="BA18" s="70"/>
      <c r="BB18" s="70"/>
      <c r="BC18" s="71"/>
      <c r="BD18"/>
    </row>
    <row r="19" spans="1:56" s="6" customFormat="1">
      <c r="A19" s="69"/>
      <c r="B19" s="42"/>
      <c r="C19" s="42"/>
      <c r="D19" s="42"/>
      <c r="E19" s="42">
        <v>27.7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71">
        <f t="shared" si="0"/>
        <v>27.7</v>
      </c>
      <c r="AG19" s="44" t="s">
        <v>90</v>
      </c>
      <c r="AH19" s="69"/>
      <c r="AI19" s="70">
        <v>90</v>
      </c>
      <c r="AJ19" s="70">
        <v>90</v>
      </c>
      <c r="AK19" s="70"/>
      <c r="AL19" s="71"/>
      <c r="AM19" s="69"/>
      <c r="AN19" s="71"/>
      <c r="AO19" s="69"/>
      <c r="AP19" s="71"/>
      <c r="AQ19" s="126">
        <f t="shared" si="3"/>
        <v>24.93</v>
      </c>
      <c r="AR19" s="42">
        <f>(AF19*AJ19/100*17.5%)*11.5%</f>
        <v>0.50171624999999997</v>
      </c>
      <c r="AS19" s="42">
        <f>(AF19*AJ19/100)*11.5%-AR19</f>
        <v>2.3652337500000002</v>
      </c>
      <c r="AT19" s="42"/>
      <c r="AU19" s="42"/>
      <c r="AV19" s="42"/>
      <c r="AW19" s="42"/>
      <c r="AX19" s="42"/>
      <c r="AY19" s="42"/>
      <c r="AZ19" s="42">
        <f>AF19*AI19/100*88.5%</f>
        <v>22.06305</v>
      </c>
      <c r="BA19" s="70"/>
      <c r="BB19" s="70"/>
      <c r="BC19" s="71"/>
      <c r="BD19"/>
    </row>
    <row r="20" spans="1:56" s="6" customFormat="1">
      <c r="A20" s="41"/>
      <c r="B20" s="42"/>
      <c r="C20" s="42"/>
      <c r="D20" s="42"/>
      <c r="E20" s="42"/>
      <c r="F20" s="42"/>
      <c r="G20" s="42"/>
      <c r="H20" s="42"/>
      <c r="I20" s="42">
        <v>366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>
        <f t="shared" si="0"/>
        <v>366</v>
      </c>
      <c r="AG20" s="44" t="s">
        <v>87</v>
      </c>
      <c r="AH20" s="41"/>
      <c r="AI20" s="42"/>
      <c r="AJ20" s="42">
        <v>80</v>
      </c>
      <c r="AK20" s="42"/>
      <c r="AL20" s="43"/>
      <c r="AM20" s="41"/>
      <c r="AN20" s="43"/>
      <c r="AO20" s="41"/>
      <c r="AP20" s="43"/>
      <c r="AQ20" s="126">
        <f t="shared" si="3"/>
        <v>292.8</v>
      </c>
      <c r="AR20" s="42">
        <f>AF20*AJ20/100*17.5%</f>
        <v>51.24</v>
      </c>
      <c r="AS20" s="42">
        <f>AF20*AJ20/100-AR20</f>
        <v>241.56</v>
      </c>
      <c r="AT20" s="42"/>
      <c r="AU20" s="42"/>
      <c r="AV20" s="42"/>
      <c r="AW20" s="42"/>
      <c r="AX20" s="42"/>
      <c r="AY20" s="42"/>
      <c r="AZ20" s="42"/>
      <c r="BA20" s="42"/>
      <c r="BB20" s="42"/>
      <c r="BC20" s="43"/>
    </row>
    <row r="21" spans="1:56" s="6" customForma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>
        <f t="shared" si="0"/>
        <v>0</v>
      </c>
      <c r="AG21" s="44" t="s">
        <v>101</v>
      </c>
      <c r="AH21" s="41"/>
      <c r="AI21" s="42"/>
      <c r="AJ21" s="42">
        <v>90</v>
      </c>
      <c r="AK21" s="42"/>
      <c r="AL21" s="43"/>
      <c r="AM21" s="41"/>
      <c r="AN21" s="43"/>
      <c r="AO21" s="41"/>
      <c r="AP21" s="43"/>
      <c r="AQ21" s="126">
        <f t="shared" si="3"/>
        <v>0</v>
      </c>
      <c r="AR21" s="42">
        <f>AF21*AJ21/100*17.5%</f>
        <v>0</v>
      </c>
      <c r="AS21" s="42">
        <f>AF21*AJ21/100-AR21</f>
        <v>0</v>
      </c>
      <c r="AT21" s="42"/>
      <c r="AU21" s="42"/>
      <c r="AV21" s="42"/>
      <c r="AW21" s="42"/>
      <c r="AX21" s="42"/>
      <c r="AY21" s="42"/>
      <c r="AZ21" s="42"/>
      <c r="BA21" s="42"/>
      <c r="BB21" s="42"/>
      <c r="BC21" s="43"/>
    </row>
    <row r="22" spans="1:56" s="6" customFormat="1">
      <c r="A22" s="41"/>
      <c r="B22" s="42"/>
      <c r="C22" s="42"/>
      <c r="D22" s="42"/>
      <c r="E22" s="42"/>
      <c r="F22" s="42"/>
      <c r="G22" s="42"/>
      <c r="H22" s="42"/>
      <c r="I22" s="42">
        <v>216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>
        <f t="shared" si="0"/>
        <v>216</v>
      </c>
      <c r="AG22" s="44" t="s">
        <v>89</v>
      </c>
      <c r="AH22" s="41"/>
      <c r="AI22" s="42">
        <v>90</v>
      </c>
      <c r="AJ22" s="42">
        <v>90</v>
      </c>
      <c r="AK22" s="42"/>
      <c r="AL22" s="43"/>
      <c r="AM22" s="41"/>
      <c r="AN22" s="43"/>
      <c r="AO22" s="41"/>
      <c r="AP22" s="43"/>
      <c r="AQ22" s="126">
        <f t="shared" si="3"/>
        <v>194.4</v>
      </c>
      <c r="AR22" s="42">
        <f>(AF22*AJ22/100*17.5%)*11.5%</f>
        <v>3.9122999999999997</v>
      </c>
      <c r="AS22" s="42">
        <f>(AF22*AJ22/100)*11.5%-AR22</f>
        <v>18.443700000000003</v>
      </c>
      <c r="AT22" s="42"/>
      <c r="AU22" s="42"/>
      <c r="AV22" s="42"/>
      <c r="AW22" s="42"/>
      <c r="AX22" s="42"/>
      <c r="AY22" s="42"/>
      <c r="AZ22" s="42">
        <f>AF22*AI22/100*88.5%</f>
        <v>172.04400000000001</v>
      </c>
      <c r="BA22" s="42"/>
      <c r="BB22" s="42"/>
      <c r="BC22" s="43"/>
    </row>
    <row r="23" spans="1:56" s="6" customFormat="1">
      <c r="A23" s="41"/>
      <c r="B23" s="42">
        <v>9.6</v>
      </c>
      <c r="C23" s="42">
        <f>88.4+6.9</f>
        <v>95.300000000000011</v>
      </c>
      <c r="D23" s="42"/>
      <c r="E23" s="42">
        <v>1.9</v>
      </c>
      <c r="F23" s="42"/>
      <c r="G23" s="42"/>
      <c r="H23" s="42"/>
      <c r="I23" s="42"/>
      <c r="J23" s="42">
        <v>30.8</v>
      </c>
      <c r="K23" s="42">
        <v>1.5</v>
      </c>
      <c r="L23" s="42">
        <v>5.8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>
        <v>63</v>
      </c>
      <c r="AC23" s="42"/>
      <c r="AD23" s="42"/>
      <c r="AE23" s="42"/>
      <c r="AF23" s="43">
        <f t="shared" si="0"/>
        <v>207.90000000000003</v>
      </c>
      <c r="AG23" s="44" t="s">
        <v>109</v>
      </c>
      <c r="AH23" s="41"/>
      <c r="AI23" s="85">
        <v>90</v>
      </c>
      <c r="AJ23" s="85"/>
      <c r="AK23" s="42"/>
      <c r="AL23" s="43"/>
      <c r="AM23" s="41"/>
      <c r="AN23" s="43"/>
      <c r="AO23" s="41"/>
      <c r="AP23" s="43"/>
      <c r="AQ23" s="126">
        <f>SUM(AR23:BC23)</f>
        <v>207.90000000000003</v>
      </c>
      <c r="AR23" s="42"/>
      <c r="AS23" s="42"/>
      <c r="AT23" s="42"/>
      <c r="AU23" s="42"/>
      <c r="AV23" s="42"/>
      <c r="AW23" s="42"/>
      <c r="AX23" s="42"/>
      <c r="AY23" s="42"/>
      <c r="AZ23" s="42">
        <f>AF23</f>
        <v>207.90000000000003</v>
      </c>
      <c r="BA23" s="42"/>
      <c r="BB23" s="42"/>
      <c r="BC23" s="43"/>
    </row>
    <row r="24" spans="1:56" s="6" customForma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>
        <f>227*39.4%</f>
        <v>89.437999999999988</v>
      </c>
      <c r="Z24" s="42">
        <f>227*60.6%</f>
        <v>137.56199999999998</v>
      </c>
      <c r="AA24" s="42"/>
      <c r="AB24" s="42"/>
      <c r="AC24" s="42"/>
      <c r="AD24" s="42"/>
      <c r="AE24" s="42"/>
      <c r="AF24" s="43">
        <f t="shared" si="0"/>
        <v>226.99999999999997</v>
      </c>
      <c r="AG24" s="44" t="s">
        <v>43</v>
      </c>
      <c r="AH24" s="41"/>
      <c r="AI24" s="42"/>
      <c r="AJ24" s="42">
        <v>70</v>
      </c>
      <c r="AK24" s="42"/>
      <c r="AL24" s="43"/>
      <c r="AM24" s="41"/>
      <c r="AN24" s="43"/>
      <c r="AO24" s="41"/>
      <c r="AP24" s="43"/>
      <c r="AQ24" s="126">
        <f t="shared" ref="AQ24:AQ71" si="4">SUM(AR24:BC24,-AT24)</f>
        <v>158.89999999999998</v>
      </c>
      <c r="AR24" s="42">
        <f>AF24*AJ24/100*17.5%</f>
        <v>27.807499999999994</v>
      </c>
      <c r="AS24" s="42">
        <f>AF24*AJ24/100-AR24</f>
        <v>131.09249999999997</v>
      </c>
      <c r="AT24" s="42"/>
      <c r="AU24" s="42"/>
      <c r="AV24" s="42"/>
      <c r="AW24" s="42"/>
      <c r="AX24" s="42"/>
      <c r="AY24" s="42"/>
      <c r="AZ24" s="42"/>
      <c r="BA24" s="42"/>
      <c r="BB24" s="42"/>
      <c r="BC24" s="43"/>
    </row>
    <row r="25" spans="1:56" s="6" customForma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>
        <f>409*90%</f>
        <v>368.1</v>
      </c>
      <c r="X25" s="42">
        <f>409*10%</f>
        <v>40.900000000000006</v>
      </c>
      <c r="Y25" s="42"/>
      <c r="Z25" s="42"/>
      <c r="AA25" s="42"/>
      <c r="AB25" s="42"/>
      <c r="AC25" s="42"/>
      <c r="AD25" s="42"/>
      <c r="AE25" s="42"/>
      <c r="AF25" s="43">
        <f t="shared" si="0"/>
        <v>409</v>
      </c>
      <c r="AG25" s="44" t="s">
        <v>44</v>
      </c>
      <c r="AH25" s="41"/>
      <c r="AI25" s="42"/>
      <c r="AJ25" s="42">
        <v>60</v>
      </c>
      <c r="AK25" s="42"/>
      <c r="AL25" s="43"/>
      <c r="AM25" s="41"/>
      <c r="AN25" s="43"/>
      <c r="AO25" s="41"/>
      <c r="AP25" s="43"/>
      <c r="AQ25" s="126">
        <f t="shared" si="4"/>
        <v>245.4</v>
      </c>
      <c r="AR25" s="42">
        <f>AF25*AJ25/100*17.5%</f>
        <v>42.945</v>
      </c>
      <c r="AS25" s="42">
        <f>AF25*AJ25/100-AR25</f>
        <v>202.45500000000001</v>
      </c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1:56" s="6" customForma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144</v>
      </c>
      <c r="W26" s="42"/>
      <c r="X26" s="42"/>
      <c r="Y26" s="42"/>
      <c r="Z26" s="42"/>
      <c r="AA26" s="42"/>
      <c r="AB26" s="42"/>
      <c r="AC26" s="42"/>
      <c r="AD26" s="42"/>
      <c r="AE26" s="42"/>
      <c r="AF26" s="43">
        <f t="shared" si="0"/>
        <v>144</v>
      </c>
      <c r="AG26" s="44" t="s">
        <v>45</v>
      </c>
      <c r="AH26" s="41"/>
      <c r="AI26" s="42"/>
      <c r="AJ26" s="42">
        <v>60</v>
      </c>
      <c r="AK26" s="42"/>
      <c r="AL26" s="43"/>
      <c r="AM26" s="41"/>
      <c r="AN26" s="43"/>
      <c r="AO26" s="41"/>
      <c r="AP26" s="43"/>
      <c r="AQ26" s="126">
        <f t="shared" si="4"/>
        <v>86.4</v>
      </c>
      <c r="AR26" s="42">
        <f>AF26*AJ26/100*17.5%</f>
        <v>15.12</v>
      </c>
      <c r="AS26" s="42">
        <f>AF26*AJ26/100-AR26</f>
        <v>71.28</v>
      </c>
      <c r="AT26" s="42"/>
      <c r="AU26" s="42"/>
      <c r="AV26" s="42"/>
      <c r="AW26" s="42"/>
      <c r="AX26" s="42"/>
      <c r="AY26" s="42"/>
      <c r="AZ26" s="42"/>
      <c r="BA26" s="42"/>
      <c r="BB26" s="42"/>
      <c r="BC26" s="43"/>
    </row>
    <row r="27" spans="1:56" s="6" customForma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>
        <f t="shared" si="0"/>
        <v>0</v>
      </c>
      <c r="AG27" s="44" t="s">
        <v>46</v>
      </c>
      <c r="AH27" s="41"/>
      <c r="AI27" s="42"/>
      <c r="AJ27" s="42">
        <v>100</v>
      </c>
      <c r="AK27" s="42"/>
      <c r="AL27" s="43"/>
      <c r="AM27" s="41"/>
      <c r="AN27" s="43"/>
      <c r="AO27" s="41"/>
      <c r="AP27" s="43"/>
      <c r="AQ27" s="126">
        <f t="shared" si="4"/>
        <v>0</v>
      </c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</row>
    <row r="28" spans="1:56" s="6" customForma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>
        <v>0.31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>
        <f t="shared" si="0"/>
        <v>0.31</v>
      </c>
      <c r="AG28" s="46" t="s">
        <v>47</v>
      </c>
      <c r="AH28" s="42">
        <v>100</v>
      </c>
      <c r="AI28" s="42"/>
      <c r="AJ28" s="42"/>
      <c r="AK28" s="42"/>
      <c r="AL28" s="43"/>
      <c r="AM28" s="41">
        <f>AF28*AH28/100</f>
        <v>0.31</v>
      </c>
      <c r="AN28" s="43"/>
      <c r="AO28" s="41"/>
      <c r="AP28" s="43"/>
      <c r="AQ28" s="126">
        <f t="shared" si="4"/>
        <v>0</v>
      </c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</row>
    <row r="29" spans="1:56" s="6" customForma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>
        <v>803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>
        <f t="shared" si="0"/>
        <v>803</v>
      </c>
      <c r="AG29" s="46" t="s">
        <v>48</v>
      </c>
      <c r="AH29" s="42">
        <v>100</v>
      </c>
      <c r="AI29" s="42"/>
      <c r="AJ29" s="42"/>
      <c r="AK29" s="42"/>
      <c r="AL29" s="43"/>
      <c r="AM29" s="41">
        <f>AH29*AF29/100</f>
        <v>803</v>
      </c>
      <c r="AN29" s="43"/>
      <c r="AO29" s="41"/>
      <c r="AP29" s="43"/>
      <c r="AQ29" s="126">
        <f t="shared" si="4"/>
        <v>0</v>
      </c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</row>
    <row r="30" spans="1:56" s="6" customForma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>
        <f t="shared" si="0"/>
        <v>0</v>
      </c>
      <c r="AG30" s="46" t="s">
        <v>49</v>
      </c>
      <c r="AH30" s="42">
        <v>100</v>
      </c>
      <c r="AI30" s="42"/>
      <c r="AJ30" s="42"/>
      <c r="AK30" s="42"/>
      <c r="AL30" s="43"/>
      <c r="AM30" s="41">
        <f>AF30</f>
        <v>0</v>
      </c>
      <c r="AN30" s="43"/>
      <c r="AO30" s="41"/>
      <c r="AP30" s="43"/>
      <c r="AQ30" s="126">
        <f t="shared" si="4"/>
        <v>0</v>
      </c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/>
    </row>
    <row r="31" spans="1:56" s="6" customForma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>
        <f t="shared" si="0"/>
        <v>0</v>
      </c>
      <c r="AG31" s="46" t="s">
        <v>50</v>
      </c>
      <c r="AH31" s="42">
        <v>100</v>
      </c>
      <c r="AI31" s="42"/>
      <c r="AJ31" s="42"/>
      <c r="AK31" s="42"/>
      <c r="AL31" s="43"/>
      <c r="AM31" s="41"/>
      <c r="AN31" s="43"/>
      <c r="AO31" s="41"/>
      <c r="AP31" s="43"/>
      <c r="AQ31" s="126">
        <f t="shared" si="4"/>
        <v>0</v>
      </c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</row>
    <row r="32" spans="1:56" s="6" customFormat="1">
      <c r="A32" s="42"/>
      <c r="B32" s="42"/>
      <c r="C32" s="42">
        <v>882.95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>
        <v>2317.4</v>
      </c>
      <c r="Y32" s="84"/>
      <c r="Z32" s="84"/>
      <c r="AA32" s="42">
        <v>13.35</v>
      </c>
      <c r="AB32" s="42"/>
      <c r="AC32" s="42"/>
      <c r="AD32" s="42"/>
      <c r="AE32" s="42"/>
      <c r="AF32" s="43">
        <f t="shared" si="0"/>
        <v>3213.7000000000003</v>
      </c>
      <c r="AG32" s="46" t="s">
        <v>154</v>
      </c>
      <c r="AH32" s="41">
        <v>20.8</v>
      </c>
      <c r="AI32" s="42"/>
      <c r="AJ32" s="42">
        <v>59.8</v>
      </c>
      <c r="AK32" s="42"/>
      <c r="AL32" s="43"/>
      <c r="AM32" s="41">
        <f>AF32*AH32/100</f>
        <v>668.44960000000003</v>
      </c>
      <c r="AN32" s="43"/>
      <c r="AO32" s="41">
        <f>AF32*AJ32/100</f>
        <v>1921.7926</v>
      </c>
      <c r="AP32" s="43"/>
      <c r="AQ32" s="126">
        <f t="shared" si="4"/>
        <v>0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3"/>
    </row>
    <row r="33" spans="1:55" s="6" customForma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10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>
        <f t="shared" si="0"/>
        <v>0</v>
      </c>
      <c r="AG33" s="46" t="s">
        <v>155</v>
      </c>
      <c r="AH33" s="41"/>
      <c r="AI33" s="42"/>
      <c r="AJ33" s="42"/>
      <c r="AK33" s="42"/>
      <c r="AL33" s="43"/>
      <c r="AM33" s="41">
        <f>AF33*AH33/100</f>
        <v>0</v>
      </c>
      <c r="AN33" s="43"/>
      <c r="AO33" s="41">
        <f>AF33*AJ33</f>
        <v>0</v>
      </c>
      <c r="AP33" s="43"/>
      <c r="AQ33" s="126">
        <f t="shared" si="4"/>
        <v>0</v>
      </c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3"/>
    </row>
    <row r="34" spans="1:55" s="6" customForma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>
        <f t="shared" si="0"/>
        <v>0</v>
      </c>
      <c r="AG34" s="46" t="s">
        <v>156</v>
      </c>
      <c r="AH34" s="41"/>
      <c r="AI34" s="42"/>
      <c r="AJ34" s="42"/>
      <c r="AK34" s="42"/>
      <c r="AL34" s="43"/>
      <c r="AM34" s="41">
        <f>AF34*AH34/100</f>
        <v>0</v>
      </c>
      <c r="AN34" s="43"/>
      <c r="AO34" s="41">
        <f>AF34*AJ34</f>
        <v>0</v>
      </c>
      <c r="AP34" s="43"/>
      <c r="AQ34" s="126">
        <f t="shared" si="4"/>
        <v>0</v>
      </c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3"/>
    </row>
    <row r="35" spans="1:55" s="6" customFormat="1">
      <c r="A35" s="42"/>
      <c r="B35" s="42"/>
      <c r="C35" s="42"/>
      <c r="D35" s="42"/>
      <c r="E35" s="42">
        <v>6.78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>
        <v>112.89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>
        <f t="shared" si="0"/>
        <v>119.67</v>
      </c>
      <c r="AG35" s="46" t="s">
        <v>157</v>
      </c>
      <c r="AH35" s="41"/>
      <c r="AI35" s="42"/>
      <c r="AJ35" s="42">
        <v>87.1</v>
      </c>
      <c r="AK35" s="42"/>
      <c r="AL35" s="43"/>
      <c r="AM35" s="41"/>
      <c r="AN35" s="43"/>
      <c r="AO35" s="41">
        <f>AF35*AJ35/100</f>
        <v>104.23257</v>
      </c>
      <c r="AP35" s="43"/>
      <c r="AQ35" s="126">
        <f t="shared" si="4"/>
        <v>0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3"/>
    </row>
    <row r="36" spans="1:55" s="6" customForma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>
        <f t="shared" si="0"/>
        <v>0</v>
      </c>
      <c r="AG36" s="46" t="s">
        <v>158</v>
      </c>
      <c r="AH36" s="41"/>
      <c r="AI36" s="42"/>
      <c r="AJ36" s="42"/>
      <c r="AK36" s="42"/>
      <c r="AL36" s="43">
        <v>77</v>
      </c>
      <c r="AM36" s="41"/>
      <c r="AN36" s="43"/>
      <c r="AO36" s="41">
        <f>-SUM(AO32:AO35)</f>
        <v>-2026.0251699999999</v>
      </c>
      <c r="AP36" s="43">
        <f>-AO36*AL36/100</f>
        <v>1560.0393808999997</v>
      </c>
      <c r="AQ36" s="126">
        <f t="shared" si="4"/>
        <v>1560.0393808999997</v>
      </c>
      <c r="AR36" s="42">
        <f>(AP36-AZ36)*17.5%</f>
        <v>273.00689165749992</v>
      </c>
      <c r="AS36" s="42">
        <f>AP36-AR36-AZ36</f>
        <v>1287.0324892424999</v>
      </c>
      <c r="AT36" s="42"/>
      <c r="AU36" s="42"/>
      <c r="AV36" s="42"/>
      <c r="AW36" s="42"/>
      <c r="AX36" s="42"/>
      <c r="AY36" s="42"/>
      <c r="AZ36" s="42"/>
      <c r="BA36" s="42"/>
      <c r="BB36" s="42"/>
      <c r="BC36" s="43"/>
    </row>
    <row r="37" spans="1:55" s="6" customForma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>
        <f t="shared" si="0"/>
        <v>0</v>
      </c>
      <c r="AG37" s="46" t="s">
        <v>59</v>
      </c>
      <c r="AH37" s="41"/>
      <c r="AI37" s="42"/>
      <c r="AJ37" s="42"/>
      <c r="AK37" s="42"/>
      <c r="AL37" s="43"/>
      <c r="AM37" s="41">
        <f>AF37*AH37/100</f>
        <v>0</v>
      </c>
      <c r="AN37" s="43"/>
      <c r="AO37" s="41">
        <f>AF37*AJ37/100</f>
        <v>0</v>
      </c>
      <c r="AP37" s="43"/>
      <c r="AQ37" s="126">
        <f t="shared" si="4"/>
        <v>0</v>
      </c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</row>
    <row r="38" spans="1:55" s="6" customForma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>
        <f t="shared" si="0"/>
        <v>0</v>
      </c>
      <c r="AG38" s="46" t="s">
        <v>60</v>
      </c>
      <c r="AH38" s="41"/>
      <c r="AI38" s="42"/>
      <c r="AJ38" s="42"/>
      <c r="AK38" s="42"/>
      <c r="AL38" s="43"/>
      <c r="AM38" s="41">
        <f>AF38*AH38/100</f>
        <v>0</v>
      </c>
      <c r="AN38" s="43"/>
      <c r="AO38" s="41">
        <f>AF38*AJ38/100</f>
        <v>0</v>
      </c>
      <c r="AP38" s="43"/>
      <c r="AQ38" s="126">
        <f t="shared" si="4"/>
        <v>0</v>
      </c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3"/>
    </row>
    <row r="39" spans="1:55" s="6" customForma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3">
        <f t="shared" si="0"/>
        <v>0</v>
      </c>
      <c r="AG39" s="46" t="s">
        <v>61</v>
      </c>
      <c r="AH39" s="41"/>
      <c r="AI39" s="42"/>
      <c r="AJ39" s="42"/>
      <c r="AK39" s="42"/>
      <c r="AL39" s="43"/>
      <c r="AM39" s="41">
        <f>AF39*AH39/100</f>
        <v>0</v>
      </c>
      <c r="AN39" s="43"/>
      <c r="AO39" s="41">
        <f>AF39*AJ39/100</f>
        <v>0</v>
      </c>
      <c r="AP39" s="43"/>
      <c r="AQ39" s="126">
        <f t="shared" si="4"/>
        <v>0</v>
      </c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3"/>
    </row>
    <row r="40" spans="1:55" s="6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3">
        <f t="shared" si="0"/>
        <v>0</v>
      </c>
      <c r="AG40" s="46" t="s">
        <v>62</v>
      </c>
      <c r="AH40" s="41"/>
      <c r="AI40" s="42"/>
      <c r="AJ40" s="42"/>
      <c r="AK40" s="42"/>
      <c r="AL40" s="43"/>
      <c r="AM40" s="41"/>
      <c r="AN40" s="43"/>
      <c r="AO40" s="41">
        <f>-SUM(AO37:AO39)</f>
        <v>0</v>
      </c>
      <c r="AP40" s="43">
        <f>-AO40*AL40/100</f>
        <v>0</v>
      </c>
      <c r="AQ40" s="126">
        <f t="shared" si="4"/>
        <v>0</v>
      </c>
      <c r="AR40" s="42">
        <f>(AP40-AZ40)*17.5%</f>
        <v>0</v>
      </c>
      <c r="AS40" s="42">
        <f>AP40-AR40-AZ40</f>
        <v>0</v>
      </c>
      <c r="AT40" s="42"/>
      <c r="AU40" s="42"/>
      <c r="AV40" s="42"/>
      <c r="AW40" s="42"/>
      <c r="AX40" s="42"/>
      <c r="AY40" s="42"/>
      <c r="AZ40" s="42"/>
      <c r="BA40" s="42"/>
      <c r="BB40" s="42"/>
      <c r="BC40" s="43"/>
    </row>
    <row r="41" spans="1:55" s="6" customForma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>
        <f t="shared" si="0"/>
        <v>0</v>
      </c>
      <c r="AG41" s="46" t="s">
        <v>159</v>
      </c>
      <c r="AH41" s="41"/>
      <c r="AI41" s="42"/>
      <c r="AJ41" s="42"/>
      <c r="AK41" s="42"/>
      <c r="AL41" s="43"/>
      <c r="AM41" s="41">
        <f>AF41*AH41/100</f>
        <v>0</v>
      </c>
      <c r="AN41" s="43"/>
      <c r="AO41" s="41">
        <f>AF41*AJ41/100</f>
        <v>0</v>
      </c>
      <c r="AP41" s="43"/>
      <c r="AQ41" s="126">
        <f t="shared" si="4"/>
        <v>0</v>
      </c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3"/>
    </row>
    <row r="42" spans="1:55" s="6" customFormat="1">
      <c r="A42" s="42"/>
      <c r="B42" s="42"/>
      <c r="C42" s="42"/>
      <c r="D42" s="42"/>
      <c r="E42" s="42"/>
      <c r="F42" s="42"/>
      <c r="G42" s="42"/>
      <c r="H42" s="42"/>
      <c r="I42" s="42">
        <v>199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>
        <f t="shared" si="0"/>
        <v>199</v>
      </c>
      <c r="AG42" s="46" t="s">
        <v>160</v>
      </c>
      <c r="AH42" s="41">
        <v>37.97</v>
      </c>
      <c r="AI42" s="42"/>
      <c r="AJ42" s="42">
        <v>52.59</v>
      </c>
      <c r="AK42" s="42"/>
      <c r="AL42" s="43"/>
      <c r="AM42" s="41">
        <f>AF42*AH42/100</f>
        <v>75.560299999999998</v>
      </c>
      <c r="AN42" s="43"/>
      <c r="AO42" s="41">
        <f>AF42*AJ42/100</f>
        <v>104.6541</v>
      </c>
      <c r="AP42" s="43"/>
      <c r="AQ42" s="126">
        <f t="shared" si="4"/>
        <v>0</v>
      </c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3"/>
    </row>
    <row r="43" spans="1:55" s="6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3">
        <f t="shared" si="0"/>
        <v>0</v>
      </c>
      <c r="AG43" s="46" t="s">
        <v>81</v>
      </c>
      <c r="AH43" s="41"/>
      <c r="AI43" s="42"/>
      <c r="AJ43" s="42"/>
      <c r="AK43" s="42"/>
      <c r="AL43" s="43"/>
      <c r="AM43" s="41">
        <f>AF43*AH43/100</f>
        <v>0</v>
      </c>
      <c r="AN43" s="43"/>
      <c r="AO43" s="41">
        <f>AF43*AJ43/100</f>
        <v>0</v>
      </c>
      <c r="AP43" s="43"/>
      <c r="AQ43" s="126">
        <f t="shared" si="4"/>
        <v>0</v>
      </c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3"/>
    </row>
    <row r="44" spans="1:55" s="6" customFormat="1">
      <c r="A44" s="42"/>
      <c r="B44" s="42"/>
      <c r="C44" s="42"/>
      <c r="D44" s="42"/>
      <c r="E44" s="42"/>
      <c r="F44" s="42"/>
      <c r="G44" s="42"/>
      <c r="H44" s="42"/>
      <c r="I44" s="42">
        <v>13.95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3">
        <f t="shared" si="0"/>
        <v>13.95</v>
      </c>
      <c r="AG44" s="46" t="s">
        <v>82</v>
      </c>
      <c r="AH44" s="41"/>
      <c r="AI44" s="42"/>
      <c r="AJ44" s="42">
        <v>103.6</v>
      </c>
      <c r="AK44" s="42"/>
      <c r="AL44" s="43"/>
      <c r="AM44" s="41">
        <f>AF44*AH44/100</f>
        <v>0</v>
      </c>
      <c r="AN44" s="43"/>
      <c r="AO44" s="41">
        <f>AF44*AJ44/100</f>
        <v>14.452199999999998</v>
      </c>
      <c r="AP44" s="43"/>
      <c r="AQ44" s="126">
        <f t="shared" si="4"/>
        <v>0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3"/>
    </row>
    <row r="45" spans="1:55" s="6" customForma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>
        <f t="shared" si="0"/>
        <v>0</v>
      </c>
      <c r="AG45" s="46" t="s">
        <v>83</v>
      </c>
      <c r="AH45" s="41"/>
      <c r="AI45" s="42"/>
      <c r="AJ45" s="42"/>
      <c r="AK45" s="42"/>
      <c r="AL45" s="43"/>
      <c r="AM45" s="41">
        <f>AF45*AH45/100</f>
        <v>0</v>
      </c>
      <c r="AN45" s="43"/>
      <c r="AO45" s="41">
        <f>AF45*AJ45/100</f>
        <v>0</v>
      </c>
      <c r="AP45" s="43"/>
      <c r="AQ45" s="126">
        <f t="shared" si="4"/>
        <v>0</v>
      </c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/>
    </row>
    <row r="46" spans="1:55" s="6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>
        <f t="shared" si="0"/>
        <v>0</v>
      </c>
      <c r="AG46" s="46" t="s">
        <v>84</v>
      </c>
      <c r="AH46" s="41"/>
      <c r="AI46" s="42"/>
      <c r="AJ46" s="42"/>
      <c r="AK46" s="42"/>
      <c r="AL46" s="43">
        <v>67</v>
      </c>
      <c r="AM46" s="41"/>
      <c r="AN46" s="43"/>
      <c r="AO46" s="41">
        <f>-SUM(AO41:AO45)</f>
        <v>-119.1063</v>
      </c>
      <c r="AP46" s="43">
        <f>-AO46*AL46/100</f>
        <v>79.801220999999998</v>
      </c>
      <c r="AQ46" s="126">
        <f>SUM(AR46:BC46,-AT46)</f>
        <v>79.801220999999998</v>
      </c>
      <c r="AR46" s="42">
        <f>(AP46-AZ46)*17.5%</f>
        <v>13.965213674999999</v>
      </c>
      <c r="AS46" s="42">
        <f>AP46-AR46-AZ46</f>
        <v>65.836007324999997</v>
      </c>
      <c r="AT46" s="42"/>
      <c r="AU46" s="42"/>
      <c r="AV46" s="42"/>
      <c r="AW46" s="42"/>
      <c r="AX46" s="42"/>
      <c r="AY46" s="42"/>
      <c r="AZ46" s="42"/>
      <c r="BA46" s="42"/>
      <c r="BB46" s="42"/>
      <c r="BC46" s="43"/>
    </row>
    <row r="47" spans="1:55" s="6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>57*0.1</f>
        <v>5.7</v>
      </c>
      <c r="S47" s="42"/>
      <c r="T47" s="42">
        <f>57*0.9</f>
        <v>51.300000000000004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3">
        <f t="shared" si="0"/>
        <v>57.000000000000007</v>
      </c>
      <c r="AG47" s="46" t="s">
        <v>105</v>
      </c>
      <c r="AH47" s="41">
        <v>37</v>
      </c>
      <c r="AI47" s="42"/>
      <c r="AJ47" s="42"/>
      <c r="AK47" s="42"/>
      <c r="AL47" s="43"/>
      <c r="AM47" s="41">
        <f>AF47*AH47/100</f>
        <v>21.090000000000003</v>
      </c>
      <c r="AN47" s="43"/>
      <c r="AO47" s="41">
        <f>AF47*AJ47/100</f>
        <v>0</v>
      </c>
      <c r="AP47" s="43"/>
      <c r="AQ47" s="126">
        <f t="shared" si="4"/>
        <v>0</v>
      </c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3"/>
    </row>
    <row r="48" spans="1:55" s="6" customFormat="1">
      <c r="A48" s="42"/>
      <c r="B48" s="42"/>
      <c r="C48" s="42"/>
      <c r="D48" s="42"/>
      <c r="E48" s="42"/>
      <c r="F48" s="42"/>
      <c r="G48" s="42"/>
      <c r="H48" s="42"/>
      <c r="I48" s="42">
        <v>62.79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>
        <v>28.55</v>
      </c>
      <c r="AD48" s="42"/>
      <c r="AE48" s="42"/>
      <c r="AF48" s="43">
        <f t="shared" si="0"/>
        <v>91.34</v>
      </c>
      <c r="AG48" s="46" t="s">
        <v>63</v>
      </c>
      <c r="AH48" s="41">
        <v>22.34</v>
      </c>
      <c r="AI48" s="42"/>
      <c r="AJ48" s="42"/>
      <c r="AK48" s="42"/>
      <c r="AL48" s="43"/>
      <c r="AM48" s="41">
        <f>AF48*AH48/100</f>
        <v>20.405356000000001</v>
      </c>
      <c r="AN48" s="43"/>
      <c r="AO48" s="41">
        <f>AF48*AJ48/100</f>
        <v>0</v>
      </c>
      <c r="AP48" s="43"/>
      <c r="AQ48" s="126">
        <f t="shared" si="4"/>
        <v>0</v>
      </c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3"/>
    </row>
    <row r="49" spans="1:55" s="6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>
        <f t="shared" si="0"/>
        <v>0</v>
      </c>
      <c r="AG49" s="46" t="s">
        <v>65</v>
      </c>
      <c r="AH49" s="41"/>
      <c r="AI49" s="42"/>
      <c r="AJ49" s="42"/>
      <c r="AK49" s="42"/>
      <c r="AL49" s="43"/>
      <c r="AM49" s="41">
        <f>AF49*AH49/100</f>
        <v>0</v>
      </c>
      <c r="AN49" s="43"/>
      <c r="AO49" s="41">
        <f>AF49*AJ49/100</f>
        <v>0</v>
      </c>
      <c r="AP49" s="43"/>
      <c r="AQ49" s="126">
        <f t="shared" si="4"/>
        <v>0</v>
      </c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3"/>
    </row>
    <row r="50" spans="1:55" s="6" customForma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>
        <f t="shared" si="0"/>
        <v>0</v>
      </c>
      <c r="AG50" s="46" t="s">
        <v>64</v>
      </c>
      <c r="AH50" s="41"/>
      <c r="AI50" s="42"/>
      <c r="AJ50" s="42"/>
      <c r="AK50" s="42"/>
      <c r="AL50" s="43">
        <v>67</v>
      </c>
      <c r="AM50" s="41"/>
      <c r="AN50" s="43"/>
      <c r="AO50" s="41">
        <f>-SUM(AO48:AO49)</f>
        <v>0</v>
      </c>
      <c r="AP50" s="43">
        <f>-AO50*AL50/100</f>
        <v>0</v>
      </c>
      <c r="AQ50" s="126">
        <f t="shared" si="4"/>
        <v>0</v>
      </c>
      <c r="AR50" s="42">
        <f>(AP50-AZ50)*17.5%</f>
        <v>0</v>
      </c>
      <c r="AS50" s="42">
        <f>AP50-AR50-AZ50</f>
        <v>0</v>
      </c>
      <c r="AT50" s="42"/>
      <c r="AU50" s="42"/>
      <c r="AV50" s="42"/>
      <c r="AW50" s="42"/>
      <c r="AX50" s="42"/>
      <c r="AY50" s="42"/>
      <c r="AZ50" s="42"/>
      <c r="BA50" s="42"/>
      <c r="BB50" s="42"/>
      <c r="BC50" s="43"/>
    </row>
    <row r="51" spans="1:55" s="6" customFormat="1">
      <c r="A51" s="42"/>
      <c r="B51" s="42"/>
      <c r="C51" s="42"/>
      <c r="D51" s="42"/>
      <c r="E51" s="42">
        <v>5.62</v>
      </c>
      <c r="F51" s="42"/>
      <c r="G51" s="42"/>
      <c r="H51" s="42"/>
      <c r="I51" s="42">
        <v>60.98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>
        <v>59.7</v>
      </c>
      <c r="W51" s="42"/>
      <c r="X51" s="42"/>
      <c r="Y51" s="42"/>
      <c r="Z51" s="42"/>
      <c r="AA51" s="42"/>
      <c r="AB51" s="42"/>
      <c r="AC51" s="42"/>
      <c r="AD51" s="42"/>
      <c r="AE51" s="42"/>
      <c r="AF51" s="43">
        <f t="shared" si="0"/>
        <v>126.3</v>
      </c>
      <c r="AG51" s="46" t="s">
        <v>78</v>
      </c>
      <c r="AH51" s="41"/>
      <c r="AI51" s="42"/>
      <c r="AJ51" s="42">
        <v>93</v>
      </c>
      <c r="AK51" s="42"/>
      <c r="AL51" s="43"/>
      <c r="AM51" s="41"/>
      <c r="AN51" s="43"/>
      <c r="AO51" s="41">
        <f>AF51*AJ51/100</f>
        <v>117.459</v>
      </c>
      <c r="AP51" s="43"/>
      <c r="AQ51" s="126">
        <f t="shared" si="4"/>
        <v>0</v>
      </c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3"/>
    </row>
    <row r="52" spans="1:55" s="6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G52" s="46" t="s">
        <v>79</v>
      </c>
      <c r="AH52" s="41"/>
      <c r="AI52" s="42"/>
      <c r="AJ52" s="42"/>
      <c r="AK52" s="42"/>
      <c r="AL52" s="43"/>
      <c r="AM52" s="41"/>
      <c r="AN52" s="43"/>
      <c r="AO52" s="41">
        <f>AF52*AJ52/100</f>
        <v>0</v>
      </c>
      <c r="AP52" s="43"/>
      <c r="AQ52" s="126">
        <f t="shared" si="4"/>
        <v>0</v>
      </c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3"/>
    </row>
    <row r="53" spans="1:55" s="6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3">
        <f t="shared" ref="AF53:AF63" si="5">SUM(A53:AE53)</f>
        <v>0</v>
      </c>
      <c r="AG53" s="46" t="s">
        <v>80</v>
      </c>
      <c r="AH53" s="41"/>
      <c r="AI53" s="42"/>
      <c r="AJ53" s="42"/>
      <c r="AK53" s="42"/>
      <c r="AL53" s="43">
        <v>67</v>
      </c>
      <c r="AM53" s="41"/>
      <c r="AN53" s="43"/>
      <c r="AO53" s="41">
        <f>-SUM(AO51:AO52)</f>
        <v>-117.459</v>
      </c>
      <c r="AP53" s="43">
        <f>-AO53*AL53/100</f>
        <v>78.69753</v>
      </c>
      <c r="AQ53" s="126">
        <f>SUM(AR53:BC53,-AT53)</f>
        <v>78.69753</v>
      </c>
      <c r="AR53" s="42">
        <f>(AP53-AZ53)*17.5%</f>
        <v>13.77206775</v>
      </c>
      <c r="AS53" s="42">
        <f>AP53-AR53-AZ53</f>
        <v>64.925462249999995</v>
      </c>
      <c r="AT53" s="42"/>
      <c r="AU53" s="42"/>
      <c r="AV53" s="42"/>
      <c r="AW53" s="42"/>
      <c r="AX53" s="42"/>
      <c r="AY53" s="42"/>
      <c r="AZ53" s="42"/>
      <c r="BA53" s="42"/>
      <c r="BB53" s="42"/>
      <c r="BC53" s="43"/>
    </row>
    <row r="54" spans="1:55" s="6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3">
        <f t="shared" si="5"/>
        <v>0</v>
      </c>
      <c r="AG54" s="46" t="s">
        <v>69</v>
      </c>
      <c r="AH54" s="41"/>
      <c r="AI54" s="42"/>
      <c r="AJ54" s="42"/>
      <c r="AK54" s="42"/>
      <c r="AL54" s="43"/>
      <c r="AM54" s="41">
        <f t="shared" ref="AM54:AM59" si="6">AH54/100*AF54</f>
        <v>0</v>
      </c>
      <c r="AN54" s="43"/>
      <c r="AO54" s="41">
        <f t="shared" ref="AO54:AO59" si="7">AF54*AJ54/100</f>
        <v>0</v>
      </c>
      <c r="AP54" s="43"/>
      <c r="AQ54" s="126">
        <f t="shared" si="4"/>
        <v>0</v>
      </c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3"/>
    </row>
    <row r="55" spans="1:55" s="6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>
        <f t="shared" si="5"/>
        <v>0</v>
      </c>
      <c r="AG55" s="46" t="s">
        <v>70</v>
      </c>
      <c r="AH55" s="41"/>
      <c r="AI55" s="42"/>
      <c r="AJ55" s="42"/>
      <c r="AK55" s="42"/>
      <c r="AL55" s="43"/>
      <c r="AM55" s="41">
        <f t="shared" si="6"/>
        <v>0</v>
      </c>
      <c r="AN55" s="43"/>
      <c r="AO55" s="41">
        <f t="shared" si="7"/>
        <v>0</v>
      </c>
      <c r="AP55" s="43"/>
      <c r="AQ55" s="126">
        <f t="shared" si="4"/>
        <v>0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3"/>
    </row>
    <row r="56" spans="1:55" s="6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3">
        <f t="shared" si="5"/>
        <v>0</v>
      </c>
      <c r="AG56" s="46" t="s">
        <v>71</v>
      </c>
      <c r="AH56" s="41"/>
      <c r="AI56" s="42"/>
      <c r="AJ56" s="42"/>
      <c r="AK56" s="42"/>
      <c r="AL56" s="43"/>
      <c r="AM56" s="41">
        <f t="shared" si="6"/>
        <v>0</v>
      </c>
      <c r="AN56" s="43"/>
      <c r="AO56" s="41">
        <f t="shared" si="7"/>
        <v>0</v>
      </c>
      <c r="AP56" s="43"/>
      <c r="AQ56" s="126">
        <f t="shared" si="4"/>
        <v>0</v>
      </c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3"/>
    </row>
    <row r="57" spans="1:55" s="6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>
        <f t="shared" si="5"/>
        <v>0</v>
      </c>
      <c r="AG57" s="46" t="s">
        <v>72</v>
      </c>
      <c r="AH57" s="41"/>
      <c r="AI57" s="42"/>
      <c r="AJ57" s="42"/>
      <c r="AK57" s="42"/>
      <c r="AL57" s="43"/>
      <c r="AM57" s="41">
        <f t="shared" si="6"/>
        <v>0</v>
      </c>
      <c r="AN57" s="43"/>
      <c r="AO57" s="41">
        <f t="shared" si="7"/>
        <v>0</v>
      </c>
      <c r="AP57" s="43"/>
      <c r="AQ57" s="126">
        <f t="shared" si="4"/>
        <v>0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3"/>
    </row>
    <row r="58" spans="1:55" s="6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3">
        <f t="shared" si="5"/>
        <v>0</v>
      </c>
      <c r="AG58" s="46" t="s">
        <v>73</v>
      </c>
      <c r="AH58" s="41">
        <v>36.200000000000003</v>
      </c>
      <c r="AI58" s="42"/>
      <c r="AJ58" s="42">
        <v>39.700000000000003</v>
      </c>
      <c r="AK58" s="42"/>
      <c r="AL58" s="43"/>
      <c r="AM58" s="41">
        <f t="shared" si="6"/>
        <v>0</v>
      </c>
      <c r="AN58" s="43"/>
      <c r="AO58" s="41">
        <f t="shared" si="7"/>
        <v>0</v>
      </c>
      <c r="AP58" s="43"/>
      <c r="AQ58" s="126">
        <f t="shared" si="4"/>
        <v>0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3"/>
    </row>
    <row r="59" spans="1:55" s="6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3">
        <f t="shared" si="5"/>
        <v>0</v>
      </c>
      <c r="AG59" s="46" t="s">
        <v>74</v>
      </c>
      <c r="AH59" s="41"/>
      <c r="AI59" s="42"/>
      <c r="AJ59" s="42"/>
      <c r="AK59" s="42"/>
      <c r="AL59" s="43"/>
      <c r="AM59" s="41">
        <f t="shared" si="6"/>
        <v>0</v>
      </c>
      <c r="AN59" s="43"/>
      <c r="AO59" s="41">
        <f t="shared" si="7"/>
        <v>0</v>
      </c>
      <c r="AP59" s="43"/>
      <c r="AQ59" s="126">
        <f t="shared" si="4"/>
        <v>0</v>
      </c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/>
    </row>
    <row r="60" spans="1:55" s="6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3">
        <f t="shared" si="5"/>
        <v>0</v>
      </c>
      <c r="AG60" s="46" t="s">
        <v>76</v>
      </c>
      <c r="AH60" s="41"/>
      <c r="AI60" s="42"/>
      <c r="AJ60" s="42"/>
      <c r="AK60" s="42"/>
      <c r="AL60" s="45"/>
      <c r="AM60" s="41">
        <f>-AN60</f>
        <v>0</v>
      </c>
      <c r="AN60" s="43">
        <v>0</v>
      </c>
      <c r="AO60" s="41"/>
      <c r="AP60" s="43"/>
      <c r="AQ60" s="126">
        <f t="shared" si="4"/>
        <v>0</v>
      </c>
      <c r="AR60" s="42"/>
      <c r="AS60" s="42"/>
      <c r="AT60" s="42"/>
      <c r="AU60" s="42"/>
      <c r="AV60" s="42"/>
      <c r="AW60" s="42"/>
      <c r="AX60" s="42"/>
      <c r="AY60" s="42"/>
      <c r="AZ60" s="42">
        <f>AN60</f>
        <v>0</v>
      </c>
      <c r="BA60" s="42"/>
      <c r="BB60" s="42"/>
      <c r="BC60" s="43"/>
    </row>
    <row r="61" spans="1:55" s="6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3">
        <f t="shared" si="5"/>
        <v>0</v>
      </c>
      <c r="AG61" s="46" t="s">
        <v>77</v>
      </c>
      <c r="AH61" s="41"/>
      <c r="AI61" s="42"/>
      <c r="AJ61" s="42"/>
      <c r="AK61" s="42"/>
      <c r="AL61" s="43"/>
      <c r="AM61" s="41"/>
      <c r="AN61" s="43"/>
      <c r="AO61" s="41">
        <f>-AP61</f>
        <v>0</v>
      </c>
      <c r="AP61" s="47">
        <v>0</v>
      </c>
      <c r="AQ61" s="126">
        <f t="shared" si="4"/>
        <v>0</v>
      </c>
      <c r="AR61" s="42"/>
      <c r="AS61" s="42"/>
      <c r="AT61" s="42"/>
      <c r="AU61" s="42"/>
      <c r="AV61" s="42"/>
      <c r="AW61" s="42"/>
      <c r="AX61" s="42"/>
      <c r="AY61" s="42"/>
      <c r="AZ61" s="42">
        <f>AP61</f>
        <v>0</v>
      </c>
      <c r="BA61" s="42"/>
      <c r="BB61" s="42"/>
      <c r="BC61" s="43"/>
    </row>
    <row r="62" spans="1:55" s="6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3">
        <f t="shared" si="5"/>
        <v>0</v>
      </c>
      <c r="AG62" s="46" t="s">
        <v>75</v>
      </c>
      <c r="AH62" s="41"/>
      <c r="AI62" s="42"/>
      <c r="AJ62" s="42"/>
      <c r="AK62" s="42"/>
      <c r="AL62" s="43"/>
      <c r="AM62" s="41"/>
      <c r="AN62" s="43"/>
      <c r="AO62" s="41">
        <f>-SUM(AO54:AO61)</f>
        <v>0</v>
      </c>
      <c r="AP62" s="43">
        <f>-AO62*AL62/100</f>
        <v>0</v>
      </c>
      <c r="AQ62" s="126">
        <f t="shared" si="4"/>
        <v>0</v>
      </c>
      <c r="AR62" s="42">
        <f>AP62*17.5%</f>
        <v>0</v>
      </c>
      <c r="AS62" s="42">
        <f>AP62-AR62</f>
        <v>0</v>
      </c>
      <c r="AT62" s="42"/>
      <c r="AU62" s="42"/>
      <c r="AV62" s="42"/>
      <c r="AW62" s="42"/>
      <c r="AX62" s="42"/>
      <c r="AY62" s="42"/>
      <c r="AZ62" s="42"/>
      <c r="BA62" s="42"/>
      <c r="BB62" s="42"/>
      <c r="BC62" s="43"/>
    </row>
    <row r="63" spans="1:55" s="6" customFormat="1">
      <c r="A63" s="41"/>
      <c r="B63" s="42"/>
      <c r="C63" s="42"/>
      <c r="D63" s="42"/>
      <c r="E63" s="42"/>
      <c r="F63" s="42"/>
      <c r="G63" s="42"/>
      <c r="H63" s="42">
        <v>1264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3">
        <f t="shared" si="5"/>
        <v>1264</v>
      </c>
      <c r="AG63" s="44" t="s">
        <v>99</v>
      </c>
      <c r="AH63" s="41"/>
      <c r="AI63" s="42">
        <v>20</v>
      </c>
      <c r="AJ63" s="42"/>
      <c r="AK63" s="42"/>
      <c r="AL63" s="43"/>
      <c r="AM63" s="41"/>
      <c r="AN63" s="43"/>
      <c r="AO63" s="41"/>
      <c r="AP63" s="43"/>
      <c r="AQ63" s="126">
        <f t="shared" si="4"/>
        <v>252.8</v>
      </c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3">
        <f>AF63*AI63/100</f>
        <v>252.8</v>
      </c>
    </row>
    <row r="64" spans="1:55" s="6" customFormat="1">
      <c r="A64" s="41"/>
      <c r="B64" s="42"/>
      <c r="C64" s="42"/>
      <c r="D64" s="42"/>
      <c r="E64" s="42"/>
      <c r="F64" s="42">
        <v>305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>
        <f>SUM(A64:AE64)-U64</f>
        <v>305</v>
      </c>
      <c r="AG64" s="44" t="s">
        <v>51</v>
      </c>
      <c r="AH64" s="41"/>
      <c r="AI64" s="42">
        <v>25</v>
      </c>
      <c r="AJ64" s="42"/>
      <c r="AK64" s="42"/>
      <c r="AL64" s="43"/>
      <c r="AM64" s="41"/>
      <c r="AN64" s="43"/>
      <c r="AO64" s="41"/>
      <c r="AP64" s="43"/>
      <c r="AQ64" s="126">
        <f t="shared" si="4"/>
        <v>76.25</v>
      </c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3">
        <f>AF64*AI64/100</f>
        <v>76.25</v>
      </c>
    </row>
    <row r="65" spans="1:56" s="6" customFormat="1">
      <c r="A65" s="41"/>
      <c r="B65" s="42"/>
      <c r="C65" s="42"/>
      <c r="D65" s="42"/>
      <c r="E65" s="42"/>
      <c r="F65" s="42">
        <v>27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3">
        <f t="shared" ref="AF65:AF71" si="8">SUM(A65:AE65)</f>
        <v>27</v>
      </c>
      <c r="AG65" s="44" t="s">
        <v>52</v>
      </c>
      <c r="AH65" s="41"/>
      <c r="AI65" s="42">
        <v>33</v>
      </c>
      <c r="AJ65" s="42"/>
      <c r="AK65" s="42"/>
      <c r="AL65" s="43"/>
      <c r="AM65" s="41"/>
      <c r="AN65" s="43"/>
      <c r="AO65" s="41"/>
      <c r="AP65" s="43"/>
      <c r="AQ65" s="126">
        <f t="shared" si="4"/>
        <v>8.91</v>
      </c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3">
        <f>AF65*AI65/100</f>
        <v>8.91</v>
      </c>
    </row>
    <row r="66" spans="1:56" s="6" customFormat="1">
      <c r="A66" s="6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71">
        <f t="shared" si="8"/>
        <v>0</v>
      </c>
      <c r="AG66" s="44" t="s">
        <v>88</v>
      </c>
      <c r="AH66" s="69"/>
      <c r="AI66" s="70">
        <v>33</v>
      </c>
      <c r="AJ66" s="70"/>
      <c r="AK66" s="70"/>
      <c r="AL66" s="71"/>
      <c r="AM66" s="69"/>
      <c r="AN66" s="71"/>
      <c r="AO66" s="69"/>
      <c r="AP66" s="71"/>
      <c r="AQ66" s="126">
        <f t="shared" si="4"/>
        <v>0</v>
      </c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1">
        <f>AF66*AI66/100</f>
        <v>0</v>
      </c>
      <c r="BD66"/>
    </row>
    <row r="67" spans="1:56" s="6" customFormat="1">
      <c r="A67" s="41"/>
      <c r="B67" s="42"/>
      <c r="C67" s="42"/>
      <c r="D67" s="42"/>
      <c r="E67" s="42"/>
      <c r="F67" s="42">
        <v>980</v>
      </c>
      <c r="G67" s="42"/>
      <c r="H67" s="42"/>
      <c r="I67" s="42"/>
      <c r="J67" s="42"/>
      <c r="K67" s="42"/>
      <c r="L67" s="105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>
        <f t="shared" si="8"/>
        <v>980</v>
      </c>
      <c r="AG67" s="44" t="s">
        <v>100</v>
      </c>
      <c r="AH67" s="41"/>
      <c r="AI67" s="42">
        <v>33</v>
      </c>
      <c r="AJ67" s="42"/>
      <c r="AK67" s="42"/>
      <c r="AL67" s="43"/>
      <c r="AM67" s="41"/>
      <c r="AN67" s="43"/>
      <c r="AO67" s="41"/>
      <c r="AP67" s="43"/>
      <c r="AQ67" s="126">
        <f t="shared" si="4"/>
        <v>323.39999999999998</v>
      </c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3">
        <f>AF67*AI67/100</f>
        <v>323.39999999999998</v>
      </c>
    </row>
    <row r="68" spans="1:56" s="6" customFormat="1">
      <c r="A68" s="41"/>
      <c r="B68" s="42"/>
      <c r="C68" s="42"/>
      <c r="D68" s="42"/>
      <c r="E68" s="42"/>
      <c r="F68" s="42">
        <v>160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3">
        <f t="shared" si="8"/>
        <v>160</v>
      </c>
      <c r="AG68" s="44" t="s">
        <v>53</v>
      </c>
      <c r="AH68" s="41"/>
      <c r="AI68" s="42">
        <v>33</v>
      </c>
      <c r="AJ68" s="42"/>
      <c r="AK68" s="42"/>
      <c r="AL68" s="43"/>
      <c r="AM68" s="41"/>
      <c r="AN68" s="43"/>
      <c r="AO68" s="41"/>
      <c r="AP68" s="43"/>
      <c r="AQ68" s="126">
        <f t="shared" si="4"/>
        <v>52.800000000000004</v>
      </c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>
        <f>AF68*AI68%</f>
        <v>52.800000000000004</v>
      </c>
      <c r="BC68" s="43"/>
    </row>
    <row r="69" spans="1:56" s="6" customFormat="1">
      <c r="A69" s="48"/>
      <c r="B69" s="49"/>
      <c r="C69" s="49"/>
      <c r="D69" s="49"/>
      <c r="E69" s="49"/>
      <c r="F69" s="49">
        <v>53.2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2"/>
      <c r="AA69" s="49"/>
      <c r="AB69" s="49"/>
      <c r="AC69" s="49"/>
      <c r="AD69" s="49"/>
      <c r="AE69" s="49"/>
      <c r="AF69" s="43">
        <f t="shared" si="8"/>
        <v>53.2</v>
      </c>
      <c r="AG69" s="50" t="s">
        <v>85</v>
      </c>
      <c r="AH69" s="48"/>
      <c r="AI69" s="42">
        <v>33</v>
      </c>
      <c r="AJ69" s="49"/>
      <c r="AK69" s="49"/>
      <c r="AL69" s="51"/>
      <c r="AM69" s="41">
        <f>-AN69/$N$2%</f>
        <v>-1.5821705426356591E-2</v>
      </c>
      <c r="AN69" s="51">
        <v>1.46952E-2</v>
      </c>
      <c r="AO69" s="48"/>
      <c r="AP69" s="51"/>
      <c r="AQ69" s="127">
        <f t="shared" si="4"/>
        <v>17.560849416</v>
      </c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3">
        <f>AF69*AI69/100+AN69*AI69%</f>
        <v>17.560849416</v>
      </c>
    </row>
    <row r="70" spans="1:56" s="6" customFormat="1">
      <c r="A70" s="48"/>
      <c r="B70" s="49"/>
      <c r="C70" s="49"/>
      <c r="D70" s="49">
        <v>19</v>
      </c>
      <c r="E70" s="49"/>
      <c r="F70" s="49"/>
      <c r="G70" s="49">
        <v>605</v>
      </c>
      <c r="H70" s="49">
        <v>1.8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2"/>
      <c r="AA70" s="49"/>
      <c r="AB70" s="49"/>
      <c r="AC70" s="49"/>
      <c r="AD70" s="49"/>
      <c r="AE70" s="49"/>
      <c r="AF70" s="43">
        <f t="shared" si="8"/>
        <v>625.79999999999995</v>
      </c>
      <c r="AG70" s="50" t="s">
        <v>86</v>
      </c>
      <c r="AH70" s="48"/>
      <c r="AI70" s="42">
        <v>33</v>
      </c>
      <c r="AJ70" s="49"/>
      <c r="AK70" s="49"/>
      <c r="AL70" s="51"/>
      <c r="AM70" s="48"/>
      <c r="AN70" s="51"/>
      <c r="AO70" s="48"/>
      <c r="AP70" s="51"/>
      <c r="AQ70" s="127">
        <f t="shared" si="4"/>
        <v>206.51399999999998</v>
      </c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3">
        <f>AF70*AI70/100</f>
        <v>206.51399999999998</v>
      </c>
    </row>
    <row r="71" spans="1:56" s="6" customFormat="1" ht="13.5" thickBot="1">
      <c r="A71" s="48"/>
      <c r="B71" s="49"/>
      <c r="C71" s="49"/>
      <c r="D71" s="49"/>
      <c r="E71" s="49"/>
      <c r="F71" s="49">
        <v>59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2"/>
      <c r="AA71" s="49"/>
      <c r="AB71" s="49"/>
      <c r="AC71" s="49"/>
      <c r="AD71" s="49"/>
      <c r="AE71" s="49"/>
      <c r="AF71" s="51">
        <f t="shared" si="8"/>
        <v>59</v>
      </c>
      <c r="AG71" s="52" t="s">
        <v>54</v>
      </c>
      <c r="AH71" s="53"/>
      <c r="AI71" s="42">
        <v>33</v>
      </c>
      <c r="AJ71" s="54"/>
      <c r="AK71" s="54"/>
      <c r="AL71" s="55"/>
      <c r="AM71" s="53"/>
      <c r="AN71" s="55"/>
      <c r="AO71" s="53"/>
      <c r="AP71" s="55"/>
      <c r="AQ71" s="128">
        <f t="shared" si="4"/>
        <v>19.47</v>
      </c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43">
        <f>AF71*AI71/100</f>
        <v>19.47</v>
      </c>
    </row>
    <row r="72" spans="1:56" ht="13.5" thickBot="1">
      <c r="A72" s="56">
        <f t="shared" ref="A72:AE72" si="9">SUM(A8:A71)</f>
        <v>191.48642577544851</v>
      </c>
      <c r="B72" s="57">
        <f t="shared" si="9"/>
        <v>51.5</v>
      </c>
      <c r="C72" s="58">
        <f t="shared" si="9"/>
        <v>978.25</v>
      </c>
      <c r="D72" s="58">
        <f t="shared" si="9"/>
        <v>19</v>
      </c>
      <c r="E72" s="58">
        <f t="shared" si="9"/>
        <v>603</v>
      </c>
      <c r="F72" s="58">
        <f t="shared" si="9"/>
        <v>1584.2</v>
      </c>
      <c r="G72" s="57">
        <f t="shared" si="9"/>
        <v>605</v>
      </c>
      <c r="H72" s="58">
        <f t="shared" si="9"/>
        <v>1265.8</v>
      </c>
      <c r="I72" s="58">
        <f t="shared" si="9"/>
        <v>918.72</v>
      </c>
      <c r="J72" s="58">
        <f t="shared" si="9"/>
        <v>30.8</v>
      </c>
      <c r="K72" s="58">
        <f t="shared" si="9"/>
        <v>1.5</v>
      </c>
      <c r="L72" s="58">
        <f t="shared" si="9"/>
        <v>5.8</v>
      </c>
      <c r="M72" s="58">
        <f t="shared" si="9"/>
        <v>803</v>
      </c>
      <c r="N72" s="58">
        <f t="shared" si="9"/>
        <v>0</v>
      </c>
      <c r="O72" s="58">
        <f t="shared" si="9"/>
        <v>0</v>
      </c>
      <c r="P72" s="58">
        <f t="shared" si="9"/>
        <v>2.61</v>
      </c>
      <c r="Q72" s="58">
        <f t="shared" si="9"/>
        <v>0</v>
      </c>
      <c r="R72" s="58">
        <f t="shared" si="9"/>
        <v>5.7</v>
      </c>
      <c r="S72" s="58">
        <f t="shared" si="9"/>
        <v>0</v>
      </c>
      <c r="T72" s="58">
        <f t="shared" si="9"/>
        <v>164.19</v>
      </c>
      <c r="U72" s="58">
        <f t="shared" si="9"/>
        <v>0</v>
      </c>
      <c r="V72" s="58">
        <f t="shared" si="9"/>
        <v>203.7</v>
      </c>
      <c r="W72" s="58">
        <f t="shared" si="9"/>
        <v>368.1</v>
      </c>
      <c r="X72" s="58">
        <f t="shared" si="9"/>
        <v>2358.3000000000002</v>
      </c>
      <c r="Y72" s="58">
        <f t="shared" si="9"/>
        <v>89.437999999999988</v>
      </c>
      <c r="Z72" s="58">
        <f t="shared" si="9"/>
        <v>137.56199999999998</v>
      </c>
      <c r="AA72" s="58">
        <f t="shared" si="9"/>
        <v>13.35</v>
      </c>
      <c r="AB72" s="58">
        <f t="shared" si="9"/>
        <v>63</v>
      </c>
      <c r="AC72" s="58">
        <f t="shared" si="9"/>
        <v>28.55</v>
      </c>
      <c r="AD72" s="58">
        <f t="shared" si="9"/>
        <v>1.38</v>
      </c>
      <c r="AE72" s="58">
        <f t="shared" si="9"/>
        <v>0</v>
      </c>
      <c r="AF72" s="59">
        <f>SUM(AF8:AF71)</f>
        <v>10493.93642577545</v>
      </c>
      <c r="AG72" s="60" t="s">
        <v>26</v>
      </c>
      <c r="AH72" s="61"/>
      <c r="AI72" s="61"/>
      <c r="AJ72" s="61"/>
      <c r="AK72" s="61"/>
      <c r="AL72" s="61"/>
      <c r="AM72" s="56">
        <f t="shared" ref="AM72:AS72" si="10">SUM(AM8:AM71)</f>
        <v>9.3858948391201125E-14</v>
      </c>
      <c r="AN72" s="58">
        <f t="shared" si="10"/>
        <v>1653.5442020330365</v>
      </c>
      <c r="AO72" s="58">
        <f t="shared" si="10"/>
        <v>0</v>
      </c>
      <c r="AP72" s="58">
        <f t="shared" si="10"/>
        <v>1718.5381318999996</v>
      </c>
      <c r="AQ72" s="129">
        <f t="shared" si="10"/>
        <v>5755.6449813159998</v>
      </c>
      <c r="AR72" s="58">
        <f t="shared" si="10"/>
        <v>525.14443933249993</v>
      </c>
      <c r="AS72" s="58">
        <f t="shared" si="10"/>
        <v>2467.5666425674999</v>
      </c>
      <c r="AT72" s="58"/>
      <c r="AU72" s="58">
        <f t="shared" ref="AU72:BC72" si="11">SUM(AU8:AU71)</f>
        <v>453.48439999999999</v>
      </c>
      <c r="AV72" s="58">
        <f t="shared" si="11"/>
        <v>161.9</v>
      </c>
      <c r="AW72" s="58">
        <f t="shared" si="11"/>
        <v>102.3</v>
      </c>
      <c r="AX72" s="58">
        <f t="shared" si="11"/>
        <v>169.2</v>
      </c>
      <c r="AY72" s="58">
        <f t="shared" si="11"/>
        <v>11.5</v>
      </c>
      <c r="AZ72" s="58">
        <f t="shared" si="11"/>
        <v>798.76025000000004</v>
      </c>
      <c r="BA72" s="58">
        <f t="shared" si="11"/>
        <v>1.3</v>
      </c>
      <c r="BB72" s="58">
        <f t="shared" si="11"/>
        <v>156.4</v>
      </c>
      <c r="BC72" s="59">
        <f t="shared" si="11"/>
        <v>908.08924941600003</v>
      </c>
    </row>
    <row r="73" spans="1:56">
      <c r="A73" s="62">
        <f t="shared" ref="A73:AC73" si="12">A72*A78/1000</f>
        <v>23.303898016872086</v>
      </c>
      <c r="B73" s="35">
        <f t="shared" si="12"/>
        <v>3.3475000000000001</v>
      </c>
      <c r="C73" s="63">
        <f t="shared" si="12"/>
        <v>92.933750000000003</v>
      </c>
      <c r="D73" s="63">
        <f t="shared" si="12"/>
        <v>1.482</v>
      </c>
      <c r="E73" s="63">
        <f t="shared" si="12"/>
        <v>44.561700000000002</v>
      </c>
      <c r="F73" s="63">
        <f t="shared" si="12"/>
        <v>117.07238000000002</v>
      </c>
      <c r="G73" s="35">
        <f t="shared" si="12"/>
        <v>43.56</v>
      </c>
      <c r="H73" s="63">
        <f t="shared" si="12"/>
        <v>92.403399999999991</v>
      </c>
      <c r="I73" s="63">
        <f t="shared" si="12"/>
        <v>52.183295999999999</v>
      </c>
      <c r="J73" s="63">
        <f t="shared" si="12"/>
        <v>2.57796</v>
      </c>
      <c r="K73" s="63">
        <f t="shared" si="12"/>
        <v>8.1000000000000003E-2</v>
      </c>
      <c r="L73" s="63">
        <f t="shared" si="12"/>
        <v>0.31668000000000002</v>
      </c>
      <c r="M73" s="63">
        <f t="shared" si="12"/>
        <v>0</v>
      </c>
      <c r="N73" s="63">
        <f t="shared" si="12"/>
        <v>0</v>
      </c>
      <c r="O73" s="63">
        <f t="shared" si="12"/>
        <v>0</v>
      </c>
      <c r="P73" s="63">
        <f t="shared" si="12"/>
        <v>0</v>
      </c>
      <c r="Q73" s="63">
        <f t="shared" si="12"/>
        <v>0</v>
      </c>
      <c r="R73" s="63">
        <f t="shared" si="12"/>
        <v>0</v>
      </c>
      <c r="S73" s="63">
        <f t="shared" si="12"/>
        <v>0</v>
      </c>
      <c r="T73" s="63">
        <f t="shared" si="12"/>
        <v>0</v>
      </c>
      <c r="U73" s="63">
        <f t="shared" si="12"/>
        <v>0</v>
      </c>
      <c r="V73" s="63">
        <f t="shared" si="12"/>
        <v>0</v>
      </c>
      <c r="W73" s="63">
        <f t="shared" si="12"/>
        <v>0</v>
      </c>
      <c r="X73" s="63">
        <f t="shared" si="12"/>
        <v>0</v>
      </c>
      <c r="Y73" s="63">
        <f t="shared" si="12"/>
        <v>0</v>
      </c>
      <c r="Z73" s="63">
        <f t="shared" si="12"/>
        <v>0</v>
      </c>
      <c r="AA73" s="63">
        <f t="shared" si="12"/>
        <v>0</v>
      </c>
      <c r="AB73" s="63">
        <f t="shared" si="12"/>
        <v>0</v>
      </c>
      <c r="AC73" s="63">
        <f t="shared" si="12"/>
        <v>0</v>
      </c>
      <c r="AD73" s="63">
        <v>0</v>
      </c>
      <c r="AE73" s="63">
        <f>AE72*AE78/1000</f>
        <v>0</v>
      </c>
      <c r="AF73" s="117">
        <f>SUM(A73:AE73)</f>
        <v>473.82356401687213</v>
      </c>
      <c r="AG73" s="64" t="s">
        <v>55</v>
      </c>
      <c r="AH73" s="87">
        <f>AF73*1000/M1</f>
        <v>5.0288530584144953</v>
      </c>
      <c r="AI73" s="65" t="s">
        <v>56</v>
      </c>
      <c r="AJ73" s="65"/>
      <c r="AK73" s="65"/>
      <c r="AL73" s="66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8"/>
      <c r="AY73" s="68"/>
      <c r="AZ73" s="68"/>
      <c r="BA73" s="68"/>
      <c r="BB73" s="68"/>
      <c r="BC73" s="68"/>
    </row>
    <row r="74" spans="1:56">
      <c r="A74" s="69"/>
      <c r="B74" s="42"/>
      <c r="C74" s="70"/>
      <c r="D74" s="70"/>
      <c r="E74" s="70"/>
      <c r="F74" s="70"/>
      <c r="G74" s="42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>
        <v>299.88879623825937</v>
      </c>
      <c r="S74" s="70">
        <v>36.283718586792233</v>
      </c>
      <c r="T74" s="70">
        <f>1301.50796524685-149</f>
        <v>1152.5079652468501</v>
      </c>
      <c r="U74" s="70">
        <v>149</v>
      </c>
      <c r="V74" s="70">
        <v>974.46339123388975</v>
      </c>
      <c r="W74" s="70">
        <v>438.04953703962934</v>
      </c>
      <c r="X74" s="70"/>
      <c r="Y74" s="70"/>
      <c r="Z74" s="70"/>
      <c r="AA74" s="70"/>
      <c r="AB74" s="70">
        <v>0</v>
      </c>
      <c r="AC74" s="70"/>
      <c r="AD74" s="70"/>
      <c r="AE74" s="70"/>
      <c r="AF74" s="71">
        <f>SUM(A74:AE74)</f>
        <v>3050.1934083454207</v>
      </c>
      <c r="AG74" s="72" t="s">
        <v>148</v>
      </c>
      <c r="AH74" s="83">
        <f>(SUM(M72:AD72)+A72*0.274)/AF72*100</f>
        <v>40.893589464883426</v>
      </c>
      <c r="AI74" s="73" t="s">
        <v>98</v>
      </c>
      <c r="AJ74" s="73"/>
      <c r="AK74" s="73"/>
      <c r="AL74" s="74"/>
      <c r="AM74" s="67"/>
      <c r="AN74" s="67"/>
      <c r="AO74" s="67"/>
      <c r="AP74" s="67"/>
      <c r="AQ74" s="130" t="s">
        <v>168</v>
      </c>
      <c r="AR74" s="67">
        <f>SUM(AQ63:AQ71)</f>
        <v>957.704849416</v>
      </c>
      <c r="AS74" s="67"/>
      <c r="AT74" s="67"/>
      <c r="AU74" s="67"/>
      <c r="AV74" s="67"/>
      <c r="AW74" s="67"/>
      <c r="AX74" s="68"/>
      <c r="AY74" s="68"/>
      <c r="AZ74" s="68"/>
      <c r="BA74" s="68"/>
      <c r="BB74" s="68"/>
      <c r="BC74" s="68"/>
    </row>
    <row r="75" spans="1:56" ht="13.5" thickBot="1">
      <c r="A75" s="75"/>
      <c r="B75" s="54"/>
      <c r="C75" s="76"/>
      <c r="D75" s="76"/>
      <c r="E75" s="76"/>
      <c r="F75" s="76"/>
      <c r="G75" s="54"/>
      <c r="H75" s="76"/>
      <c r="I75" s="76"/>
      <c r="J75" s="76"/>
      <c r="K75" s="76"/>
      <c r="L75" s="76"/>
      <c r="M75" s="76" t="str">
        <f t="shared" ref="M75:W75" si="13">IF(M74&gt;0,M72/M74*100,"")</f>
        <v/>
      </c>
      <c r="N75" s="76" t="str">
        <f t="shared" si="13"/>
        <v/>
      </c>
      <c r="O75" s="76" t="str">
        <f t="shared" si="13"/>
        <v/>
      </c>
      <c r="P75" s="76" t="str">
        <f t="shared" si="13"/>
        <v/>
      </c>
      <c r="Q75" s="76" t="str">
        <f t="shared" si="13"/>
        <v/>
      </c>
      <c r="R75" s="76">
        <f t="shared" si="13"/>
        <v>1.9007045516536714</v>
      </c>
      <c r="S75" s="76">
        <f t="shared" si="13"/>
        <v>0</v>
      </c>
      <c r="T75" s="76">
        <f t="shared" si="13"/>
        <v>14.246322364013592</v>
      </c>
      <c r="U75" s="76">
        <f t="shared" si="13"/>
        <v>0</v>
      </c>
      <c r="V75" s="76">
        <f t="shared" si="13"/>
        <v>20.903812481048671</v>
      </c>
      <c r="W75" s="76">
        <f t="shared" si="13"/>
        <v>84.031592063227961</v>
      </c>
      <c r="X75" s="76"/>
      <c r="Y75" s="76" t="str">
        <f>IF(Y74&gt;0,Y72/Y74*100,"")</f>
        <v/>
      </c>
      <c r="Z75" s="76"/>
      <c r="AA75" s="76" t="str">
        <f>IF(AA74&gt;0,AA72/AA74*100,"")</f>
        <v/>
      </c>
      <c r="AB75" s="76" t="str">
        <f>IF(AB74&gt;0,AB72/AB74*100,"")</f>
        <v/>
      </c>
      <c r="AC75" s="76" t="str">
        <f>IF(AC74&gt;0,AC72/AC74*100,"")</f>
        <v/>
      </c>
      <c r="AD75" s="76" t="str">
        <f>IF(AD74&gt;0,AD72/AD74*100,"")</f>
        <v/>
      </c>
      <c r="AE75" s="76" t="str">
        <f>IF(AE74&gt;0,AE72/AE74*100,"")</f>
        <v/>
      </c>
      <c r="AF75" s="77">
        <f>SUMIF(M74:AE74,"&gt;0",M72:AE72)/SUM(M74:AE74)%</f>
        <v>24.3161629675913</v>
      </c>
      <c r="AG75" s="78" t="s">
        <v>153</v>
      </c>
      <c r="AH75" s="79"/>
      <c r="AI75" s="79"/>
      <c r="AJ75" s="79"/>
      <c r="AK75" s="79"/>
      <c r="AL75" s="80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8"/>
      <c r="AY75" s="68"/>
      <c r="AZ75" s="68"/>
      <c r="BA75" s="68"/>
      <c r="BB75" s="68"/>
      <c r="BC75" s="68"/>
    </row>
    <row r="76" spans="1:56" ht="13.5" thickBot="1">
      <c r="A76" s="68"/>
      <c r="B76" s="45"/>
      <c r="C76" s="68"/>
      <c r="D76" s="68"/>
      <c r="E76" s="68"/>
      <c r="F76" s="68"/>
      <c r="G76" s="45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81"/>
      <c r="AJ76" s="68"/>
      <c r="AK76" s="68"/>
      <c r="AL76" s="68"/>
      <c r="AM76" s="67"/>
      <c r="AN76" s="81"/>
      <c r="AO76" s="67"/>
      <c r="AP76" s="67"/>
      <c r="AQ76" s="67"/>
      <c r="AR76" s="67"/>
      <c r="AS76" s="67"/>
      <c r="AT76" s="67"/>
      <c r="AU76" s="67"/>
      <c r="AV76" s="67"/>
      <c r="AW76" s="67"/>
      <c r="AX76" s="68"/>
      <c r="AY76" s="68"/>
      <c r="AZ76" s="68"/>
      <c r="BA76" s="68"/>
      <c r="BB76" s="68"/>
      <c r="BC76" s="68"/>
    </row>
    <row r="77" spans="1:56" ht="81.75" customHeight="1" thickBot="1">
      <c r="A77" s="27" t="str">
        <f t="shared" ref="A77:AE77" si="14">A7</f>
        <v>Elimport</v>
      </c>
      <c r="B77" s="23" t="str">
        <f t="shared" si="14"/>
        <v>LPG og petroleum</v>
      </c>
      <c r="C77" s="24" t="str">
        <f t="shared" si="14"/>
        <v>Kul</v>
      </c>
      <c r="D77" s="24" t="str">
        <f t="shared" si="14"/>
        <v>Fuelolie</v>
      </c>
      <c r="E77" s="24" t="str">
        <f t="shared" si="14"/>
        <v>Brændselsolie</v>
      </c>
      <c r="F77" s="24" t="str">
        <f t="shared" si="14"/>
        <v>Dieselolie</v>
      </c>
      <c r="G77" s="23" t="str">
        <f t="shared" si="14"/>
        <v>JP1</v>
      </c>
      <c r="H77" s="24" t="str">
        <f t="shared" si="14"/>
        <v>Benzin</v>
      </c>
      <c r="I77" s="24" t="str">
        <f t="shared" si="14"/>
        <v>Naturgas</v>
      </c>
      <c r="J77" s="24" t="str">
        <f t="shared" si="14"/>
        <v>Novo-sprit</v>
      </c>
      <c r="K77" s="24" t="str">
        <f t="shared" si="14"/>
        <v>Opløsningsmidler</v>
      </c>
      <c r="L77" s="24" t="str">
        <f t="shared" si="14"/>
        <v>Alternative brændsler</v>
      </c>
      <c r="M77" s="24" t="str">
        <f t="shared" si="14"/>
        <v>Vindenergi</v>
      </c>
      <c r="N77" s="24" t="str">
        <f t="shared" si="14"/>
        <v>Bølgeenergi</v>
      </c>
      <c r="O77" s="24" t="str">
        <f t="shared" si="14"/>
        <v>Vandkraft</v>
      </c>
      <c r="P77" s="24" t="str">
        <f t="shared" si="14"/>
        <v>Solenergi</v>
      </c>
      <c r="Q77" s="24" t="str">
        <f t="shared" si="14"/>
        <v>Geotermi</v>
      </c>
      <c r="R77" s="24" t="str">
        <f t="shared" si="14"/>
        <v>Husdyrgødning</v>
      </c>
      <c r="S77" s="24" t="str">
        <f t="shared" si="14"/>
        <v>Afgasset fibre</v>
      </c>
      <c r="T77" s="24" t="str">
        <f t="shared" si="14"/>
        <v>Bioolie og energiafgrøder</v>
      </c>
      <c r="U77" s="24" t="str">
        <f t="shared" si="14"/>
        <v>Eksport rapsolie</v>
      </c>
      <c r="V77" s="24" t="str">
        <f t="shared" si="14"/>
        <v>Halm</v>
      </c>
      <c r="W77" s="24" t="str">
        <f t="shared" si="14"/>
        <v>Brænde, træflis og træaffald</v>
      </c>
      <c r="X77" s="24" t="str">
        <f t="shared" si="14"/>
        <v>Import, Brænde og træflis</v>
      </c>
      <c r="Y77" s="24" t="str">
        <f t="shared" si="14"/>
        <v>Træpiller</v>
      </c>
      <c r="Z77" s="24" t="str">
        <f t="shared" si="14"/>
        <v>Import, træpiller</v>
      </c>
      <c r="AA77" s="24" t="str">
        <f t="shared" si="14"/>
        <v>Lossepladsgas</v>
      </c>
      <c r="AB77" s="24" t="str">
        <f t="shared" si="14"/>
        <v>Organisk affald, kød og benmel</v>
      </c>
      <c r="AC77" s="24" t="str">
        <f t="shared" si="14"/>
        <v>Deponi, slam, renseanlæg</v>
      </c>
      <c r="AD77" s="24" t="str">
        <f t="shared" si="14"/>
        <v>Varmekilder til varmepumper</v>
      </c>
      <c r="AE77" s="118" t="str">
        <f t="shared" si="14"/>
        <v xml:space="preserve">Affald, ikke bionedbrydeligt 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6" ht="13.5" thickBot="1">
      <c r="A78" s="109">
        <v>121.7</v>
      </c>
      <c r="B78" s="29">
        <v>65</v>
      </c>
      <c r="C78" s="29">
        <v>95</v>
      </c>
      <c r="D78" s="29">
        <v>78</v>
      </c>
      <c r="E78" s="29">
        <v>73.900000000000006</v>
      </c>
      <c r="F78" s="29">
        <v>73.900000000000006</v>
      </c>
      <c r="G78" s="29">
        <v>72</v>
      </c>
      <c r="H78" s="29">
        <v>73</v>
      </c>
      <c r="I78" s="29">
        <v>56.8</v>
      </c>
      <c r="J78" s="29">
        <v>83.7</v>
      </c>
      <c r="K78" s="29">
        <v>54</v>
      </c>
      <c r="L78" s="29">
        <v>54.6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110">
        <v>0</v>
      </c>
      <c r="AD78" s="110">
        <v>0</v>
      </c>
      <c r="AE78" s="110">
        <v>78.900000000000006</v>
      </c>
      <c r="AF78" s="32" t="s">
        <v>57</v>
      </c>
      <c r="AG78" s="33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6">
      <c r="A79" s="3"/>
      <c r="B79" s="82"/>
      <c r="C79" s="3"/>
      <c r="D79" s="3"/>
      <c r="E79" s="3"/>
      <c r="F79" s="3"/>
      <c r="G79" s="8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>
      <c r="AG80" s="3"/>
    </row>
    <row r="81" spans="1:33">
      <c r="S81" s="68"/>
      <c r="AG81" s="5"/>
    </row>
    <row r="82" spans="1:33" ht="12.75" customHeight="1">
      <c r="A82" s="4"/>
      <c r="AG82" s="3"/>
    </row>
    <row r="84" spans="1:33">
      <c r="AG84" s="3"/>
    </row>
    <row r="85" spans="1:33">
      <c r="W85" s="68"/>
      <c r="AG85" s="3"/>
    </row>
    <row r="86" spans="1:33">
      <c r="W86" s="68"/>
    </row>
  </sheetData>
  <mergeCells count="1">
    <mergeCell ref="M1:N1"/>
  </mergeCells>
  <phoneticPr fontId="0" type="noConversion"/>
  <printOptions headings="1"/>
  <pageMargins left="0.19685039370078741" right="0.19685039370078741" top="0.98425196850393704" bottom="0.55118110236220474" header="0" footer="0"/>
  <pageSetup paperSize="8" scale="52" orientation="landscape" r:id="rId1"/>
  <headerFooter alignWithMargins="0">
    <oddFooter>&amp;R&amp;F &amp;T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BD85"/>
  <sheetViews>
    <sheetView showZeros="0" topLeftCell="A58" zoomScale="70" zoomScaleNormal="70" workbookViewId="0">
      <selection activeCell="AH74" sqref="AH74"/>
    </sheetView>
    <sheetView showZeros="0" topLeftCell="E45" workbookViewId="1">
      <selection activeCell="F68" sqref="F68"/>
    </sheetView>
  </sheetViews>
  <sheetFormatPr defaultRowHeight="12.75"/>
  <cols>
    <col min="1" max="1" width="10.140625" bestFit="1" customWidth="1"/>
    <col min="2" max="2" width="5.7109375" style="6" customWidth="1"/>
    <col min="3" max="3" width="8.5703125" customWidth="1"/>
    <col min="4" max="4" width="7.140625" customWidth="1"/>
    <col min="5" max="5" width="5.7109375" customWidth="1"/>
    <col min="6" max="6" width="8.42578125" customWidth="1"/>
    <col min="7" max="7" width="6.140625" style="6" customWidth="1"/>
    <col min="8" max="8" width="8.140625" customWidth="1"/>
    <col min="9" max="9" width="7" bestFit="1" customWidth="1"/>
    <col min="10" max="12" width="7" customWidth="1"/>
    <col min="13" max="13" width="6.85546875" customWidth="1"/>
    <col min="14" max="19" width="5.7109375" customWidth="1"/>
    <col min="20" max="20" width="6.5703125" customWidth="1"/>
    <col min="21" max="21" width="5.7109375" customWidth="1"/>
    <col min="22" max="22" width="6.42578125" bestFit="1" customWidth="1"/>
    <col min="23" max="23" width="7.42578125" customWidth="1"/>
    <col min="24" max="24" width="6.140625" customWidth="1"/>
    <col min="25" max="28" width="5.7109375" customWidth="1"/>
    <col min="29" max="29" width="5.7109375" style="6" customWidth="1"/>
    <col min="30" max="30" width="5.7109375" customWidth="1"/>
    <col min="31" max="31" width="7.140625" customWidth="1"/>
    <col min="32" max="32" width="8.7109375" customWidth="1"/>
    <col min="33" max="33" width="52.140625" bestFit="1" customWidth="1"/>
    <col min="34" max="38" width="5.7109375" customWidth="1"/>
    <col min="40" max="40" width="6.42578125" customWidth="1"/>
    <col min="41" max="41" width="8.140625" bestFit="1" customWidth="1"/>
    <col min="42" max="42" width="6.85546875" customWidth="1"/>
    <col min="43" max="43" width="7.5703125" customWidth="1"/>
    <col min="44" max="44" width="6.5703125" customWidth="1"/>
    <col min="45" max="45" width="7.28515625" bestFit="1" customWidth="1"/>
    <col min="46" max="46" width="5.7109375" hidden="1" customWidth="1"/>
    <col min="47" max="51" width="5.7109375" customWidth="1"/>
    <col min="52" max="52" width="6.42578125" style="6" bestFit="1" customWidth="1"/>
    <col min="53" max="54" width="5.7109375" customWidth="1"/>
    <col min="55" max="55" width="7.28515625" bestFit="1" customWidth="1"/>
  </cols>
  <sheetData>
    <row r="1" spans="1:56" s="6" customFormat="1">
      <c r="A1" s="8" t="s">
        <v>0</v>
      </c>
      <c r="B1" s="9"/>
      <c r="C1" s="9" t="s">
        <v>102</v>
      </c>
      <c r="D1" s="9"/>
      <c r="E1" s="9"/>
      <c r="F1" s="8" t="s">
        <v>4</v>
      </c>
      <c r="G1" s="9"/>
      <c r="H1" s="9"/>
      <c r="I1" s="9"/>
      <c r="J1" s="9"/>
      <c r="K1" s="9"/>
      <c r="L1" s="9"/>
      <c r="M1" s="121">
        <v>92984</v>
      </c>
      <c r="N1" s="12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6" s="6" customFormat="1">
      <c r="A2" s="11" t="s">
        <v>1</v>
      </c>
      <c r="B2" s="12"/>
      <c r="C2" s="12">
        <v>2007</v>
      </c>
      <c r="D2" s="12"/>
      <c r="E2" s="12"/>
      <c r="F2" s="11" t="s">
        <v>58</v>
      </c>
      <c r="G2" s="12"/>
      <c r="H2" s="12"/>
      <c r="I2" s="12"/>
      <c r="J2" s="12"/>
      <c r="K2" s="12"/>
      <c r="L2" s="12"/>
      <c r="M2" s="12"/>
      <c r="N2" s="13">
        <v>92.7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6" s="6" customFormat="1" ht="17.25" customHeight="1" thickBot="1">
      <c r="A3" s="14" t="s">
        <v>166</v>
      </c>
      <c r="B3" s="15"/>
      <c r="C3" s="15" t="s">
        <v>2</v>
      </c>
      <c r="D3" s="15" t="s">
        <v>3</v>
      </c>
      <c r="E3" s="15"/>
      <c r="F3" s="115"/>
      <c r="G3" s="15"/>
      <c r="H3" s="15"/>
      <c r="I3" s="15"/>
      <c r="J3" s="15"/>
      <c r="K3" s="15"/>
      <c r="L3" s="15"/>
      <c r="M3" s="15"/>
      <c r="N3" s="1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8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6" ht="18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6"/>
    </row>
    <row r="5" spans="1:56" ht="13.5" thickBot="1">
      <c r="A5" s="17"/>
      <c r="B5" s="18"/>
      <c r="C5" s="19"/>
      <c r="D5" s="19"/>
      <c r="E5" s="19"/>
      <c r="F5" s="19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 t="s">
        <v>103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1"/>
    </row>
    <row r="6" spans="1:56" ht="13.5" thickBot="1">
      <c r="A6" s="17" t="s">
        <v>5</v>
      </c>
      <c r="B6" s="18"/>
      <c r="C6" s="19"/>
      <c r="D6" s="19"/>
      <c r="E6" s="19"/>
      <c r="F6" s="19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 t="s">
        <v>20</v>
      </c>
      <c r="AH6" s="19" t="s">
        <v>22</v>
      </c>
      <c r="AI6" s="19"/>
      <c r="AJ6" s="19"/>
      <c r="AK6" s="19"/>
      <c r="AL6" s="19"/>
      <c r="AM6" s="17" t="s">
        <v>23</v>
      </c>
      <c r="AN6" s="21"/>
      <c r="AO6" s="17" t="s">
        <v>24</v>
      </c>
      <c r="AP6" s="21"/>
      <c r="AQ6" s="19" t="s">
        <v>25</v>
      </c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1"/>
    </row>
    <row r="7" spans="1:56" s="1" customFormat="1" ht="120" customHeight="1" thickBot="1">
      <c r="A7" s="22" t="s">
        <v>96</v>
      </c>
      <c r="B7" s="23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95</v>
      </c>
      <c r="H7" s="23" t="s">
        <v>11</v>
      </c>
      <c r="I7" s="23" t="s">
        <v>12</v>
      </c>
      <c r="J7" s="23" t="s">
        <v>110</v>
      </c>
      <c r="K7" s="23" t="s">
        <v>111</v>
      </c>
      <c r="L7" s="23" t="s">
        <v>112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117</v>
      </c>
      <c r="S7" s="23" t="s">
        <v>93</v>
      </c>
      <c r="T7" s="23" t="s">
        <v>107</v>
      </c>
      <c r="U7" s="23" t="s">
        <v>106</v>
      </c>
      <c r="V7" s="23" t="s">
        <v>18</v>
      </c>
      <c r="W7" s="23" t="s">
        <v>114</v>
      </c>
      <c r="X7" s="23" t="s">
        <v>97</v>
      </c>
      <c r="Y7" s="23" t="s">
        <v>115</v>
      </c>
      <c r="Z7" s="23" t="s">
        <v>116</v>
      </c>
      <c r="AA7" s="23" t="s">
        <v>113</v>
      </c>
      <c r="AB7" s="23" t="s">
        <v>19</v>
      </c>
      <c r="AC7" s="23" t="s">
        <v>92</v>
      </c>
      <c r="AD7" s="23" t="s">
        <v>94</v>
      </c>
      <c r="AE7" s="23" t="s">
        <v>118</v>
      </c>
      <c r="AF7" s="25" t="s">
        <v>91</v>
      </c>
      <c r="AG7" s="26" t="s">
        <v>21</v>
      </c>
      <c r="AH7" s="27" t="s">
        <v>161</v>
      </c>
      <c r="AI7" s="24" t="s">
        <v>162</v>
      </c>
      <c r="AJ7" s="23" t="s">
        <v>163</v>
      </c>
      <c r="AK7" s="23" t="s">
        <v>23</v>
      </c>
      <c r="AL7" s="112" t="s">
        <v>24</v>
      </c>
      <c r="AM7" s="22" t="s">
        <v>164</v>
      </c>
      <c r="AN7" s="112" t="s">
        <v>165</v>
      </c>
      <c r="AO7" s="22" t="s">
        <v>164</v>
      </c>
      <c r="AP7" s="112" t="s">
        <v>165</v>
      </c>
      <c r="AQ7" s="113" t="s">
        <v>26</v>
      </c>
      <c r="AR7" s="23" t="s">
        <v>27</v>
      </c>
      <c r="AS7" s="23" t="s">
        <v>28</v>
      </c>
      <c r="AT7" s="23"/>
      <c r="AU7" s="23" t="s">
        <v>30</v>
      </c>
      <c r="AV7" s="23" t="s">
        <v>31</v>
      </c>
      <c r="AW7" s="23" t="s">
        <v>32</v>
      </c>
      <c r="AX7" s="23" t="s">
        <v>33</v>
      </c>
      <c r="AY7" s="23" t="s">
        <v>34</v>
      </c>
      <c r="AZ7" s="23" t="s">
        <v>35</v>
      </c>
      <c r="BA7" s="114" t="s">
        <v>36</v>
      </c>
      <c r="BB7" s="114" t="s">
        <v>37</v>
      </c>
      <c r="BC7" s="112" t="s">
        <v>29</v>
      </c>
    </row>
    <row r="8" spans="1:56" s="6" customFormat="1">
      <c r="A8" s="34"/>
      <c r="B8" s="81">
        <v>60.053730032435702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>
        <f t="shared" ref="AF8:AF51" si="0">SUM(A8:AE8)</f>
        <v>60.053730032435702</v>
      </c>
      <c r="AG8" s="37" t="s">
        <v>108</v>
      </c>
      <c r="AH8" s="38"/>
      <c r="AI8" s="39"/>
      <c r="AJ8" s="39">
        <v>38</v>
      </c>
      <c r="AK8" s="39"/>
      <c r="AL8" s="40"/>
      <c r="AM8" s="38"/>
      <c r="AN8" s="40"/>
      <c r="AO8" s="38"/>
      <c r="AP8" s="40"/>
      <c r="AQ8" s="38">
        <f t="shared" ref="AQ8:AQ14" si="1">SUM(AR8:BC8,-AT8)</f>
        <v>22.820417412325568</v>
      </c>
      <c r="AR8" s="39"/>
      <c r="AS8" s="39"/>
      <c r="AT8" s="39"/>
      <c r="AU8" s="39">
        <f>AF8*AJ8/100*0.2</f>
        <v>4.5640834824651142</v>
      </c>
      <c r="AV8" s="39"/>
      <c r="AW8" s="39"/>
      <c r="AX8" s="39"/>
      <c r="AY8" s="39"/>
      <c r="AZ8" s="39">
        <f>AF8*AJ8/100*0.6</f>
        <v>13.69225044739534</v>
      </c>
      <c r="BA8" s="39"/>
      <c r="BB8" s="39"/>
      <c r="BC8" s="40">
        <f>AF8*AJ8/100*0.2</f>
        <v>4.5640834824651142</v>
      </c>
    </row>
    <row r="9" spans="1:56" s="6" customForma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>
        <f t="shared" si="0"/>
        <v>0</v>
      </c>
      <c r="AG9" s="44" t="s">
        <v>38</v>
      </c>
      <c r="AH9" s="41"/>
      <c r="AI9" s="42">
        <v>44</v>
      </c>
      <c r="AJ9" s="42"/>
      <c r="AK9" s="42"/>
      <c r="AL9" s="43"/>
      <c r="AM9" s="41">
        <f t="shared" ref="AM9:AM15" si="2">-AN9/$N$2%</f>
        <v>-84.093360792389916</v>
      </c>
      <c r="AN9" s="43">
        <f>AQ9/AI9%</f>
        <v>77.954545454545453</v>
      </c>
      <c r="AO9" s="41"/>
      <c r="AP9" s="43"/>
      <c r="AQ9" s="41">
        <f t="shared" si="1"/>
        <v>34.299999999999997</v>
      </c>
      <c r="AR9" s="42"/>
      <c r="AS9" s="42"/>
      <c r="AT9" s="42"/>
      <c r="AU9" s="42">
        <v>34.299999999999997</v>
      </c>
      <c r="AV9" s="42"/>
      <c r="AW9" s="42"/>
      <c r="AX9" s="42"/>
      <c r="AY9" s="42"/>
      <c r="AZ9" s="42"/>
      <c r="BA9" s="42"/>
      <c r="BB9" s="42"/>
      <c r="BC9" s="43"/>
    </row>
    <row r="10" spans="1:56" s="6" customForma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>
        <f t="shared" si="0"/>
        <v>0</v>
      </c>
      <c r="AG10" s="44" t="s">
        <v>39</v>
      </c>
      <c r="AH10" s="41"/>
      <c r="AI10" s="42"/>
      <c r="AJ10" s="42">
        <v>90</v>
      </c>
      <c r="AK10" s="42"/>
      <c r="AL10" s="43"/>
      <c r="AM10" s="41">
        <f t="shared" si="2"/>
        <v>-7.431379599664389</v>
      </c>
      <c r="AN10" s="43">
        <f>AQ10/AJ10%</f>
        <v>6.8888888888888893</v>
      </c>
      <c r="AO10" s="41"/>
      <c r="AP10" s="43"/>
      <c r="AQ10" s="41">
        <f t="shared" si="1"/>
        <v>6.2</v>
      </c>
      <c r="AR10" s="42">
        <v>6.2</v>
      </c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3"/>
    </row>
    <row r="11" spans="1:56" s="6" customForma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>
        <f t="shared" si="0"/>
        <v>0</v>
      </c>
      <c r="AG11" s="44" t="s">
        <v>40</v>
      </c>
      <c r="AH11" s="41"/>
      <c r="AI11" s="42"/>
      <c r="AJ11" s="42">
        <v>100</v>
      </c>
      <c r="AK11" s="42"/>
      <c r="AL11" s="43"/>
      <c r="AM11" s="41">
        <f t="shared" si="2"/>
        <v>-31.71521035598705</v>
      </c>
      <c r="AN11" s="43">
        <f>AQ11/AJ11%</f>
        <v>29.4</v>
      </c>
      <c r="AO11" s="41"/>
      <c r="AP11" s="43"/>
      <c r="AQ11" s="41">
        <f t="shared" si="1"/>
        <v>29.4</v>
      </c>
      <c r="AR11" s="42"/>
      <c r="AS11" s="42">
        <v>29.4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3"/>
    </row>
    <row r="12" spans="1:56" s="6" customForma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>
        <f t="shared" si="0"/>
        <v>0</v>
      </c>
      <c r="AG12" s="44" t="s">
        <v>66</v>
      </c>
      <c r="AH12" s="41"/>
      <c r="AI12" s="42">
        <v>50</v>
      </c>
      <c r="AJ12" s="42"/>
      <c r="AK12" s="42"/>
      <c r="AL12" s="43"/>
      <c r="AM12" s="41">
        <f t="shared" si="2"/>
        <v>-253.5059331175836</v>
      </c>
      <c r="AN12" s="43">
        <f>AQ12/AI12%</f>
        <v>235</v>
      </c>
      <c r="AO12" s="41"/>
      <c r="AP12" s="43"/>
      <c r="AQ12" s="41">
        <f t="shared" si="1"/>
        <v>117.5</v>
      </c>
      <c r="AR12" s="42"/>
      <c r="AS12" s="42"/>
      <c r="AT12" s="42"/>
      <c r="AU12" s="42">
        <v>39</v>
      </c>
      <c r="AV12" s="42">
        <v>26</v>
      </c>
      <c r="AW12" s="42">
        <v>13.2</v>
      </c>
      <c r="AX12" s="42">
        <v>19.5</v>
      </c>
      <c r="AY12" s="42">
        <v>0.4</v>
      </c>
      <c r="AZ12" s="42">
        <v>12.2</v>
      </c>
      <c r="BA12" s="42">
        <v>0.1</v>
      </c>
      <c r="BB12" s="42">
        <v>7.1</v>
      </c>
      <c r="BC12" s="43"/>
    </row>
    <row r="13" spans="1:56" s="6" customForma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>
        <f t="shared" si="0"/>
        <v>0</v>
      </c>
      <c r="AG13" s="44" t="s">
        <v>67</v>
      </c>
      <c r="AH13" s="41"/>
      <c r="AI13" s="42">
        <v>150</v>
      </c>
      <c r="AJ13" s="42"/>
      <c r="AK13" s="42"/>
      <c r="AL13" s="43"/>
      <c r="AM13" s="41">
        <f t="shared" si="2"/>
        <v>-217.47572815533982</v>
      </c>
      <c r="AN13" s="43">
        <f>AQ13/AI13%</f>
        <v>201.60000000000002</v>
      </c>
      <c r="AO13" s="41"/>
      <c r="AP13" s="43"/>
      <c r="AQ13" s="41">
        <f t="shared" si="1"/>
        <v>302.40000000000003</v>
      </c>
      <c r="AR13" s="42"/>
      <c r="AS13" s="42"/>
      <c r="AT13" s="42"/>
      <c r="AU13" s="42">
        <v>138</v>
      </c>
      <c r="AV13" s="42">
        <v>0</v>
      </c>
      <c r="AW13" s="42">
        <v>44.3</v>
      </c>
      <c r="AX13" s="42">
        <v>65.400000000000006</v>
      </c>
      <c r="AY13" s="42">
        <v>1.6</v>
      </c>
      <c r="AZ13" s="42">
        <v>48.8</v>
      </c>
      <c r="BA13" s="42">
        <v>0.1</v>
      </c>
      <c r="BB13" s="42">
        <v>4.2</v>
      </c>
      <c r="BC13" s="43"/>
    </row>
    <row r="14" spans="1:56" s="6" customForma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>
        <f t="shared" si="0"/>
        <v>0</v>
      </c>
      <c r="AG14" s="44" t="s">
        <v>68</v>
      </c>
      <c r="AH14" s="41"/>
      <c r="AI14" s="42">
        <v>85</v>
      </c>
      <c r="AJ14" s="42"/>
      <c r="AK14" s="42"/>
      <c r="AL14" s="43"/>
      <c r="AM14" s="41">
        <f t="shared" si="2"/>
        <v>-1034.0757662288217</v>
      </c>
      <c r="AN14" s="43">
        <f>AQ14/AI14%</f>
        <v>958.58823529411791</v>
      </c>
      <c r="AO14" s="41"/>
      <c r="AP14" s="43"/>
      <c r="AQ14" s="41">
        <f t="shared" si="1"/>
        <v>814.80000000000018</v>
      </c>
      <c r="AR14" s="42"/>
      <c r="AS14" s="42"/>
      <c r="AT14" s="42"/>
      <c r="AU14" s="42">
        <v>216.6</v>
      </c>
      <c r="AV14" s="42">
        <v>119.5</v>
      </c>
      <c r="AW14" s="42">
        <v>42.1</v>
      </c>
      <c r="AX14" s="42">
        <v>62.3</v>
      </c>
      <c r="AY14" s="42">
        <v>10</v>
      </c>
      <c r="AZ14" s="42">
        <v>297.39999999999998</v>
      </c>
      <c r="BA14" s="42">
        <v>1.2</v>
      </c>
      <c r="BB14" s="42">
        <v>65.7</v>
      </c>
      <c r="BC14" s="43"/>
    </row>
    <row r="15" spans="1:56" s="6" customForma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f>AQ15-AN15</f>
        <v>0.10200000000000001</v>
      </c>
      <c r="AE15" s="42"/>
      <c r="AF15" s="43">
        <f t="shared" si="0"/>
        <v>0.10200000000000001</v>
      </c>
      <c r="AG15" s="44" t="s">
        <v>42</v>
      </c>
      <c r="AH15" s="41"/>
      <c r="AI15" s="42"/>
      <c r="AJ15" s="42">
        <v>250</v>
      </c>
      <c r="AK15" s="42"/>
      <c r="AL15" s="43"/>
      <c r="AM15" s="41">
        <f t="shared" si="2"/>
        <v>-7.3354908306364625E-2</v>
      </c>
      <c r="AN15" s="43">
        <f>AQ15/AJ15%</f>
        <v>6.8000000000000005E-2</v>
      </c>
      <c r="AO15" s="41"/>
      <c r="AP15" s="43"/>
      <c r="AQ15" s="41">
        <v>0.17</v>
      </c>
      <c r="AR15" s="42">
        <f>AQ15*17.5%</f>
        <v>2.9749999999999999E-2</v>
      </c>
      <c r="AS15" s="42">
        <f>AQ15*82.5%</f>
        <v>0.14025000000000001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3"/>
    </row>
    <row r="16" spans="1:56" s="6" customFormat="1">
      <c r="A16" s="6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>
        <v>2.2999999999999998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71">
        <f t="shared" si="0"/>
        <v>2.2999999999999998</v>
      </c>
      <c r="AG16" s="44" t="s">
        <v>41</v>
      </c>
      <c r="AH16" s="69"/>
      <c r="AI16" s="70"/>
      <c r="AJ16" s="42">
        <v>100</v>
      </c>
      <c r="AK16" s="42"/>
      <c r="AL16" s="43"/>
      <c r="AM16" s="41"/>
      <c r="AN16" s="43"/>
      <c r="AO16" s="41"/>
      <c r="AP16" s="43"/>
      <c r="AQ16" s="41">
        <f t="shared" ref="AQ16:AQ22" si="3">SUM(AR16:BC16,-AT16)</f>
        <v>2.2999999999999998</v>
      </c>
      <c r="AR16" s="42">
        <f>AF16*80%</f>
        <v>1.8399999999999999</v>
      </c>
      <c r="AS16" s="42">
        <f>AF16-AR16</f>
        <v>0.45999999999999996</v>
      </c>
      <c r="AT16" s="42"/>
      <c r="AU16" s="42"/>
      <c r="AV16" s="42"/>
      <c r="AW16" s="42"/>
      <c r="AX16" s="42"/>
      <c r="AY16" s="42"/>
      <c r="AZ16" s="42"/>
      <c r="BA16" s="42"/>
      <c r="BB16" s="42"/>
      <c r="BC16" s="43"/>
      <c r="BD16"/>
    </row>
    <row r="17" spans="1:56" s="6" customFormat="1">
      <c r="A17" s="69">
        <f>AH17%*AM17</f>
        <v>49.359085585277207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71">
        <f t="shared" si="0"/>
        <v>49.359085585277207</v>
      </c>
      <c r="AG17" s="44" t="s">
        <v>96</v>
      </c>
      <c r="AH17" s="69">
        <v>100</v>
      </c>
      <c r="AI17" s="70"/>
      <c r="AJ17" s="42"/>
      <c r="AK17" s="42"/>
      <c r="AL17" s="43"/>
      <c r="AM17" s="41">
        <f>-SUM(AM18:AM71,AM8:AM16)</f>
        <v>49.359085585277207</v>
      </c>
      <c r="AN17" s="43"/>
      <c r="AO17" s="41"/>
      <c r="AP17" s="43"/>
      <c r="AQ17" s="41">
        <f t="shared" si="3"/>
        <v>0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  <c r="BD17"/>
    </row>
    <row r="18" spans="1:56" s="6" customFormat="1">
      <c r="A18" s="69"/>
      <c r="B18" s="42"/>
      <c r="C18" s="42"/>
      <c r="D18" s="42"/>
      <c r="E18" s="42">
        <v>630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71">
        <f t="shared" si="0"/>
        <v>630</v>
      </c>
      <c r="AG18" s="44" t="s">
        <v>104</v>
      </c>
      <c r="AH18" s="69"/>
      <c r="AI18" s="70"/>
      <c r="AJ18" s="42">
        <v>75</v>
      </c>
      <c r="AK18" s="42"/>
      <c r="AL18" s="43"/>
      <c r="AM18" s="41"/>
      <c r="AN18" s="43"/>
      <c r="AO18" s="41"/>
      <c r="AP18" s="43"/>
      <c r="AQ18" s="41">
        <f t="shared" si="3"/>
        <v>472.5</v>
      </c>
      <c r="AR18" s="42">
        <f>AF18*AJ18/100*17.5%</f>
        <v>82.6875</v>
      </c>
      <c r="AS18" s="42">
        <f>AF18*AJ18/100-AR18</f>
        <v>389.8125</v>
      </c>
      <c r="AT18" s="42"/>
      <c r="AU18" s="42"/>
      <c r="AV18" s="42"/>
      <c r="AW18" s="42"/>
      <c r="AX18" s="42"/>
      <c r="AY18" s="42"/>
      <c r="AZ18" s="42"/>
      <c r="BA18" s="42"/>
      <c r="BB18" s="42"/>
      <c r="BC18" s="43"/>
      <c r="BD18"/>
    </row>
    <row r="19" spans="1:56" s="6" customFormat="1">
      <c r="A19" s="69"/>
      <c r="B19" s="42"/>
      <c r="C19" s="42"/>
      <c r="D19" s="42"/>
      <c r="E19" s="42">
        <v>93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71">
        <f t="shared" si="0"/>
        <v>93</v>
      </c>
      <c r="AG19" s="44" t="s">
        <v>90</v>
      </c>
      <c r="AH19" s="69"/>
      <c r="AI19" s="70">
        <v>90</v>
      </c>
      <c r="AJ19" s="42">
        <v>90</v>
      </c>
      <c r="AK19" s="42"/>
      <c r="AL19" s="43"/>
      <c r="AM19" s="41"/>
      <c r="AN19" s="43"/>
      <c r="AO19" s="41"/>
      <c r="AP19" s="43"/>
      <c r="AQ19" s="41">
        <f t="shared" si="3"/>
        <v>83.7</v>
      </c>
      <c r="AR19" s="42">
        <f>(AF19*AJ19/100*17.5%)*11.5%</f>
        <v>1.6844625</v>
      </c>
      <c r="AS19" s="42">
        <f>(AF19*AJ19/100)*11.5%-AR19</f>
        <v>7.9410375000000002</v>
      </c>
      <c r="AT19" s="42"/>
      <c r="AU19" s="42"/>
      <c r="AV19" s="42"/>
      <c r="AW19" s="42"/>
      <c r="AX19" s="42"/>
      <c r="AY19" s="42"/>
      <c r="AZ19" s="42">
        <f>AF19*AI19/100*88.5%</f>
        <v>74.0745</v>
      </c>
      <c r="BA19" s="42"/>
      <c r="BB19" s="42"/>
      <c r="BC19" s="43"/>
      <c r="BD19"/>
    </row>
    <row r="20" spans="1:56" s="6" customFormat="1">
      <c r="A20" s="41"/>
      <c r="B20" s="42"/>
      <c r="C20" s="42"/>
      <c r="D20" s="42"/>
      <c r="E20" s="42"/>
      <c r="F20" s="42"/>
      <c r="G20" s="42"/>
      <c r="H20" s="42"/>
      <c r="I20" s="42">
        <v>374.44779354000002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>
        <f t="shared" si="0"/>
        <v>374.44779354000002</v>
      </c>
      <c r="AG20" s="44" t="s">
        <v>87</v>
      </c>
      <c r="AH20" s="41"/>
      <c r="AI20" s="42"/>
      <c r="AJ20" s="42">
        <v>80</v>
      </c>
      <c r="AK20" s="42"/>
      <c r="AL20" s="43"/>
      <c r="AM20" s="41"/>
      <c r="AN20" s="43"/>
      <c r="AO20" s="41"/>
      <c r="AP20" s="43"/>
      <c r="AQ20" s="41">
        <f t="shared" si="3"/>
        <v>299.55823483200004</v>
      </c>
      <c r="AR20" s="42">
        <f>AF20*AJ20/100*17.5%</f>
        <v>52.422691095600001</v>
      </c>
      <c r="AS20" s="42">
        <f>AF20*AJ20/100-AR20</f>
        <v>247.13554373640005</v>
      </c>
      <c r="AT20" s="42"/>
      <c r="AU20" s="42"/>
      <c r="AV20" s="42"/>
      <c r="AW20" s="42"/>
      <c r="AX20" s="42"/>
      <c r="AY20" s="42"/>
      <c r="AZ20" s="42"/>
      <c r="BA20" s="42"/>
      <c r="BB20" s="42"/>
      <c r="BC20" s="43"/>
    </row>
    <row r="21" spans="1:56" s="6" customFormat="1">
      <c r="A21" s="41"/>
      <c r="B21" s="42"/>
      <c r="C21" s="42"/>
      <c r="D21" s="42"/>
      <c r="E21" s="42"/>
      <c r="F21" s="42"/>
      <c r="G21" s="42"/>
      <c r="H21" s="42"/>
      <c r="I21" s="42">
        <v>60.672627479999996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>
        <f t="shared" si="0"/>
        <v>60.672627479999996</v>
      </c>
      <c r="AG21" s="44" t="s">
        <v>101</v>
      </c>
      <c r="AH21" s="41"/>
      <c r="AI21" s="42"/>
      <c r="AJ21" s="42">
        <v>90</v>
      </c>
      <c r="AK21" s="42"/>
      <c r="AL21" s="43"/>
      <c r="AM21" s="41"/>
      <c r="AN21" s="43"/>
      <c r="AO21" s="41"/>
      <c r="AP21" s="43"/>
      <c r="AQ21" s="41">
        <f t="shared" si="3"/>
        <v>54.605364731999998</v>
      </c>
      <c r="AR21" s="42">
        <f>AF21*AJ21/100*17.5%</f>
        <v>9.5559388280999986</v>
      </c>
      <c r="AS21" s="42">
        <f>AF21*AJ21/100-AR21</f>
        <v>45.049425903900001</v>
      </c>
      <c r="AT21" s="42"/>
      <c r="AU21" s="42"/>
      <c r="AV21" s="42"/>
      <c r="AW21" s="42"/>
      <c r="AX21" s="42"/>
      <c r="AY21" s="42"/>
      <c r="AZ21" s="42"/>
      <c r="BA21" s="42"/>
      <c r="BB21" s="42"/>
      <c r="BC21" s="43"/>
    </row>
    <row r="22" spans="1:56" s="6" customFormat="1">
      <c r="A22" s="41"/>
      <c r="B22" s="42"/>
      <c r="C22" s="42"/>
      <c r="D22" s="42"/>
      <c r="E22" s="42"/>
      <c r="F22" s="42"/>
      <c r="G22" s="42"/>
      <c r="H22" s="42"/>
      <c r="I22" s="42">
        <v>175.59793079999997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>
        <f t="shared" si="0"/>
        <v>175.59793079999997</v>
      </c>
      <c r="AG22" s="44" t="s">
        <v>89</v>
      </c>
      <c r="AH22" s="41"/>
      <c r="AI22" s="42">
        <v>90</v>
      </c>
      <c r="AJ22" s="42">
        <v>90</v>
      </c>
      <c r="AK22" s="42"/>
      <c r="AL22" s="43"/>
      <c r="AM22" s="41"/>
      <c r="AN22" s="43"/>
      <c r="AO22" s="41"/>
      <c r="AP22" s="43"/>
      <c r="AQ22" s="41">
        <f t="shared" si="3"/>
        <v>158.03813771999998</v>
      </c>
      <c r="AR22" s="42">
        <f>(AF22*AJ22/100*17.5%)*11.5%</f>
        <v>3.1805175216149997</v>
      </c>
      <c r="AS22" s="42">
        <f>(AF22*AJ22/100)*11.5%-AR22</f>
        <v>14.993868316184999</v>
      </c>
      <c r="AT22" s="42"/>
      <c r="AU22" s="42"/>
      <c r="AV22" s="42"/>
      <c r="AW22" s="42"/>
      <c r="AX22" s="42"/>
      <c r="AY22" s="42"/>
      <c r="AZ22" s="42">
        <f>AF22*AI22/100*88.5%</f>
        <v>139.86375188219998</v>
      </c>
      <c r="BA22" s="42"/>
      <c r="BB22" s="42"/>
      <c r="BC22" s="43"/>
    </row>
    <row r="23" spans="1:56" s="6" customFormat="1">
      <c r="A23" s="41"/>
      <c r="B23" s="42">
        <v>25.2</v>
      </c>
      <c r="C23" s="42">
        <v>416.4</v>
      </c>
      <c r="D23" s="42"/>
      <c r="E23" s="42">
        <v>2.4</v>
      </c>
      <c r="F23" s="42"/>
      <c r="G23" s="42"/>
      <c r="H23" s="42"/>
      <c r="I23" s="42"/>
      <c r="J23" s="42">
        <v>59.26</v>
      </c>
      <c r="K23" s="42">
        <v>12.91</v>
      </c>
      <c r="L23" s="42">
        <v>3.3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>
        <f t="shared" si="0"/>
        <v>519.46999999999991</v>
      </c>
      <c r="AG23" s="116" t="s">
        <v>109</v>
      </c>
      <c r="AH23" s="41"/>
      <c r="AI23" s="85">
        <v>90</v>
      </c>
      <c r="AJ23" s="85"/>
      <c r="AK23" s="42"/>
      <c r="AL23" s="43"/>
      <c r="AM23" s="41"/>
      <c r="AN23" s="43"/>
      <c r="AO23" s="41"/>
      <c r="AP23" s="43"/>
      <c r="AQ23" s="41">
        <f>SUM(AR23:BC23)</f>
        <v>519.46999999999991</v>
      </c>
      <c r="AR23" s="42"/>
      <c r="AS23" s="42"/>
      <c r="AT23" s="42"/>
      <c r="AU23" s="42"/>
      <c r="AV23" s="42"/>
      <c r="AW23" s="42"/>
      <c r="AX23" s="42"/>
      <c r="AY23" s="42"/>
      <c r="AZ23" s="42">
        <f>AF23</f>
        <v>519.46999999999991</v>
      </c>
      <c r="BA23" s="42"/>
      <c r="BB23" s="42"/>
      <c r="BC23" s="43"/>
    </row>
    <row r="24" spans="1:56" s="6" customForma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>
        <f>268.5*39.4%</f>
        <v>105.78899999999999</v>
      </c>
      <c r="Z24" s="42">
        <f>268.5*60.6%</f>
        <v>162.71099999999998</v>
      </c>
      <c r="AA24" s="42"/>
      <c r="AB24" s="42"/>
      <c r="AC24" s="42"/>
      <c r="AD24" s="42"/>
      <c r="AE24" s="42"/>
      <c r="AF24" s="43">
        <f t="shared" si="0"/>
        <v>268.5</v>
      </c>
      <c r="AG24" s="44" t="s">
        <v>43</v>
      </c>
      <c r="AH24" s="41"/>
      <c r="AI24" s="42"/>
      <c r="AJ24" s="42">
        <v>70</v>
      </c>
      <c r="AK24" s="42"/>
      <c r="AL24" s="43"/>
      <c r="AM24" s="41"/>
      <c r="AN24" s="43"/>
      <c r="AO24" s="41"/>
      <c r="AP24" s="43"/>
      <c r="AQ24" s="41">
        <f t="shared" ref="AQ24:AQ71" si="4">SUM(AR24:BC24,-AT24)</f>
        <v>187.95</v>
      </c>
      <c r="AR24" s="42">
        <f>AF24*AJ24/100*17.5%</f>
        <v>32.891249999999999</v>
      </c>
      <c r="AS24" s="42">
        <f>AF24*AJ24/100-AR24</f>
        <v>155.05874999999997</v>
      </c>
      <c r="AT24" s="42"/>
      <c r="AU24" s="42"/>
      <c r="AV24" s="42"/>
      <c r="AW24" s="42"/>
      <c r="AX24" s="42"/>
      <c r="AY24" s="42"/>
      <c r="AZ24" s="42"/>
      <c r="BA24" s="42"/>
      <c r="BB24" s="42"/>
      <c r="BC24" s="43"/>
    </row>
    <row r="25" spans="1:56" s="6" customForma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>
        <f>376.1*90%</f>
        <v>338.49</v>
      </c>
      <c r="X25" s="42">
        <f>376.1*10%</f>
        <v>37.610000000000007</v>
      </c>
      <c r="Y25" s="42"/>
      <c r="Z25" s="42"/>
      <c r="AA25" s="42"/>
      <c r="AB25" s="42"/>
      <c r="AC25" s="42"/>
      <c r="AD25" s="42"/>
      <c r="AE25" s="42"/>
      <c r="AF25" s="43">
        <f t="shared" si="0"/>
        <v>376.1</v>
      </c>
      <c r="AG25" s="44" t="s">
        <v>44</v>
      </c>
      <c r="AH25" s="41"/>
      <c r="AI25" s="42"/>
      <c r="AJ25" s="42">
        <v>60</v>
      </c>
      <c r="AK25" s="42"/>
      <c r="AL25" s="43"/>
      <c r="AM25" s="41"/>
      <c r="AN25" s="43"/>
      <c r="AO25" s="41"/>
      <c r="AP25" s="43"/>
      <c r="AQ25" s="41">
        <f t="shared" si="4"/>
        <v>225.66</v>
      </c>
      <c r="AR25" s="42">
        <f>AF25*AJ25/100*17.5%</f>
        <v>39.490499999999997</v>
      </c>
      <c r="AS25" s="42">
        <f>AF25*AJ25/100-AR25</f>
        <v>186.1695</v>
      </c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1:56" s="6" customForma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129.5</v>
      </c>
      <c r="W26" s="42"/>
      <c r="X26" s="42"/>
      <c r="Y26" s="42"/>
      <c r="Z26" s="42"/>
      <c r="AA26" s="42"/>
      <c r="AB26" s="42"/>
      <c r="AC26" s="42"/>
      <c r="AD26" s="42"/>
      <c r="AE26" s="42"/>
      <c r="AF26" s="43">
        <f t="shared" si="0"/>
        <v>129.5</v>
      </c>
      <c r="AG26" s="44" t="s">
        <v>45</v>
      </c>
      <c r="AH26" s="41"/>
      <c r="AI26" s="42"/>
      <c r="AJ26" s="42">
        <v>60</v>
      </c>
      <c r="AK26" s="42"/>
      <c r="AL26" s="43"/>
      <c r="AM26" s="41"/>
      <c r="AN26" s="43"/>
      <c r="AO26" s="41"/>
      <c r="AP26" s="43"/>
      <c r="AQ26" s="41">
        <f t="shared" si="4"/>
        <v>77.7</v>
      </c>
      <c r="AR26" s="42">
        <f>AF26*AJ26/100*17.5%</f>
        <v>13.5975</v>
      </c>
      <c r="AS26" s="42">
        <f>AF26*AJ26/100-AR26</f>
        <v>64.102500000000006</v>
      </c>
      <c r="AT26" s="42"/>
      <c r="AU26" s="42"/>
      <c r="AV26" s="42"/>
      <c r="AW26" s="42"/>
      <c r="AX26" s="42"/>
      <c r="AY26" s="42"/>
      <c r="AZ26" s="42"/>
      <c r="BA26" s="42"/>
      <c r="BB26" s="42"/>
      <c r="BC26" s="43"/>
    </row>
    <row r="27" spans="1:56" s="6" customForma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>
        <f t="shared" si="0"/>
        <v>0</v>
      </c>
      <c r="AG27" s="44" t="s">
        <v>46</v>
      </c>
      <c r="AH27" s="41"/>
      <c r="AI27" s="42"/>
      <c r="AJ27" s="42">
        <v>100</v>
      </c>
      <c r="AK27" s="42"/>
      <c r="AL27" s="43"/>
      <c r="AM27" s="41"/>
      <c r="AN27" s="43"/>
      <c r="AO27" s="41"/>
      <c r="AP27" s="43"/>
      <c r="AQ27" s="41">
        <f t="shared" si="4"/>
        <v>0</v>
      </c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</row>
    <row r="28" spans="1:56" s="6" customForma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>
        <v>0.31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>
        <f t="shared" si="0"/>
        <v>0.31</v>
      </c>
      <c r="AG28" s="46" t="s">
        <v>47</v>
      </c>
      <c r="AH28" s="42">
        <v>100</v>
      </c>
      <c r="AI28" s="42"/>
      <c r="AJ28" s="42"/>
      <c r="AK28" s="42"/>
      <c r="AL28" s="43"/>
      <c r="AM28" s="41">
        <f>AF28*AH28/100</f>
        <v>0.31</v>
      </c>
      <c r="AN28" s="43"/>
      <c r="AO28" s="41"/>
      <c r="AP28" s="43"/>
      <c r="AQ28" s="41">
        <f t="shared" si="4"/>
        <v>0</v>
      </c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</row>
    <row r="29" spans="1:56" s="6" customForma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>
        <v>704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>
        <f t="shared" si="0"/>
        <v>704</v>
      </c>
      <c r="AG29" s="46" t="s">
        <v>48</v>
      </c>
      <c r="AH29" s="42">
        <v>100</v>
      </c>
      <c r="AI29" s="42"/>
      <c r="AJ29" s="42"/>
      <c r="AK29" s="42"/>
      <c r="AL29" s="43"/>
      <c r="AM29" s="41">
        <f>AH29*AF29/100</f>
        <v>704</v>
      </c>
      <c r="AN29" s="43"/>
      <c r="AO29" s="41"/>
      <c r="AP29" s="43"/>
      <c r="AQ29" s="41">
        <f t="shared" si="4"/>
        <v>0</v>
      </c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</row>
    <row r="30" spans="1:56" s="6" customForma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>
        <f t="shared" si="0"/>
        <v>0</v>
      </c>
      <c r="AG30" s="46" t="s">
        <v>49</v>
      </c>
      <c r="AH30" s="42">
        <v>100</v>
      </c>
      <c r="AI30" s="42"/>
      <c r="AJ30" s="42"/>
      <c r="AK30" s="42"/>
      <c r="AL30" s="43"/>
      <c r="AM30" s="41">
        <f>AF30</f>
        <v>0</v>
      </c>
      <c r="AN30" s="43"/>
      <c r="AO30" s="41"/>
      <c r="AP30" s="43"/>
      <c r="AQ30" s="41">
        <f t="shared" si="4"/>
        <v>0</v>
      </c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/>
    </row>
    <row r="31" spans="1:56" s="6" customForma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>
        <f t="shared" si="0"/>
        <v>0</v>
      </c>
      <c r="AG31" s="46" t="s">
        <v>50</v>
      </c>
      <c r="AH31" s="42">
        <v>100</v>
      </c>
      <c r="AI31" s="42"/>
      <c r="AJ31" s="42"/>
      <c r="AK31" s="42"/>
      <c r="AL31" s="43"/>
      <c r="AM31" s="41"/>
      <c r="AN31" s="43"/>
      <c r="AO31" s="41"/>
      <c r="AP31" s="43"/>
      <c r="AQ31" s="41">
        <f t="shared" si="4"/>
        <v>0</v>
      </c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</row>
    <row r="32" spans="1:56" s="6" customFormat="1">
      <c r="A32" s="42"/>
      <c r="B32" s="42"/>
      <c r="C32" s="42">
        <v>1933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>
        <v>1114</v>
      </c>
      <c r="Y32" s="84"/>
      <c r="Z32" s="84"/>
      <c r="AA32" s="42">
        <v>11.5</v>
      </c>
      <c r="AB32" s="42"/>
      <c r="AC32" s="42"/>
      <c r="AD32" s="42"/>
      <c r="AE32" s="42"/>
      <c r="AF32" s="43">
        <f t="shared" si="0"/>
        <v>3058.5</v>
      </c>
      <c r="AG32" s="46" t="s">
        <v>154</v>
      </c>
      <c r="AH32" s="41">
        <v>24</v>
      </c>
      <c r="AI32" s="42"/>
      <c r="AJ32" s="42">
        <v>60.9</v>
      </c>
      <c r="AK32" s="42"/>
      <c r="AL32" s="43"/>
      <c r="AM32" s="41">
        <f>AF32*AH32/100</f>
        <v>734.04</v>
      </c>
      <c r="AN32" s="43"/>
      <c r="AO32" s="41">
        <f>AF32*AJ32/100</f>
        <v>1862.6264999999999</v>
      </c>
      <c r="AP32" s="43"/>
      <c r="AQ32" s="41">
        <f t="shared" si="4"/>
        <v>0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3"/>
    </row>
    <row r="33" spans="1:55" s="6" customForma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>
        <f t="shared" si="0"/>
        <v>0</v>
      </c>
      <c r="AG33" s="46" t="s">
        <v>155</v>
      </c>
      <c r="AH33" s="41"/>
      <c r="AI33" s="42"/>
      <c r="AJ33" s="42"/>
      <c r="AK33" s="42"/>
      <c r="AL33" s="43"/>
      <c r="AM33" s="41">
        <f>AF33*AH33/100</f>
        <v>0</v>
      </c>
      <c r="AN33" s="43"/>
      <c r="AO33" s="41">
        <f>AF33*AJ33</f>
        <v>0</v>
      </c>
      <c r="AP33" s="43"/>
      <c r="AQ33" s="41">
        <f t="shared" si="4"/>
        <v>0</v>
      </c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3"/>
    </row>
    <row r="34" spans="1:55" s="6" customForma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>
        <f t="shared" si="0"/>
        <v>0</v>
      </c>
      <c r="AG34" s="46" t="s">
        <v>156</v>
      </c>
      <c r="AH34" s="41"/>
      <c r="AI34" s="42"/>
      <c r="AJ34" s="42"/>
      <c r="AK34" s="42"/>
      <c r="AL34" s="43"/>
      <c r="AM34" s="41">
        <f>AF34*AH34/100</f>
        <v>0</v>
      </c>
      <c r="AN34" s="43"/>
      <c r="AO34" s="41">
        <f>AF34*AJ34</f>
        <v>0</v>
      </c>
      <c r="AP34" s="43"/>
      <c r="AQ34" s="41">
        <f t="shared" si="4"/>
        <v>0</v>
      </c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3"/>
    </row>
    <row r="35" spans="1:55" s="6" customFormat="1">
      <c r="A35" s="42"/>
      <c r="B35" s="42">
        <v>5.0000000000000001E-4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>
        <f t="shared" si="0"/>
        <v>5.0000000000000001E-4</v>
      </c>
      <c r="AG35" s="46" t="s">
        <v>157</v>
      </c>
      <c r="AH35" s="41"/>
      <c r="AI35" s="42"/>
      <c r="AJ35" s="42"/>
      <c r="AK35" s="42"/>
      <c r="AL35" s="43"/>
      <c r="AM35" s="41"/>
      <c r="AN35" s="43"/>
      <c r="AO35" s="41">
        <f>AF35*AJ35/100</f>
        <v>0</v>
      </c>
      <c r="AP35" s="43"/>
      <c r="AQ35" s="41">
        <f t="shared" si="4"/>
        <v>0</v>
      </c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3"/>
    </row>
    <row r="36" spans="1:55" s="6" customForma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>
        <f t="shared" si="0"/>
        <v>0</v>
      </c>
      <c r="AG36" s="46" t="s">
        <v>158</v>
      </c>
      <c r="AH36" s="41"/>
      <c r="AI36" s="42"/>
      <c r="AJ36" s="42"/>
      <c r="AK36" s="42"/>
      <c r="AL36" s="43">
        <v>77</v>
      </c>
      <c r="AM36" s="41"/>
      <c r="AN36" s="43"/>
      <c r="AO36" s="41">
        <f>-SUM(AO32:AO35)</f>
        <v>-1862.6264999999999</v>
      </c>
      <c r="AP36" s="43">
        <f>-AO36*AL36/100</f>
        <v>1434.2224049999998</v>
      </c>
      <c r="AQ36" s="41">
        <f t="shared" si="4"/>
        <v>1434.2224049999998</v>
      </c>
      <c r="AR36" s="42">
        <f>(AP36-AZ36)*17.5%</f>
        <v>250.98892087499993</v>
      </c>
      <c r="AS36" s="42">
        <f>AP36-AR36-AZ36</f>
        <v>1183.2334841249999</v>
      </c>
      <c r="AT36" s="42"/>
      <c r="AU36" s="42"/>
      <c r="AV36" s="42"/>
      <c r="AW36" s="42"/>
      <c r="AX36" s="42"/>
      <c r="AY36" s="42"/>
      <c r="AZ36" s="42"/>
      <c r="BA36" s="42"/>
      <c r="BB36" s="42"/>
      <c r="BC36" s="43"/>
    </row>
    <row r="37" spans="1:55" s="6" customForma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>
        <f t="shared" si="0"/>
        <v>0</v>
      </c>
      <c r="AG37" s="46" t="s">
        <v>59</v>
      </c>
      <c r="AH37" s="41"/>
      <c r="AI37" s="42"/>
      <c r="AJ37" s="42"/>
      <c r="AK37" s="42"/>
      <c r="AL37" s="43"/>
      <c r="AM37" s="41">
        <f>AF37*AH37/100</f>
        <v>0</v>
      </c>
      <c r="AN37" s="43"/>
      <c r="AO37" s="41">
        <f>AF37*AJ37/100</f>
        <v>0</v>
      </c>
      <c r="AP37" s="43"/>
      <c r="AQ37" s="41">
        <f t="shared" si="4"/>
        <v>0</v>
      </c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</row>
    <row r="38" spans="1:55" s="6" customForma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>
        <f t="shared" si="0"/>
        <v>0</v>
      </c>
      <c r="AG38" s="46" t="s">
        <v>60</v>
      </c>
      <c r="AH38" s="41"/>
      <c r="AI38" s="42"/>
      <c r="AJ38" s="42"/>
      <c r="AK38" s="42"/>
      <c r="AL38" s="43"/>
      <c r="AM38" s="41">
        <f>AF38*AH38/100</f>
        <v>0</v>
      </c>
      <c r="AN38" s="43"/>
      <c r="AO38" s="41">
        <f>AF38*AJ38/100</f>
        <v>0</v>
      </c>
      <c r="AP38" s="43"/>
      <c r="AQ38" s="41">
        <f t="shared" si="4"/>
        <v>0</v>
      </c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3"/>
    </row>
    <row r="39" spans="1:55" s="6" customForma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3">
        <f t="shared" si="0"/>
        <v>0</v>
      </c>
      <c r="AG39" s="46" t="s">
        <v>61</v>
      </c>
      <c r="AH39" s="41"/>
      <c r="AI39" s="42"/>
      <c r="AJ39" s="42"/>
      <c r="AK39" s="42"/>
      <c r="AL39" s="43"/>
      <c r="AM39" s="41">
        <f>AF39*AH39/100</f>
        <v>0</v>
      </c>
      <c r="AN39" s="43"/>
      <c r="AO39" s="41">
        <f>AF39*AJ39/100</f>
        <v>0</v>
      </c>
      <c r="AP39" s="43"/>
      <c r="AQ39" s="41">
        <f t="shared" si="4"/>
        <v>0</v>
      </c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3"/>
    </row>
    <row r="40" spans="1:55" s="6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3">
        <f t="shared" si="0"/>
        <v>0</v>
      </c>
      <c r="AG40" s="46" t="s">
        <v>62</v>
      </c>
      <c r="AH40" s="41"/>
      <c r="AI40" s="42"/>
      <c r="AJ40" s="42"/>
      <c r="AK40" s="42"/>
      <c r="AL40" s="43"/>
      <c r="AM40" s="41"/>
      <c r="AN40" s="43"/>
      <c r="AO40" s="41">
        <f>-SUM(AO37:AO39)</f>
        <v>0</v>
      </c>
      <c r="AP40" s="43">
        <f>-AO40*AL40/100</f>
        <v>0</v>
      </c>
      <c r="AQ40" s="41">
        <f t="shared" si="4"/>
        <v>0</v>
      </c>
      <c r="AR40" s="42">
        <f>(AP40-AZ40)*17.5%</f>
        <v>0</v>
      </c>
      <c r="AS40" s="42">
        <f>AP40-AR40-AZ40</f>
        <v>0</v>
      </c>
      <c r="AT40" s="42"/>
      <c r="AU40" s="42"/>
      <c r="AV40" s="42"/>
      <c r="AW40" s="42"/>
      <c r="AX40" s="42"/>
      <c r="AY40" s="42"/>
      <c r="AZ40" s="42"/>
      <c r="BA40" s="42"/>
      <c r="BB40" s="42"/>
      <c r="BC40" s="43"/>
    </row>
    <row r="41" spans="1:55" s="6" customForma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>
        <f t="shared" si="0"/>
        <v>0</v>
      </c>
      <c r="AG41" s="46" t="s">
        <v>159</v>
      </c>
      <c r="AH41" s="41"/>
      <c r="AI41" s="42"/>
      <c r="AJ41" s="42"/>
      <c r="AK41" s="42"/>
      <c r="AL41" s="43"/>
      <c r="AM41" s="41">
        <f>AF41*AH41/100</f>
        <v>0</v>
      </c>
      <c r="AN41" s="43"/>
      <c r="AO41" s="41">
        <f>AF41*AJ41/100</f>
        <v>0</v>
      </c>
      <c r="AP41" s="43"/>
      <c r="AQ41" s="41">
        <f t="shared" si="4"/>
        <v>0</v>
      </c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3"/>
    </row>
    <row r="42" spans="1:55" s="6" customFormat="1">
      <c r="A42" s="42"/>
      <c r="B42" s="42"/>
      <c r="C42" s="42"/>
      <c r="D42" s="42"/>
      <c r="E42" s="42"/>
      <c r="F42" s="42"/>
      <c r="G42" s="42"/>
      <c r="H42" s="42"/>
      <c r="I42" s="42">
        <v>317.60000000000002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>
        <f t="shared" si="0"/>
        <v>317.60000000000002</v>
      </c>
      <c r="AG42" s="46" t="s">
        <v>160</v>
      </c>
      <c r="AH42" s="41">
        <v>39.6</v>
      </c>
      <c r="AI42" s="42"/>
      <c r="AJ42" s="42">
        <v>51.3</v>
      </c>
      <c r="AK42" s="42"/>
      <c r="AL42" s="43"/>
      <c r="AM42" s="41">
        <f>AF42*AH42/100</f>
        <v>125.76960000000001</v>
      </c>
      <c r="AN42" s="43"/>
      <c r="AO42" s="41">
        <f>AF42*AJ42/100</f>
        <v>162.92880000000002</v>
      </c>
      <c r="AP42" s="43"/>
      <c r="AQ42" s="41">
        <f t="shared" si="4"/>
        <v>0</v>
      </c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3"/>
    </row>
    <row r="43" spans="1:55" s="6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3">
        <f t="shared" si="0"/>
        <v>0</v>
      </c>
      <c r="AG43" s="46" t="s">
        <v>81</v>
      </c>
      <c r="AH43" s="41"/>
      <c r="AI43" s="42"/>
      <c r="AJ43" s="42"/>
      <c r="AK43" s="42"/>
      <c r="AL43" s="43"/>
      <c r="AM43" s="41">
        <f>AF43*AH43/100</f>
        <v>0</v>
      </c>
      <c r="AN43" s="43"/>
      <c r="AO43" s="41">
        <f>AF43*AJ43/100</f>
        <v>0</v>
      </c>
      <c r="AP43" s="43"/>
      <c r="AQ43" s="41">
        <f t="shared" si="4"/>
        <v>0</v>
      </c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3"/>
    </row>
    <row r="44" spans="1:55" s="6" customFormat="1">
      <c r="A44" s="42"/>
      <c r="B44" s="42"/>
      <c r="C44" s="42"/>
      <c r="D44" s="42"/>
      <c r="E44" s="42"/>
      <c r="F44" s="42"/>
      <c r="G44" s="42"/>
      <c r="H44" s="42"/>
      <c r="I44" s="42">
        <v>4.7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3">
        <f t="shared" si="0"/>
        <v>4.7</v>
      </c>
      <c r="AG44" s="46" t="s">
        <v>82</v>
      </c>
      <c r="AH44" s="41"/>
      <c r="AI44" s="42"/>
      <c r="AJ44" s="42">
        <v>95.7</v>
      </c>
      <c r="AK44" s="42"/>
      <c r="AL44" s="43"/>
      <c r="AM44" s="41">
        <f>AF44*AH44/100</f>
        <v>0</v>
      </c>
      <c r="AN44" s="43"/>
      <c r="AO44" s="41">
        <f>AF44*AJ44/100</f>
        <v>4.4979000000000005</v>
      </c>
      <c r="AP44" s="43"/>
      <c r="AQ44" s="41">
        <f t="shared" si="4"/>
        <v>0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3"/>
    </row>
    <row r="45" spans="1:55" s="6" customForma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>
        <f t="shared" si="0"/>
        <v>0</v>
      </c>
      <c r="AG45" s="46" t="s">
        <v>83</v>
      </c>
      <c r="AH45" s="41"/>
      <c r="AI45" s="42"/>
      <c r="AJ45" s="42"/>
      <c r="AK45" s="42"/>
      <c r="AL45" s="43"/>
      <c r="AM45" s="41">
        <f>AF45*AH45/100</f>
        <v>0</v>
      </c>
      <c r="AN45" s="43"/>
      <c r="AO45" s="41">
        <f>AF45*AJ45/100</f>
        <v>0</v>
      </c>
      <c r="AP45" s="43"/>
      <c r="AQ45" s="41">
        <f t="shared" si="4"/>
        <v>0</v>
      </c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/>
    </row>
    <row r="46" spans="1:55" s="6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>
        <f t="shared" si="0"/>
        <v>0</v>
      </c>
      <c r="AG46" s="46" t="s">
        <v>84</v>
      </c>
      <c r="AH46" s="41"/>
      <c r="AI46" s="42"/>
      <c r="AJ46" s="42"/>
      <c r="AK46" s="42"/>
      <c r="AL46" s="43">
        <v>67</v>
      </c>
      <c r="AM46" s="41"/>
      <c r="AN46" s="43"/>
      <c r="AO46" s="41">
        <f>-SUM(AO41:AO45)</f>
        <v>-167.42670000000001</v>
      </c>
      <c r="AP46" s="43">
        <f>-AO46*AL46/100</f>
        <v>112.17588900000001</v>
      </c>
      <c r="AQ46" s="41">
        <f t="shared" si="4"/>
        <v>112.17588900000001</v>
      </c>
      <c r="AR46" s="42">
        <f>(AP46-AZ46)*17.5%</f>
        <v>19.630780574999999</v>
      </c>
      <c r="AS46" s="42">
        <f>AP46-AR46-AZ46</f>
        <v>92.545108425000009</v>
      </c>
      <c r="AT46" s="42"/>
      <c r="AU46" s="42"/>
      <c r="AV46" s="42"/>
      <c r="AW46" s="42"/>
      <c r="AX46" s="42"/>
      <c r="AY46" s="42"/>
      <c r="AZ46" s="42"/>
      <c r="BA46" s="42"/>
      <c r="BB46" s="42"/>
      <c r="BC46" s="43"/>
    </row>
    <row r="47" spans="1:55" s="6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3">
        <f t="shared" si="0"/>
        <v>0</v>
      </c>
      <c r="AG47" s="46" t="s">
        <v>105</v>
      </c>
      <c r="AH47" s="41"/>
      <c r="AI47" s="42"/>
      <c r="AJ47" s="42"/>
      <c r="AK47" s="42"/>
      <c r="AL47" s="43"/>
      <c r="AM47" s="41">
        <f>AF47*AH47/100</f>
        <v>0</v>
      </c>
      <c r="AN47" s="43"/>
      <c r="AO47" s="41">
        <f>AF47*AJ47/100</f>
        <v>0</v>
      </c>
      <c r="AP47" s="43"/>
      <c r="AQ47" s="41">
        <f t="shared" si="4"/>
        <v>0</v>
      </c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3"/>
    </row>
    <row r="48" spans="1:55" s="6" customFormat="1">
      <c r="A48" s="42"/>
      <c r="B48" s="42"/>
      <c r="C48" s="42"/>
      <c r="D48" s="42"/>
      <c r="E48" s="42"/>
      <c r="F48" s="42"/>
      <c r="G48" s="42"/>
      <c r="H48" s="42"/>
      <c r="I48" s="42">
        <v>42.6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>
        <v>26.1</v>
      </c>
      <c r="AD48" s="42"/>
      <c r="AE48" s="42"/>
      <c r="AF48" s="43">
        <f t="shared" si="0"/>
        <v>68.7</v>
      </c>
      <c r="AG48" s="46" t="s">
        <v>63</v>
      </c>
      <c r="AH48" s="41">
        <v>21.7</v>
      </c>
      <c r="AI48" s="42"/>
      <c r="AJ48" s="42"/>
      <c r="AK48" s="42"/>
      <c r="AL48" s="43"/>
      <c r="AM48" s="41">
        <f>AF48*AH48/100</f>
        <v>14.9079</v>
      </c>
      <c r="AN48" s="43"/>
      <c r="AO48" s="41">
        <f>AF48*AJ48/100</f>
        <v>0</v>
      </c>
      <c r="AP48" s="43"/>
      <c r="AQ48" s="41">
        <f t="shared" si="4"/>
        <v>0</v>
      </c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3"/>
    </row>
    <row r="49" spans="1:55" s="6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>
        <f t="shared" si="0"/>
        <v>0</v>
      </c>
      <c r="AG49" s="46" t="s">
        <v>65</v>
      </c>
      <c r="AH49" s="41"/>
      <c r="AI49" s="42"/>
      <c r="AJ49" s="42"/>
      <c r="AK49" s="42"/>
      <c r="AL49" s="43"/>
      <c r="AM49" s="41">
        <f>AF49*AH49/100</f>
        <v>0</v>
      </c>
      <c r="AN49" s="43"/>
      <c r="AO49" s="41">
        <f>AF49*AJ49/100</f>
        <v>0</v>
      </c>
      <c r="AP49" s="43"/>
      <c r="AQ49" s="41">
        <f t="shared" si="4"/>
        <v>0</v>
      </c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3"/>
    </row>
    <row r="50" spans="1:55" s="6" customForma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>
        <f t="shared" si="0"/>
        <v>0</v>
      </c>
      <c r="AG50" s="46" t="s">
        <v>64</v>
      </c>
      <c r="AH50" s="41"/>
      <c r="AI50" s="42"/>
      <c r="AJ50" s="42"/>
      <c r="AK50" s="42"/>
      <c r="AL50" s="43">
        <v>67</v>
      </c>
      <c r="AM50" s="41"/>
      <c r="AN50" s="43"/>
      <c r="AO50" s="41">
        <f>-SUM(AO48:AO49)</f>
        <v>0</v>
      </c>
      <c r="AP50" s="43">
        <f>-AO50*AL50/100</f>
        <v>0</v>
      </c>
      <c r="AQ50" s="41">
        <f t="shared" si="4"/>
        <v>0</v>
      </c>
      <c r="AR50" s="42">
        <f>(AP50-AZ50)*17.5%</f>
        <v>0</v>
      </c>
      <c r="AS50" s="42">
        <f>AP50-AR50-AZ50</f>
        <v>0</v>
      </c>
      <c r="AT50" s="42"/>
      <c r="AU50" s="42"/>
      <c r="AV50" s="42"/>
      <c r="AW50" s="42"/>
      <c r="AX50" s="42"/>
      <c r="AY50" s="42"/>
      <c r="AZ50" s="42"/>
      <c r="BA50" s="42"/>
      <c r="BB50" s="42"/>
      <c r="BC50" s="43"/>
    </row>
    <row r="51" spans="1:55" s="6" customFormat="1">
      <c r="A51" s="42"/>
      <c r="B51" s="42"/>
      <c r="C51" s="42"/>
      <c r="D51" s="42"/>
      <c r="E51" s="42">
        <v>11.4</v>
      </c>
      <c r="F51" s="42"/>
      <c r="G51" s="42"/>
      <c r="H51" s="42"/>
      <c r="I51" s="42">
        <v>16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>
        <v>55.4</v>
      </c>
      <c r="W51" s="42"/>
      <c r="X51" s="42"/>
      <c r="Y51" s="42"/>
      <c r="Z51" s="42"/>
      <c r="AA51" s="42"/>
      <c r="AB51" s="42"/>
      <c r="AC51" s="42"/>
      <c r="AD51" s="42"/>
      <c r="AE51" s="42"/>
      <c r="AF51" s="43">
        <f t="shared" si="0"/>
        <v>82.8</v>
      </c>
      <c r="AG51" s="46" t="s">
        <v>78</v>
      </c>
      <c r="AH51" s="41"/>
      <c r="AI51" s="42"/>
      <c r="AJ51" s="42">
        <v>90</v>
      </c>
      <c r="AK51" s="42"/>
      <c r="AL51" s="43"/>
      <c r="AM51" s="41"/>
      <c r="AN51" s="43"/>
      <c r="AO51" s="41">
        <f>AF51*AJ51/100</f>
        <v>74.52</v>
      </c>
      <c r="AP51" s="43"/>
      <c r="AQ51" s="41">
        <f t="shared" si="4"/>
        <v>0</v>
      </c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3"/>
    </row>
    <row r="52" spans="1:55" s="6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G52" s="46" t="s">
        <v>79</v>
      </c>
      <c r="AH52" s="41"/>
      <c r="AI52" s="42"/>
      <c r="AJ52" s="42"/>
      <c r="AK52" s="42"/>
      <c r="AL52" s="43"/>
      <c r="AM52" s="41"/>
      <c r="AN52" s="43"/>
      <c r="AO52" s="41">
        <f>AF52*AJ52/100</f>
        <v>0</v>
      </c>
      <c r="AP52" s="43"/>
      <c r="AQ52" s="41">
        <f t="shared" si="4"/>
        <v>0</v>
      </c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3"/>
    </row>
    <row r="53" spans="1:55" s="6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3">
        <f t="shared" ref="AF53:AF63" si="5">SUM(A53:AE53)</f>
        <v>0</v>
      </c>
      <c r="AG53" s="46" t="s">
        <v>80</v>
      </c>
      <c r="AH53" s="41"/>
      <c r="AI53" s="42"/>
      <c r="AJ53" s="42"/>
      <c r="AK53" s="42"/>
      <c r="AL53" s="43">
        <v>67</v>
      </c>
      <c r="AM53" s="41"/>
      <c r="AN53" s="43"/>
      <c r="AO53" s="41">
        <f>-SUM(AO51:AO52)</f>
        <v>-74.52</v>
      </c>
      <c r="AP53" s="43">
        <f>-AO53*AL53/100</f>
        <v>49.928400000000003</v>
      </c>
      <c r="AQ53" s="41">
        <f t="shared" si="4"/>
        <v>49.928400000000003</v>
      </c>
      <c r="AR53" s="42">
        <f>(AP53-AZ53)*17.5%</f>
        <v>8.7374700000000001</v>
      </c>
      <c r="AS53" s="42">
        <f>AP53-AR53-AZ53</f>
        <v>41.190930000000002</v>
      </c>
      <c r="AT53" s="42"/>
      <c r="AU53" s="42"/>
      <c r="AV53" s="42"/>
      <c r="AW53" s="42"/>
      <c r="AX53" s="42"/>
      <c r="AY53" s="42"/>
      <c r="AZ53" s="42"/>
      <c r="BA53" s="42"/>
      <c r="BB53" s="42"/>
      <c r="BC53" s="43"/>
    </row>
    <row r="54" spans="1:55" s="6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3">
        <f t="shared" si="5"/>
        <v>0</v>
      </c>
      <c r="AG54" s="46" t="s">
        <v>69</v>
      </c>
      <c r="AH54" s="41"/>
      <c r="AI54" s="42"/>
      <c r="AJ54" s="42"/>
      <c r="AK54" s="42"/>
      <c r="AL54" s="43"/>
      <c r="AM54" s="41">
        <f t="shared" ref="AM54:AM59" si="6">AH54/100*AF54</f>
        <v>0</v>
      </c>
      <c r="AN54" s="43"/>
      <c r="AO54" s="41">
        <f t="shared" ref="AO54:AO59" si="7">AF54*AJ54/100</f>
        <v>0</v>
      </c>
      <c r="AP54" s="43"/>
      <c r="AQ54" s="41">
        <f t="shared" si="4"/>
        <v>0</v>
      </c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3"/>
    </row>
    <row r="55" spans="1:55" s="6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>
        <f t="shared" si="5"/>
        <v>0</v>
      </c>
      <c r="AG55" s="46" t="s">
        <v>70</v>
      </c>
      <c r="AH55" s="41"/>
      <c r="AI55" s="42"/>
      <c r="AJ55" s="42"/>
      <c r="AK55" s="42"/>
      <c r="AL55" s="43"/>
      <c r="AM55" s="41">
        <f t="shared" si="6"/>
        <v>0</v>
      </c>
      <c r="AN55" s="43"/>
      <c r="AO55" s="41">
        <f t="shared" si="7"/>
        <v>0</v>
      </c>
      <c r="AP55" s="43"/>
      <c r="AQ55" s="41">
        <f t="shared" si="4"/>
        <v>0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3"/>
    </row>
    <row r="56" spans="1:55" s="6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3">
        <f t="shared" si="5"/>
        <v>0</v>
      </c>
      <c r="AG56" s="46" t="s">
        <v>71</v>
      </c>
      <c r="AH56" s="41"/>
      <c r="AI56" s="42"/>
      <c r="AJ56" s="42"/>
      <c r="AK56" s="42"/>
      <c r="AL56" s="43"/>
      <c r="AM56" s="41">
        <f t="shared" si="6"/>
        <v>0</v>
      </c>
      <c r="AN56" s="43"/>
      <c r="AO56" s="41">
        <f t="shared" si="7"/>
        <v>0</v>
      </c>
      <c r="AP56" s="43"/>
      <c r="AQ56" s="41">
        <f t="shared" si="4"/>
        <v>0</v>
      </c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3"/>
    </row>
    <row r="57" spans="1:55" s="6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>
        <f t="shared" si="5"/>
        <v>0</v>
      </c>
      <c r="AG57" s="46" t="s">
        <v>72</v>
      </c>
      <c r="AH57" s="41"/>
      <c r="AI57" s="42"/>
      <c r="AJ57" s="42"/>
      <c r="AK57" s="42"/>
      <c r="AL57" s="43"/>
      <c r="AM57" s="41">
        <f t="shared" si="6"/>
        <v>0</v>
      </c>
      <c r="AN57" s="43"/>
      <c r="AO57" s="41">
        <f t="shared" si="7"/>
        <v>0</v>
      </c>
      <c r="AP57" s="43"/>
      <c r="AQ57" s="41">
        <f t="shared" si="4"/>
        <v>0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3"/>
    </row>
    <row r="58" spans="1:55" s="6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3">
        <f t="shared" si="5"/>
        <v>0</v>
      </c>
      <c r="AG58" s="46" t="s">
        <v>73</v>
      </c>
      <c r="AH58" s="41">
        <v>36.200000000000003</v>
      </c>
      <c r="AI58" s="42"/>
      <c r="AJ58" s="42">
        <v>39.700000000000003</v>
      </c>
      <c r="AK58" s="42"/>
      <c r="AL58" s="43"/>
      <c r="AM58" s="41">
        <f t="shared" si="6"/>
        <v>0</v>
      </c>
      <c r="AN58" s="43"/>
      <c r="AO58" s="41">
        <f t="shared" si="7"/>
        <v>0</v>
      </c>
      <c r="AP58" s="43"/>
      <c r="AQ58" s="41">
        <f t="shared" si="4"/>
        <v>0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3"/>
    </row>
    <row r="59" spans="1:55" s="6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3">
        <f t="shared" si="5"/>
        <v>0</v>
      </c>
      <c r="AG59" s="46" t="s">
        <v>74</v>
      </c>
      <c r="AH59" s="41"/>
      <c r="AI59" s="42"/>
      <c r="AJ59" s="42"/>
      <c r="AK59" s="42"/>
      <c r="AL59" s="43"/>
      <c r="AM59" s="41">
        <f t="shared" si="6"/>
        <v>0</v>
      </c>
      <c r="AN59" s="43"/>
      <c r="AO59" s="41">
        <f t="shared" si="7"/>
        <v>0</v>
      </c>
      <c r="AP59" s="43"/>
      <c r="AQ59" s="41">
        <f t="shared" si="4"/>
        <v>0</v>
      </c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/>
    </row>
    <row r="60" spans="1:55" s="6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3">
        <f t="shared" si="5"/>
        <v>0</v>
      </c>
      <c r="AG60" s="46" t="s">
        <v>76</v>
      </c>
      <c r="AH60" s="41"/>
      <c r="AI60" s="42"/>
      <c r="AJ60" s="42"/>
      <c r="AK60" s="42"/>
      <c r="AL60" s="45"/>
      <c r="AM60" s="41">
        <f>-AN60</f>
        <v>0</v>
      </c>
      <c r="AN60" s="43">
        <v>0</v>
      </c>
      <c r="AO60" s="41"/>
      <c r="AP60" s="43"/>
      <c r="AQ60" s="41">
        <f t="shared" si="4"/>
        <v>0</v>
      </c>
      <c r="AR60" s="42"/>
      <c r="AS60" s="42"/>
      <c r="AT60" s="42"/>
      <c r="AU60" s="42"/>
      <c r="AV60" s="42"/>
      <c r="AW60" s="42"/>
      <c r="AX60" s="42"/>
      <c r="AY60" s="42"/>
      <c r="AZ60" s="42">
        <f>AN60</f>
        <v>0</v>
      </c>
      <c r="BA60" s="42"/>
      <c r="BB60" s="42"/>
      <c r="BC60" s="43"/>
    </row>
    <row r="61" spans="1:55" s="6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3">
        <f t="shared" si="5"/>
        <v>0</v>
      </c>
      <c r="AG61" s="46" t="s">
        <v>77</v>
      </c>
      <c r="AH61" s="41"/>
      <c r="AI61" s="42"/>
      <c r="AJ61" s="42"/>
      <c r="AK61" s="42"/>
      <c r="AL61" s="43"/>
      <c r="AM61" s="41"/>
      <c r="AN61" s="43"/>
      <c r="AO61" s="41">
        <f>-AP61</f>
        <v>0</v>
      </c>
      <c r="AP61" s="47">
        <v>0</v>
      </c>
      <c r="AQ61" s="41">
        <f t="shared" si="4"/>
        <v>0</v>
      </c>
      <c r="AR61" s="42"/>
      <c r="AS61" s="42"/>
      <c r="AT61" s="42"/>
      <c r="AU61" s="42"/>
      <c r="AV61" s="42"/>
      <c r="AW61" s="42"/>
      <c r="AX61" s="42"/>
      <c r="AY61" s="42"/>
      <c r="AZ61" s="42">
        <f>AP61</f>
        <v>0</v>
      </c>
      <c r="BA61" s="42"/>
      <c r="BB61" s="42"/>
      <c r="BC61" s="43"/>
    </row>
    <row r="62" spans="1:55" s="6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3">
        <f t="shared" si="5"/>
        <v>0</v>
      </c>
      <c r="AG62" s="46" t="s">
        <v>75</v>
      </c>
      <c r="AH62" s="41"/>
      <c r="AI62" s="42"/>
      <c r="AJ62" s="42"/>
      <c r="AK62" s="42"/>
      <c r="AL62" s="43"/>
      <c r="AM62" s="41"/>
      <c r="AN62" s="43"/>
      <c r="AO62" s="41">
        <f>-SUM(AO54:AO61)</f>
        <v>0</v>
      </c>
      <c r="AP62" s="43">
        <f>-AO62*AL62/100</f>
        <v>0</v>
      </c>
      <c r="AQ62" s="41">
        <f t="shared" si="4"/>
        <v>0</v>
      </c>
      <c r="AR62" s="42">
        <f>AP62*17.5%</f>
        <v>0</v>
      </c>
      <c r="AS62" s="42">
        <f>AP62-AR62</f>
        <v>0</v>
      </c>
      <c r="AT62" s="42"/>
      <c r="AU62" s="42"/>
      <c r="AV62" s="42"/>
      <c r="AW62" s="42"/>
      <c r="AX62" s="42"/>
      <c r="AY62" s="42"/>
      <c r="AZ62" s="42"/>
      <c r="BA62" s="42"/>
      <c r="BB62" s="42"/>
      <c r="BC62" s="43"/>
    </row>
    <row r="63" spans="1:55" s="6" customFormat="1">
      <c r="A63" s="41"/>
      <c r="B63" s="42"/>
      <c r="C63" s="42"/>
      <c r="D63" s="42"/>
      <c r="E63" s="42"/>
      <c r="F63" s="42"/>
      <c r="G63" s="42"/>
      <c r="H63" s="42">
        <v>1384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3">
        <f t="shared" si="5"/>
        <v>1384</v>
      </c>
      <c r="AG63" s="44" t="s">
        <v>99</v>
      </c>
      <c r="AH63" s="41"/>
      <c r="AI63" s="42">
        <v>20</v>
      </c>
      <c r="AJ63" s="42"/>
      <c r="AK63" s="42"/>
      <c r="AL63" s="43"/>
      <c r="AM63" s="41"/>
      <c r="AN63" s="43"/>
      <c r="AO63" s="41"/>
      <c r="AP63" s="43"/>
      <c r="AQ63" s="41">
        <f t="shared" si="4"/>
        <v>276.8</v>
      </c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3">
        <f>AF63*AI63/100</f>
        <v>276.8</v>
      </c>
    </row>
    <row r="64" spans="1:55" s="6" customFormat="1">
      <c r="A64" s="41"/>
      <c r="B64" s="42"/>
      <c r="C64" s="42"/>
      <c r="D64" s="42"/>
      <c r="E64" s="42"/>
      <c r="F64" s="42">
        <v>330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>
        <f>SUM(A64:AE64)-U64</f>
        <v>330</v>
      </c>
      <c r="AG64" s="44" t="s">
        <v>51</v>
      </c>
      <c r="AH64" s="41"/>
      <c r="AI64" s="42">
        <v>25</v>
      </c>
      <c r="AJ64" s="42"/>
      <c r="AK64" s="42"/>
      <c r="AL64" s="43"/>
      <c r="AM64" s="41"/>
      <c r="AN64" s="43"/>
      <c r="AO64" s="41"/>
      <c r="AP64" s="43"/>
      <c r="AQ64" s="41">
        <f t="shared" si="4"/>
        <v>82.5</v>
      </c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3">
        <f>AF64*AI64/100</f>
        <v>82.5</v>
      </c>
    </row>
    <row r="65" spans="1:56" s="6" customFormat="1">
      <c r="A65" s="41"/>
      <c r="B65" s="42"/>
      <c r="C65" s="42"/>
      <c r="D65" s="42"/>
      <c r="E65" s="42"/>
      <c r="F65" s="42">
        <v>23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3">
        <f t="shared" ref="AF65:AF71" si="8">SUM(A65:AE65)</f>
        <v>23</v>
      </c>
      <c r="AG65" s="44" t="s">
        <v>52</v>
      </c>
      <c r="AH65" s="41"/>
      <c r="AI65" s="42">
        <v>33</v>
      </c>
      <c r="AJ65" s="42"/>
      <c r="AK65" s="42"/>
      <c r="AL65" s="43"/>
      <c r="AM65" s="41"/>
      <c r="AN65" s="43"/>
      <c r="AO65" s="41"/>
      <c r="AP65" s="43"/>
      <c r="AQ65" s="41">
        <f t="shared" si="4"/>
        <v>7.59</v>
      </c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3">
        <f>AF65*AI65/100</f>
        <v>7.59</v>
      </c>
    </row>
    <row r="66" spans="1:56" s="6" customFormat="1">
      <c r="A66" s="69"/>
      <c r="B66" s="42"/>
      <c r="C66" s="70"/>
      <c r="D66" s="70"/>
      <c r="E66" s="70"/>
      <c r="F66" s="42"/>
      <c r="G66" s="42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1">
        <f t="shared" si="8"/>
        <v>0</v>
      </c>
      <c r="AG66" s="44" t="s">
        <v>88</v>
      </c>
      <c r="AH66" s="69"/>
      <c r="AI66" s="70">
        <v>33</v>
      </c>
      <c r="AJ66" s="70"/>
      <c r="AK66" s="70"/>
      <c r="AL66" s="71"/>
      <c r="AM66" s="69"/>
      <c r="AN66" s="71"/>
      <c r="AO66" s="69"/>
      <c r="AP66" s="71"/>
      <c r="AQ66" s="69">
        <f t="shared" si="4"/>
        <v>0</v>
      </c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1">
        <f>AF66*AI66/100</f>
        <v>0</v>
      </c>
      <c r="BD66"/>
    </row>
    <row r="67" spans="1:56" s="6" customFormat="1">
      <c r="A67" s="41"/>
      <c r="B67" s="42"/>
      <c r="C67" s="42"/>
      <c r="D67" s="42"/>
      <c r="E67" s="42"/>
      <c r="F67" s="42">
        <v>1098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>
        <f t="shared" si="8"/>
        <v>1098</v>
      </c>
      <c r="AG67" s="44" t="s">
        <v>100</v>
      </c>
      <c r="AH67" s="41"/>
      <c r="AI67" s="42">
        <v>33</v>
      </c>
      <c r="AJ67" s="42"/>
      <c r="AK67" s="42"/>
      <c r="AL67" s="43"/>
      <c r="AM67" s="41"/>
      <c r="AN67" s="43"/>
      <c r="AO67" s="41"/>
      <c r="AP67" s="43"/>
      <c r="AQ67" s="41">
        <f t="shared" si="4"/>
        <v>362.34</v>
      </c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3">
        <f>AF67*AI67/100</f>
        <v>362.34</v>
      </c>
    </row>
    <row r="68" spans="1:56" s="6" customFormat="1">
      <c r="A68" s="41"/>
      <c r="B68" s="42"/>
      <c r="C68" s="42"/>
      <c r="D68" s="42"/>
      <c r="E68" s="42"/>
      <c r="F68" s="42">
        <v>153.00251238524498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3">
        <f t="shared" si="8"/>
        <v>153.00251238524498</v>
      </c>
      <c r="AG68" s="44" t="s">
        <v>53</v>
      </c>
      <c r="AH68" s="41"/>
      <c r="AI68" s="42">
        <v>33</v>
      </c>
      <c r="AJ68" s="42"/>
      <c r="AK68" s="42"/>
      <c r="AL68" s="43"/>
      <c r="AM68" s="41"/>
      <c r="AN68" s="43"/>
      <c r="AO68" s="41"/>
      <c r="AP68" s="43"/>
      <c r="AQ68" s="41">
        <f t="shared" si="4"/>
        <v>50.490829087130848</v>
      </c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>
        <f>AF68*AI68%</f>
        <v>50.490829087130848</v>
      </c>
      <c r="BC68" s="43"/>
    </row>
    <row r="69" spans="1:56" s="6" customFormat="1">
      <c r="A69" s="48"/>
      <c r="B69" s="49"/>
      <c r="C69" s="49"/>
      <c r="D69" s="49"/>
      <c r="E69" s="49"/>
      <c r="F69" s="49">
        <v>53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2"/>
      <c r="AA69" s="49"/>
      <c r="AB69" s="49"/>
      <c r="AC69" s="49"/>
      <c r="AD69" s="49"/>
      <c r="AE69" s="49"/>
      <c r="AF69" s="43">
        <f t="shared" si="8"/>
        <v>53</v>
      </c>
      <c r="AG69" s="50" t="s">
        <v>85</v>
      </c>
      <c r="AH69" s="48"/>
      <c r="AI69" s="42">
        <v>33</v>
      </c>
      <c r="AJ69" s="49"/>
      <c r="AK69" s="49"/>
      <c r="AL69" s="51"/>
      <c r="AM69" s="41">
        <f>-AN69/$N$2%</f>
        <v>-1.5852427184466018E-2</v>
      </c>
      <c r="AN69" s="51">
        <v>1.46952E-2</v>
      </c>
      <c r="AO69" s="48"/>
      <c r="AP69" s="51"/>
      <c r="AQ69" s="48">
        <f t="shared" si="4"/>
        <v>17.494849415999997</v>
      </c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3">
        <f>AF69*AI69/100+AN69*AI69%</f>
        <v>17.494849415999997</v>
      </c>
    </row>
    <row r="70" spans="1:56" s="6" customFormat="1">
      <c r="A70" s="48"/>
      <c r="B70" s="49"/>
      <c r="C70" s="49"/>
      <c r="D70" s="49">
        <v>19</v>
      </c>
      <c r="E70" s="49"/>
      <c r="F70" s="49"/>
      <c r="G70" s="49">
        <v>663.78319849666354</v>
      </c>
      <c r="H70" s="49">
        <v>2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2"/>
      <c r="AA70" s="49"/>
      <c r="AB70" s="49"/>
      <c r="AC70" s="49"/>
      <c r="AD70" s="49"/>
      <c r="AE70" s="49"/>
      <c r="AF70" s="43">
        <f t="shared" si="8"/>
        <v>684.78319849666354</v>
      </c>
      <c r="AG70" s="50" t="s">
        <v>86</v>
      </c>
      <c r="AH70" s="48"/>
      <c r="AI70" s="42">
        <v>33</v>
      </c>
      <c r="AJ70" s="49"/>
      <c r="AK70" s="49"/>
      <c r="AL70" s="51"/>
      <c r="AM70" s="48"/>
      <c r="AN70" s="51"/>
      <c r="AO70" s="48"/>
      <c r="AP70" s="51"/>
      <c r="AQ70" s="48">
        <f t="shared" si="4"/>
        <v>225.978455503899</v>
      </c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3">
        <f>AF70*AI70/100</f>
        <v>225.978455503899</v>
      </c>
    </row>
    <row r="71" spans="1:56" s="6" customFormat="1" ht="13.5" thickBot="1">
      <c r="A71" s="48"/>
      <c r="B71" s="49"/>
      <c r="C71" s="49"/>
      <c r="D71" s="49"/>
      <c r="E71" s="49"/>
      <c r="F71" s="49">
        <v>58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2"/>
      <c r="AA71" s="49"/>
      <c r="AB71" s="49"/>
      <c r="AC71" s="49"/>
      <c r="AD71" s="49"/>
      <c r="AE71" s="49"/>
      <c r="AF71" s="51">
        <f t="shared" si="8"/>
        <v>58</v>
      </c>
      <c r="AG71" s="52" t="s">
        <v>54</v>
      </c>
      <c r="AH71" s="53"/>
      <c r="AI71" s="42">
        <v>33</v>
      </c>
      <c r="AJ71" s="54"/>
      <c r="AK71" s="54"/>
      <c r="AL71" s="55"/>
      <c r="AM71" s="53"/>
      <c r="AN71" s="55"/>
      <c r="AO71" s="53"/>
      <c r="AP71" s="55"/>
      <c r="AQ71" s="53">
        <f t="shared" si="4"/>
        <v>19.14</v>
      </c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43">
        <f>AF71*AI71/100</f>
        <v>19.14</v>
      </c>
    </row>
    <row r="72" spans="1:56" ht="13.5" thickBot="1">
      <c r="A72" s="56">
        <f t="shared" ref="A72:AE72" si="9">SUM(A8:A71)</f>
        <v>49.359085585277207</v>
      </c>
      <c r="B72" s="57">
        <f t="shared" si="9"/>
        <v>85.2542300324357</v>
      </c>
      <c r="C72" s="58">
        <f t="shared" si="9"/>
        <v>2349.4</v>
      </c>
      <c r="D72" s="58">
        <f t="shared" si="9"/>
        <v>19</v>
      </c>
      <c r="E72" s="58">
        <f t="shared" si="9"/>
        <v>736.8</v>
      </c>
      <c r="F72" s="58">
        <f t="shared" si="9"/>
        <v>1715.0025123852449</v>
      </c>
      <c r="G72" s="57">
        <f t="shared" si="9"/>
        <v>663.78319849666354</v>
      </c>
      <c r="H72" s="58">
        <f t="shared" si="9"/>
        <v>1386</v>
      </c>
      <c r="I72" s="58">
        <f t="shared" si="9"/>
        <v>991.61835182000004</v>
      </c>
      <c r="J72" s="58">
        <f t="shared" si="9"/>
        <v>59.26</v>
      </c>
      <c r="K72" s="58">
        <f t="shared" si="9"/>
        <v>12.91</v>
      </c>
      <c r="L72" s="58">
        <f t="shared" si="9"/>
        <v>3.3</v>
      </c>
      <c r="M72" s="58">
        <f t="shared" si="9"/>
        <v>704</v>
      </c>
      <c r="N72" s="58">
        <f t="shared" si="9"/>
        <v>0</v>
      </c>
      <c r="O72" s="58">
        <f t="shared" si="9"/>
        <v>0</v>
      </c>
      <c r="P72" s="58">
        <f t="shared" si="9"/>
        <v>2.61</v>
      </c>
      <c r="Q72" s="58">
        <f t="shared" si="9"/>
        <v>0</v>
      </c>
      <c r="R72" s="58">
        <f t="shared" si="9"/>
        <v>0</v>
      </c>
      <c r="S72" s="58">
        <f t="shared" si="9"/>
        <v>0</v>
      </c>
      <c r="T72" s="58">
        <f t="shared" si="9"/>
        <v>0</v>
      </c>
      <c r="U72" s="58">
        <f t="shared" si="9"/>
        <v>0</v>
      </c>
      <c r="V72" s="58">
        <f t="shared" si="9"/>
        <v>184.9</v>
      </c>
      <c r="W72" s="58">
        <f t="shared" si="9"/>
        <v>338.49</v>
      </c>
      <c r="X72" s="58">
        <f t="shared" si="9"/>
        <v>1151.6099999999999</v>
      </c>
      <c r="Y72" s="58">
        <f t="shared" si="9"/>
        <v>105.78899999999999</v>
      </c>
      <c r="Z72" s="58">
        <f t="shared" si="9"/>
        <v>162.71099999999998</v>
      </c>
      <c r="AA72" s="58">
        <f t="shared" si="9"/>
        <v>11.5</v>
      </c>
      <c r="AB72" s="58">
        <f t="shared" si="9"/>
        <v>0</v>
      </c>
      <c r="AC72" s="58">
        <f t="shared" si="9"/>
        <v>26.1</v>
      </c>
      <c r="AD72" s="58">
        <f t="shared" si="9"/>
        <v>0.10200000000000001</v>
      </c>
      <c r="AE72" s="58">
        <f t="shared" si="9"/>
        <v>0</v>
      </c>
      <c r="AF72" s="59">
        <f>SUM(AF8:AF71)</f>
        <v>10759.499378319622</v>
      </c>
      <c r="AG72" s="60" t="s">
        <v>26</v>
      </c>
      <c r="AH72" s="61"/>
      <c r="AI72" s="61"/>
      <c r="AJ72" s="61"/>
      <c r="AK72" s="61"/>
      <c r="AL72" s="61"/>
      <c r="AM72" s="56">
        <f t="shared" ref="AM72:AS72" si="10">SUM(AM8:AM71)</f>
        <v>-2.6447247170047206E-13</v>
      </c>
      <c r="AN72" s="58">
        <f t="shared" si="10"/>
        <v>1509.5143648375522</v>
      </c>
      <c r="AO72" s="58">
        <f t="shared" si="10"/>
        <v>0</v>
      </c>
      <c r="AP72" s="58">
        <f t="shared" si="10"/>
        <v>1596.3266939999999</v>
      </c>
      <c r="AQ72" s="58">
        <f t="shared" si="10"/>
        <v>6047.7329827033554</v>
      </c>
      <c r="AR72" s="58">
        <f t="shared" si="10"/>
        <v>522.93728139531493</v>
      </c>
      <c r="AS72" s="58">
        <f t="shared" si="10"/>
        <v>2457.2328980064849</v>
      </c>
      <c r="AT72" s="58"/>
      <c r="AU72" s="58">
        <f t="shared" ref="AU72:BC72" si="11">SUM(AU8:AU71)</f>
        <v>432.46408348246507</v>
      </c>
      <c r="AV72" s="58">
        <f t="shared" si="11"/>
        <v>145.5</v>
      </c>
      <c r="AW72" s="58">
        <f t="shared" si="11"/>
        <v>99.6</v>
      </c>
      <c r="AX72" s="58">
        <f t="shared" si="11"/>
        <v>147.19999999999999</v>
      </c>
      <c r="AY72" s="58">
        <f t="shared" si="11"/>
        <v>12</v>
      </c>
      <c r="AZ72" s="58">
        <f t="shared" si="11"/>
        <v>1105.5005023295953</v>
      </c>
      <c r="BA72" s="58">
        <f t="shared" si="11"/>
        <v>1.4</v>
      </c>
      <c r="BB72" s="58">
        <f t="shared" si="11"/>
        <v>127.49082908713085</v>
      </c>
      <c r="BC72" s="59">
        <f t="shared" si="11"/>
        <v>996.40738840236406</v>
      </c>
    </row>
    <row r="73" spans="1:56">
      <c r="A73" s="62">
        <f t="shared" ref="A73:AC73" si="12">A72*A78/1000</f>
        <v>6.1007829783402618</v>
      </c>
      <c r="B73" s="35">
        <f t="shared" si="12"/>
        <v>5.541524952108321</v>
      </c>
      <c r="C73" s="63">
        <f t="shared" si="12"/>
        <v>223.19300000000001</v>
      </c>
      <c r="D73" s="63">
        <f t="shared" si="12"/>
        <v>1.482</v>
      </c>
      <c r="E73" s="63">
        <f t="shared" si="12"/>
        <v>54.449520000000007</v>
      </c>
      <c r="F73" s="63">
        <f t="shared" si="12"/>
        <v>126.73868566526961</v>
      </c>
      <c r="G73" s="35">
        <f t="shared" si="12"/>
        <v>47.792390291759773</v>
      </c>
      <c r="H73" s="63">
        <f t="shared" si="12"/>
        <v>101.178</v>
      </c>
      <c r="I73" s="63">
        <f t="shared" si="12"/>
        <v>56.323922383375994</v>
      </c>
      <c r="J73" s="63">
        <f t="shared" si="12"/>
        <v>4.9600619999999997</v>
      </c>
      <c r="K73" s="63">
        <f t="shared" si="12"/>
        <v>0.69713999999999998</v>
      </c>
      <c r="L73" s="63">
        <f t="shared" si="12"/>
        <v>0.18018000000000001</v>
      </c>
      <c r="M73" s="63">
        <f t="shared" si="12"/>
        <v>0</v>
      </c>
      <c r="N73" s="63">
        <f t="shared" si="12"/>
        <v>0</v>
      </c>
      <c r="O73" s="63">
        <f t="shared" si="12"/>
        <v>0</v>
      </c>
      <c r="P73" s="63">
        <f t="shared" si="12"/>
        <v>0</v>
      </c>
      <c r="Q73" s="63">
        <f t="shared" si="12"/>
        <v>0</v>
      </c>
      <c r="R73" s="63">
        <f t="shared" si="12"/>
        <v>0</v>
      </c>
      <c r="S73" s="63">
        <f t="shared" si="12"/>
        <v>0</v>
      </c>
      <c r="T73" s="63">
        <f t="shared" si="12"/>
        <v>0</v>
      </c>
      <c r="U73" s="63">
        <f t="shared" si="12"/>
        <v>0</v>
      </c>
      <c r="V73" s="63">
        <f t="shared" si="12"/>
        <v>0</v>
      </c>
      <c r="W73" s="63">
        <f t="shared" si="12"/>
        <v>0</v>
      </c>
      <c r="X73" s="63">
        <f t="shared" si="12"/>
        <v>0</v>
      </c>
      <c r="Y73" s="63">
        <f t="shared" si="12"/>
        <v>0</v>
      </c>
      <c r="Z73" s="63">
        <f t="shared" si="12"/>
        <v>0</v>
      </c>
      <c r="AA73" s="63">
        <f t="shared" si="12"/>
        <v>0</v>
      </c>
      <c r="AB73" s="63">
        <f t="shared" si="12"/>
        <v>0</v>
      </c>
      <c r="AC73" s="63">
        <f t="shared" si="12"/>
        <v>0</v>
      </c>
      <c r="AD73" s="63">
        <v>0</v>
      </c>
      <c r="AE73" s="63">
        <f>AE72*AE78/1000</f>
        <v>0</v>
      </c>
      <c r="AF73" s="117">
        <f>SUM(A73:AE73)</f>
        <v>628.63720827085388</v>
      </c>
      <c r="AG73" s="64" t="s">
        <v>55</v>
      </c>
      <c r="AH73" s="87">
        <f>AF73*1000/M1</f>
        <v>6.7607030055800337</v>
      </c>
      <c r="AI73" s="65" t="s">
        <v>56</v>
      </c>
      <c r="AJ73" s="65"/>
      <c r="AK73" s="65"/>
      <c r="AL73" s="66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8"/>
      <c r="AY73" s="68"/>
      <c r="AZ73" s="68"/>
      <c r="BA73" s="68"/>
      <c r="BB73" s="68"/>
      <c r="BC73" s="68"/>
    </row>
    <row r="74" spans="1:56">
      <c r="A74" s="69"/>
      <c r="B74" s="42"/>
      <c r="C74" s="70"/>
      <c r="D74" s="70"/>
      <c r="E74" s="70"/>
      <c r="F74" s="70"/>
      <c r="G74" s="42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>
        <v>299.88879623825937</v>
      </c>
      <c r="S74" s="70">
        <v>36.283718586792233</v>
      </c>
      <c r="T74" s="70">
        <f>1301.50796524685-U74</f>
        <v>1152.5079652468501</v>
      </c>
      <c r="U74" s="70">
        <f>149</f>
        <v>149</v>
      </c>
      <c r="V74" s="70">
        <v>974.46339123388975</v>
      </c>
      <c r="W74" s="70">
        <v>438.04953703962934</v>
      </c>
      <c r="X74" s="70"/>
      <c r="Y74" s="70"/>
      <c r="Z74" s="70"/>
      <c r="AA74" s="70"/>
      <c r="AB74" s="70">
        <v>0</v>
      </c>
      <c r="AC74" s="70"/>
      <c r="AD74" s="70"/>
      <c r="AE74" s="70"/>
      <c r="AF74" s="71">
        <f>SUM(A74:AE74)</f>
        <v>3050.1934083454207</v>
      </c>
      <c r="AG74" s="72" t="s">
        <v>148</v>
      </c>
      <c r="AH74" s="83">
        <f>(SUM(M72:AD72)+A72*0.27)/AF72*100</f>
        <v>25.10468989431623</v>
      </c>
      <c r="AI74" s="73" t="s">
        <v>98</v>
      </c>
      <c r="AJ74" s="73"/>
      <c r="AK74" s="73"/>
      <c r="AL74" s="74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8"/>
      <c r="AY74" s="68"/>
      <c r="AZ74" s="68"/>
      <c r="BA74" s="68"/>
      <c r="BB74" s="68"/>
      <c r="BC74" s="68"/>
    </row>
    <row r="75" spans="1:56" ht="13.5" thickBot="1">
      <c r="A75" s="75"/>
      <c r="B75" s="54"/>
      <c r="C75" s="76"/>
      <c r="D75" s="76"/>
      <c r="E75" s="76"/>
      <c r="F75" s="76"/>
      <c r="G75" s="54"/>
      <c r="H75" s="76"/>
      <c r="I75" s="76"/>
      <c r="J75" s="76"/>
      <c r="K75" s="76"/>
      <c r="L75" s="76"/>
      <c r="M75" s="76" t="str">
        <f t="shared" ref="M75:W75" si="13">IF(M74&gt;0,M72/M74*100,"")</f>
        <v/>
      </c>
      <c r="N75" s="76" t="str">
        <f t="shared" si="13"/>
        <v/>
      </c>
      <c r="O75" s="76" t="str">
        <f t="shared" si="13"/>
        <v/>
      </c>
      <c r="P75" s="76" t="str">
        <f t="shared" si="13"/>
        <v/>
      </c>
      <c r="Q75" s="76" t="str">
        <f t="shared" si="13"/>
        <v/>
      </c>
      <c r="R75" s="76">
        <f t="shared" si="13"/>
        <v>0</v>
      </c>
      <c r="S75" s="76">
        <f t="shared" si="13"/>
        <v>0</v>
      </c>
      <c r="T75" s="76">
        <f t="shared" si="13"/>
        <v>0</v>
      </c>
      <c r="U75" s="76">
        <f t="shared" si="13"/>
        <v>0</v>
      </c>
      <c r="V75" s="76">
        <f t="shared" si="13"/>
        <v>18.974545546126166</v>
      </c>
      <c r="W75" s="76">
        <f t="shared" si="13"/>
        <v>77.272082579413294</v>
      </c>
      <c r="X75" s="76"/>
      <c r="Y75" s="76" t="str">
        <f>IF(Y74&gt;0,Y72/Y74*100,"")</f>
        <v/>
      </c>
      <c r="Z75" s="76"/>
      <c r="AA75" s="76" t="str">
        <f>IF(AA74&gt;0,AA72/AA74*100,"")</f>
        <v/>
      </c>
      <c r="AB75" s="76" t="str">
        <f>IF(AB74&gt;0,AB72/AB74*100,"")</f>
        <v/>
      </c>
      <c r="AC75" s="76" t="str">
        <f>IF(AC74&gt;0,AC72/AC74*100,"")</f>
        <v/>
      </c>
      <c r="AD75" s="76" t="str">
        <f>IF(AD74&gt;0,AD72/AD74*100,"")</f>
        <v/>
      </c>
      <c r="AE75" s="76" t="str">
        <f>IF(AE74&gt;0,AE72/AE74*100,"")</f>
        <v/>
      </c>
      <c r="AF75" s="77">
        <f>SUMIF(M74:AE74,"&gt;0",M72:AE72)/SUM(M74:AE74)%</f>
        <v>17.159239757321266</v>
      </c>
      <c r="AG75" s="78" t="s">
        <v>153</v>
      </c>
      <c r="AH75" s="79"/>
      <c r="AI75" s="79"/>
      <c r="AJ75" s="79"/>
      <c r="AK75" s="79"/>
      <c r="AL75" s="80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8"/>
      <c r="AY75" s="68"/>
      <c r="AZ75" s="68"/>
      <c r="BA75" s="68"/>
      <c r="BB75" s="68"/>
      <c r="BC75" s="68"/>
    </row>
    <row r="76" spans="1:56" ht="13.5" thickBot="1">
      <c r="A76" s="68"/>
      <c r="B76" s="45"/>
      <c r="C76" s="68"/>
      <c r="D76" s="68"/>
      <c r="E76" s="68"/>
      <c r="F76" s="68"/>
      <c r="G76" s="45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81"/>
      <c r="AJ76" s="68"/>
      <c r="AK76" s="68"/>
      <c r="AL76" s="68"/>
      <c r="AM76" s="67"/>
      <c r="AN76" s="81"/>
      <c r="AO76" s="67"/>
      <c r="AP76" s="67"/>
      <c r="AQ76" s="67"/>
      <c r="AR76" s="67"/>
      <c r="AS76" s="67"/>
      <c r="AT76" s="67"/>
      <c r="AU76" s="67"/>
      <c r="AV76" s="67"/>
      <c r="AW76" s="67"/>
      <c r="AX76" s="68"/>
      <c r="AY76" s="68"/>
      <c r="AZ76" s="68"/>
      <c r="BA76" s="68"/>
      <c r="BB76" s="68"/>
      <c r="BC76" s="68"/>
    </row>
    <row r="77" spans="1:56" ht="81.75" customHeight="1" thickBot="1">
      <c r="A77" s="27" t="str">
        <f t="shared" ref="A77:AE77" si="14">A7</f>
        <v>Elimport</v>
      </c>
      <c r="B77" s="23" t="str">
        <f t="shared" si="14"/>
        <v>LPG og petroleum</v>
      </c>
      <c r="C77" s="24" t="str">
        <f t="shared" si="14"/>
        <v>Kul</v>
      </c>
      <c r="D77" s="24" t="str">
        <f t="shared" si="14"/>
        <v>Fuelolie</v>
      </c>
      <c r="E77" s="24" t="str">
        <f t="shared" si="14"/>
        <v>Brændselsolie</v>
      </c>
      <c r="F77" s="24" t="str">
        <f t="shared" si="14"/>
        <v>Dieselolie</v>
      </c>
      <c r="G77" s="23" t="str">
        <f t="shared" si="14"/>
        <v>JP1</v>
      </c>
      <c r="H77" s="24" t="str">
        <f t="shared" si="14"/>
        <v>Benzin</v>
      </c>
      <c r="I77" s="24" t="str">
        <f t="shared" si="14"/>
        <v>Naturgas</v>
      </c>
      <c r="J77" s="24" t="str">
        <f t="shared" si="14"/>
        <v>Novo-sprit</v>
      </c>
      <c r="K77" s="24" t="str">
        <f t="shared" si="14"/>
        <v>Opløsningsmidler</v>
      </c>
      <c r="L77" s="24" t="str">
        <f t="shared" si="14"/>
        <v>Alternative brændsler</v>
      </c>
      <c r="M77" s="24" t="str">
        <f t="shared" si="14"/>
        <v>Vindenergi</v>
      </c>
      <c r="N77" s="24" t="str">
        <f t="shared" si="14"/>
        <v>Bølgeenergi</v>
      </c>
      <c r="O77" s="24" t="str">
        <f t="shared" si="14"/>
        <v>Vandkraft</v>
      </c>
      <c r="P77" s="24" t="str">
        <f t="shared" si="14"/>
        <v>Solenergi</v>
      </c>
      <c r="Q77" s="24" t="str">
        <f t="shared" si="14"/>
        <v>Geotermi</v>
      </c>
      <c r="R77" s="24" t="str">
        <f t="shared" si="14"/>
        <v>Husdyrgødning</v>
      </c>
      <c r="S77" s="24" t="str">
        <f t="shared" si="14"/>
        <v>Afgasset fibre</v>
      </c>
      <c r="T77" s="24" t="str">
        <f t="shared" si="14"/>
        <v>Bioolie og energiafgrøder</v>
      </c>
      <c r="U77" s="24" t="str">
        <f t="shared" si="14"/>
        <v>Eksport rapsolie</v>
      </c>
      <c r="V77" s="24" t="str">
        <f t="shared" si="14"/>
        <v>Halm</v>
      </c>
      <c r="W77" s="24" t="str">
        <f t="shared" si="14"/>
        <v>Brænde, træflis og træaffald</v>
      </c>
      <c r="X77" s="24" t="str">
        <f t="shared" si="14"/>
        <v>Import, Brænde og træflis</v>
      </c>
      <c r="Y77" s="24" t="str">
        <f t="shared" si="14"/>
        <v>Træpiller</v>
      </c>
      <c r="Z77" s="24" t="str">
        <f t="shared" si="14"/>
        <v>Import, træpiller</v>
      </c>
      <c r="AA77" s="24" t="str">
        <f t="shared" si="14"/>
        <v>Lossepladsgas</v>
      </c>
      <c r="AB77" s="24" t="str">
        <f t="shared" si="14"/>
        <v>Organisk affald, husholdninger</v>
      </c>
      <c r="AC77" s="24" t="str">
        <f t="shared" si="14"/>
        <v>Deponi, slam, renseanlæg</v>
      </c>
      <c r="AD77" s="24" t="str">
        <f t="shared" si="14"/>
        <v>Varmekilder til varmepumper</v>
      </c>
      <c r="AE77" s="118" t="str">
        <f t="shared" si="14"/>
        <v xml:space="preserve">Affald, ikke bionedbrydeligt 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6" ht="13.5" thickBot="1">
      <c r="A78" s="2">
        <v>123.6</v>
      </c>
      <c r="B78" s="29">
        <v>65</v>
      </c>
      <c r="C78" s="30">
        <v>95</v>
      </c>
      <c r="D78" s="30">
        <v>78</v>
      </c>
      <c r="E78" s="30">
        <v>73.900000000000006</v>
      </c>
      <c r="F78" s="30">
        <v>73.900000000000006</v>
      </c>
      <c r="G78" s="29">
        <v>72</v>
      </c>
      <c r="H78" s="30">
        <v>73</v>
      </c>
      <c r="I78" s="30">
        <v>56.8</v>
      </c>
      <c r="J78" s="30">
        <v>83.7</v>
      </c>
      <c r="K78" s="30">
        <v>54</v>
      </c>
      <c r="L78" s="30">
        <v>54.6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1">
        <v>0</v>
      </c>
      <c r="AD78" s="31">
        <v>0</v>
      </c>
      <c r="AE78" s="110">
        <v>78.900000000000006</v>
      </c>
      <c r="AF78" s="32" t="s">
        <v>57</v>
      </c>
      <c r="AG78" s="33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6">
      <c r="A79" s="3"/>
      <c r="B79" s="82"/>
      <c r="C79" s="3"/>
      <c r="D79" s="3"/>
      <c r="E79" s="3"/>
      <c r="F79" s="3"/>
      <c r="G79" s="8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>
      <c r="AG80" s="3"/>
    </row>
    <row r="81" spans="1:33">
      <c r="AG81" s="5"/>
    </row>
    <row r="82" spans="1:33" ht="12.75" customHeight="1">
      <c r="A82" s="4"/>
      <c r="AG82" s="3"/>
    </row>
    <row r="84" spans="1:33">
      <c r="AG84" s="3"/>
    </row>
    <row r="85" spans="1:33">
      <c r="AG85" s="3"/>
    </row>
  </sheetData>
  <mergeCells count="1">
    <mergeCell ref="M1:N1"/>
  </mergeCells>
  <phoneticPr fontId="0" type="noConversion"/>
  <printOptions headings="1"/>
  <pageMargins left="0.19685039370078741" right="0.19685039370078741" top="0.98425196850393704" bottom="0.55118110236220474" header="0" footer="0"/>
  <pageSetup paperSize="8" scale="52" orientation="landscape" r:id="rId1"/>
  <headerFooter alignWithMargins="0">
    <oddFooter>&amp;R&amp;F &amp;T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51"/>
  <sheetViews>
    <sheetView zoomScale="78" zoomScaleNormal="78" workbookViewId="0">
      <selection activeCell="F227" sqref="F227"/>
    </sheetView>
    <sheetView workbookViewId="1">
      <selection activeCell="D150" sqref="D150"/>
    </sheetView>
  </sheetViews>
  <sheetFormatPr defaultRowHeight="12.75"/>
  <cols>
    <col min="1" max="1" width="42.5703125" customWidth="1"/>
    <col min="2" max="2" width="12.5703125" bestFit="1" customWidth="1"/>
    <col min="3" max="3" width="14.140625" bestFit="1" customWidth="1"/>
    <col min="4" max="4" width="13.140625" bestFit="1" customWidth="1"/>
    <col min="5" max="5" width="14.42578125" bestFit="1" customWidth="1"/>
    <col min="6" max="6" width="16" customWidth="1"/>
    <col min="7" max="7" width="11" bestFit="1" customWidth="1"/>
    <col min="9" max="11" width="14.42578125" bestFit="1" customWidth="1"/>
  </cols>
  <sheetData>
    <row r="2" spans="1:3">
      <c r="A2" s="90"/>
      <c r="B2" s="93">
        <v>2007</v>
      </c>
      <c r="C2" s="93">
        <v>2009</v>
      </c>
    </row>
    <row r="3" spans="1:3">
      <c r="A3" s="91" t="s">
        <v>151</v>
      </c>
      <c r="B3" s="70">
        <f>D149</f>
        <v>2701.1389531080249</v>
      </c>
      <c r="C3" s="70">
        <f>E149</f>
        <v>4291.3472806624723</v>
      </c>
    </row>
    <row r="4" spans="1:3">
      <c r="A4" s="91" t="s">
        <v>150</v>
      </c>
      <c r="B4" s="99">
        <f>F149</f>
        <v>8058.0504252115979</v>
      </c>
      <c r="C4" s="99">
        <f>G149</f>
        <v>6202.279145112976</v>
      </c>
    </row>
    <row r="5" spans="1:3">
      <c r="A5" s="93" t="s">
        <v>149</v>
      </c>
      <c r="B5" s="94">
        <f>SUM(B3:B4)</f>
        <v>10759.189378319623</v>
      </c>
      <c r="C5" s="94">
        <f>SUM(C3:C4)</f>
        <v>10493.626425775448</v>
      </c>
    </row>
    <row r="6" spans="1:3">
      <c r="A6" s="119" t="s">
        <v>167</v>
      </c>
      <c r="B6" s="120">
        <f>B3/B5*100</f>
        <v>25.105413225191231</v>
      </c>
      <c r="C6" s="120">
        <f>C3/C5*100</f>
        <v>40.894797532735247</v>
      </c>
    </row>
    <row r="7" spans="1:3">
      <c r="A7" s="107"/>
      <c r="B7" s="103"/>
      <c r="C7" s="103"/>
    </row>
    <row r="8" spans="1:3">
      <c r="A8" s="108" t="s">
        <v>152</v>
      </c>
      <c r="B8" s="103"/>
      <c r="C8" s="103"/>
    </row>
    <row r="9" spans="1:3">
      <c r="A9" s="107"/>
      <c r="B9" s="103"/>
      <c r="C9" s="103"/>
    </row>
    <row r="10" spans="1:3">
      <c r="A10" s="107"/>
      <c r="B10" s="103"/>
      <c r="C10" s="103"/>
    </row>
    <row r="11" spans="1:3">
      <c r="A11" s="107"/>
      <c r="B11" s="103"/>
      <c r="C11" s="103"/>
    </row>
    <row r="12" spans="1:3">
      <c r="A12" s="107"/>
      <c r="B12" s="103"/>
      <c r="C12" s="103"/>
    </row>
    <row r="13" spans="1:3">
      <c r="A13" s="107"/>
      <c r="B13" s="103"/>
      <c r="C13" s="103"/>
    </row>
    <row r="14" spans="1:3">
      <c r="A14" s="107"/>
      <c r="B14" s="103"/>
      <c r="C14" s="103"/>
    </row>
    <row r="15" spans="1:3">
      <c r="A15" s="107"/>
      <c r="B15" s="103"/>
      <c r="C15" s="103"/>
    </row>
    <row r="16" spans="1:3">
      <c r="A16" s="107"/>
      <c r="B16" s="103"/>
      <c r="C16" s="103"/>
    </row>
    <row r="17" spans="1:3">
      <c r="A17" s="107"/>
      <c r="B17" s="103"/>
      <c r="C17" s="103"/>
    </row>
    <row r="18" spans="1:3">
      <c r="A18" s="107"/>
      <c r="B18" s="103"/>
      <c r="C18" s="103"/>
    </row>
    <row r="19" spans="1:3">
      <c r="A19" s="107"/>
      <c r="B19" s="103"/>
      <c r="C19" s="103"/>
    </row>
    <row r="20" spans="1:3">
      <c r="A20" s="107"/>
      <c r="B20" s="103"/>
      <c r="C20" s="103"/>
    </row>
    <row r="36" spans="1:30">
      <c r="F36" s="7"/>
    </row>
    <row r="37" spans="1:30">
      <c r="A37" s="104" t="s">
        <v>119</v>
      </c>
      <c r="B37" s="93" t="s">
        <v>142</v>
      </c>
      <c r="C37" s="93" t="s">
        <v>128</v>
      </c>
      <c r="D37" s="93" t="s">
        <v>142</v>
      </c>
      <c r="E37" s="93" t="s">
        <v>128</v>
      </c>
      <c r="F37" s="101" t="s">
        <v>142</v>
      </c>
      <c r="G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>
      <c r="A38" s="90"/>
      <c r="B38" s="93">
        <v>2007</v>
      </c>
      <c r="C38" s="93">
        <v>2007</v>
      </c>
      <c r="D38" s="93">
        <v>2009</v>
      </c>
      <c r="E38" s="93">
        <v>2009</v>
      </c>
      <c r="F38" s="104" t="s">
        <v>148</v>
      </c>
    </row>
    <row r="39" spans="1:30">
      <c r="A39" s="91" t="s">
        <v>96</v>
      </c>
      <c r="B39" s="70">
        <f>'2007'!$A$72</f>
        <v>49.359085585277207</v>
      </c>
      <c r="C39" s="70">
        <f>'2007'!$A$73</f>
        <v>6.1007829783402618</v>
      </c>
      <c r="D39" s="70">
        <f>'2009'!$A$72</f>
        <v>191.48642577544851</v>
      </c>
      <c r="E39" s="70">
        <f>'2009'!$A$73</f>
        <v>23.303898016872086</v>
      </c>
      <c r="F39" s="70">
        <f>'2007'!$A$74</f>
        <v>0</v>
      </c>
    </row>
    <row r="40" spans="1:30">
      <c r="A40" s="91" t="s">
        <v>7</v>
      </c>
      <c r="B40" s="70">
        <f>'2007'!$C$72</f>
        <v>2349.4</v>
      </c>
      <c r="C40" s="70">
        <f>'2007'!$C$73</f>
        <v>223.19300000000001</v>
      </c>
      <c r="D40" s="70">
        <f>'2009'!$C$72</f>
        <v>978.25</v>
      </c>
      <c r="E40" s="70">
        <f>'2009'!$C$73</f>
        <v>92.933750000000003</v>
      </c>
      <c r="F40" s="70">
        <f>'2007'!$C$74</f>
        <v>0</v>
      </c>
    </row>
    <row r="41" spans="1:30">
      <c r="A41" s="91" t="s">
        <v>120</v>
      </c>
      <c r="B41" s="70">
        <f>'2007'!$I$72+'2007'!$B$72</f>
        <v>1076.8725818524358</v>
      </c>
      <c r="C41" s="70">
        <f>'2007'!$I$73+'2007'!$B$73</f>
        <v>61.865447335484312</v>
      </c>
      <c r="D41" s="70">
        <f>'2009'!$I$72+'2009'!$B$72</f>
        <v>970.22</v>
      </c>
      <c r="E41" s="70">
        <f>'2009'!$I$73+'2009'!$B$73</f>
        <v>55.530795999999995</v>
      </c>
      <c r="F41" s="70">
        <f>'2007'!$I$74+'2007'!$B$74</f>
        <v>0</v>
      </c>
    </row>
    <row r="42" spans="1:30">
      <c r="A42" s="91" t="s">
        <v>8</v>
      </c>
      <c r="B42" s="70">
        <f>'2007'!$D$72</f>
        <v>19</v>
      </c>
      <c r="C42" s="70">
        <f>'2007'!$D$73</f>
        <v>1.482</v>
      </c>
      <c r="D42" s="70">
        <f>'2009'!$D$72</f>
        <v>19</v>
      </c>
      <c r="E42" s="70">
        <f>'2009'!$D$73</f>
        <v>1.482</v>
      </c>
      <c r="F42" s="70">
        <f>'2007'!$D$74</f>
        <v>0</v>
      </c>
    </row>
    <row r="43" spans="1:30">
      <c r="A43" s="91" t="s">
        <v>121</v>
      </c>
      <c r="B43" s="70">
        <f>'2007'!$E$72+'2007'!$F$72</f>
        <v>2451.8025123852449</v>
      </c>
      <c r="C43" s="70">
        <f>'2007'!$E$73+'2007'!$F$73</f>
        <v>181.18820566526961</v>
      </c>
      <c r="D43" s="70">
        <f>'2009'!$E$72+'2009'!$F$72</f>
        <v>2187.1999999999998</v>
      </c>
      <c r="E43" s="70">
        <f>'2009'!$E$73+'2009'!$F$73</f>
        <v>161.63408000000004</v>
      </c>
      <c r="F43" s="70">
        <f>'2007'!$E$74+'2007'!$F$74</f>
        <v>0</v>
      </c>
    </row>
    <row r="44" spans="1:30">
      <c r="A44" s="91" t="s">
        <v>122</v>
      </c>
      <c r="B44" s="70">
        <f>'2007'!$G$72+'2007'!$H$72</f>
        <v>2049.7831984966633</v>
      </c>
      <c r="C44" s="70">
        <f>'2007'!$G$73+'2007'!$H$73</f>
        <v>148.97039029175977</v>
      </c>
      <c r="D44" s="70">
        <f>'2009'!$G$72+'2009'!$H$72</f>
        <v>1870.8</v>
      </c>
      <c r="E44" s="70">
        <f>'2009'!$G$73+'2009'!$H$73</f>
        <v>135.96339999999998</v>
      </c>
      <c r="F44" s="70">
        <f>'2007'!$G$74+'2007'!$H$74</f>
        <v>0</v>
      </c>
    </row>
    <row r="45" spans="1:30">
      <c r="A45" s="91" t="s">
        <v>125</v>
      </c>
      <c r="B45" s="70">
        <f>'2007'!$AE$72+'2007'!$J$72+'2007'!$K$72+'2007'!$L$72</f>
        <v>75.47</v>
      </c>
      <c r="C45" s="70">
        <f>'2007'!$AE$73+'2007'!$J$73+'2007'!$K$73+'2007'!$L$73</f>
        <v>5.8373819999999998</v>
      </c>
      <c r="D45" s="70">
        <f>'2009'!$AE$72+'2009'!$J$72+'2009'!$K$72+'2009'!$L$72</f>
        <v>38.099999999999994</v>
      </c>
      <c r="E45" s="70">
        <f>'2009'!$AE$73+'2009'!$J$73+'2009'!$K$73+'2009'!$L$73</f>
        <v>2.9756399999999998</v>
      </c>
      <c r="F45" s="70">
        <f>'2007'!$AE$74+'2007'!$J$74+'2007'!$K$74+'2007'!$L$74</f>
        <v>0</v>
      </c>
    </row>
    <row r="46" spans="1:30">
      <c r="A46" s="91" t="s">
        <v>126</v>
      </c>
      <c r="B46" s="70">
        <f>'2007'!$AB$72</f>
        <v>0</v>
      </c>
      <c r="C46" s="70">
        <f>'2007'!$AB$73</f>
        <v>0</v>
      </c>
      <c r="D46" s="70">
        <f>'2009'!$AB$72</f>
        <v>63</v>
      </c>
      <c r="E46" s="70">
        <f>'2009'!$AB$73</f>
        <v>0</v>
      </c>
      <c r="F46" s="70">
        <f>'2007'!$AB$74</f>
        <v>0</v>
      </c>
    </row>
    <row r="47" spans="1:30">
      <c r="A47" s="91" t="s">
        <v>123</v>
      </c>
      <c r="B47" s="70">
        <f>'2007'!$T$72+'2007'!$V$72+'2007'!$W$72+'2007'!$X$72+'2007'!$Y$72+'2007'!$Z$72</f>
        <v>1943.5</v>
      </c>
      <c r="C47" s="70">
        <f>'2007'!$T$73+'2007'!$V$73+'2007'!$W$73+'2007'!$X$73+'2007'!$Y$73+'2007'!$Z$73</f>
        <v>0</v>
      </c>
      <c r="D47" s="70">
        <f>'2009'!$T$72+'2009'!$V$72+'2009'!$W$72+'2009'!$X$72+'2009'!$Y$72+'2009'!$Z$72</f>
        <v>3321.29</v>
      </c>
      <c r="E47" s="70">
        <f>'2009'!$T$73+'2009'!$V$73+'2009'!$W$73+'2009'!$X$73+'2009'!$Y$73+'2009'!$Z$73</f>
        <v>0</v>
      </c>
      <c r="F47" s="70">
        <f>'2007'!$T$74+'2007'!$V$74+'2007'!$W$74+'2007'!$X$74+'2007'!$Y$74+'2007'!$Z$74</f>
        <v>2565.0208935203691</v>
      </c>
    </row>
    <row r="48" spans="1:30">
      <c r="A48" s="91" t="s">
        <v>13</v>
      </c>
      <c r="B48" s="70">
        <f>'2007'!$M$72</f>
        <v>704</v>
      </c>
      <c r="C48" s="70">
        <f>'2007'!$M$73</f>
        <v>0</v>
      </c>
      <c r="D48" s="70">
        <f>'2009'!$M$72</f>
        <v>803</v>
      </c>
      <c r="E48" s="70">
        <f>'2009'!$M$73</f>
        <v>0</v>
      </c>
      <c r="F48" s="70">
        <f>'2007'!$M$74</f>
        <v>0</v>
      </c>
    </row>
    <row r="49" spans="1:6">
      <c r="A49" s="91" t="s">
        <v>124</v>
      </c>
      <c r="B49" s="70">
        <f>'2007'!$R$72+'2007'!$S$72+'2007'!$AA$72+'2007'!$AB$72+'2007'!$AC$72</f>
        <v>37.6</v>
      </c>
      <c r="C49" s="70">
        <f>'2007'!$R$73+'2007'!$S$73+'2007'!$AA$73+'2007'!$AB$73+'2007'!$AC$73</f>
        <v>0</v>
      </c>
      <c r="D49" s="70">
        <f>'2009'!$R$72+'2009'!$S$72+'2009'!$AA$72+'2009'!$AC$72</f>
        <v>47.6</v>
      </c>
      <c r="E49" s="70">
        <f>'2009'!$R$73+'2009'!$S$73+'2009'!$AA$73+'2009'!$AB$73+'2009'!$AC$73</f>
        <v>0</v>
      </c>
      <c r="F49" s="70">
        <f>'2007'!$R$74+'2007'!$S$74+'2007'!$AA$74+'2007'!$AB$74+'2007'!$AC$74</f>
        <v>336.17251482505162</v>
      </c>
    </row>
    <row r="50" spans="1:6">
      <c r="A50" s="91" t="s">
        <v>16</v>
      </c>
      <c r="B50" s="70">
        <f>'2007'!$P$72</f>
        <v>2.61</v>
      </c>
      <c r="C50" s="70">
        <f>'2007'!$P$73</f>
        <v>0</v>
      </c>
      <c r="D50" s="70">
        <f>'2009'!$P$72</f>
        <v>2.61</v>
      </c>
      <c r="E50" s="70">
        <f>'2009'!$P$73</f>
        <v>0</v>
      </c>
      <c r="F50" s="70">
        <f>'2007'!$P$74</f>
        <v>0</v>
      </c>
    </row>
    <row r="51" spans="1:6">
      <c r="A51" s="91" t="s">
        <v>127</v>
      </c>
      <c r="B51" s="70">
        <f>'2007'!$AD$72+'2007'!$Q$72+'2007'!$O$72+'2007'!$N$72</f>
        <v>0.10200000000000001</v>
      </c>
      <c r="C51" s="70">
        <f>'2007'!$AD$73+'2007'!$Q$73+'2007'!$O$73+'2007'!$N$73</f>
        <v>0</v>
      </c>
      <c r="D51" s="70">
        <f>'2009'!$AD$72+'2009'!$Q$72+'2009'!$O$72+'2009'!$N$72</f>
        <v>1.38</v>
      </c>
      <c r="E51" s="70">
        <f>'2009'!$AD$73+'2009'!$Q$73+'2009'!$O$73+'2009'!$N$73</f>
        <v>0</v>
      </c>
      <c r="F51" s="70">
        <f>'2007'!$AD$74+'2007'!$Q$74+'2007'!$O$74+'2007'!$N$74</f>
        <v>0</v>
      </c>
    </row>
    <row r="52" spans="1:6">
      <c r="A52" s="93" t="s">
        <v>129</v>
      </c>
      <c r="B52" s="94">
        <f>SUM(B39:B51)</f>
        <v>10759.499378319622</v>
      </c>
      <c r="C52" s="94">
        <f>SUM(C39:C51)</f>
        <v>628.6372082708541</v>
      </c>
      <c r="D52" s="94">
        <f>SUM(D39:D51)</f>
        <v>10493.93642577545</v>
      </c>
      <c r="E52" s="94">
        <f>SUM(E39:E51)</f>
        <v>473.82356401687207</v>
      </c>
      <c r="F52" s="94">
        <f>SUM(F39:F51)</f>
        <v>2901.1934083454207</v>
      </c>
    </row>
    <row r="53" spans="1:6">
      <c r="A53" s="95"/>
    </row>
    <row r="54" spans="1:6">
      <c r="A54" s="95"/>
    </row>
    <row r="55" spans="1:6">
      <c r="A55" s="95"/>
      <c r="B55" s="96"/>
      <c r="C55" s="96"/>
    </row>
    <row r="56" spans="1:6">
      <c r="A56" s="95" t="s">
        <v>135</v>
      </c>
      <c r="B56" s="96"/>
      <c r="C56" s="96"/>
    </row>
    <row r="57" spans="1:6">
      <c r="A57" s="95"/>
      <c r="B57" s="96"/>
      <c r="C57" s="96"/>
    </row>
    <row r="58" spans="1:6">
      <c r="A58" s="95"/>
      <c r="B58" s="96"/>
      <c r="C58" s="96"/>
    </row>
    <row r="59" spans="1:6">
      <c r="A59" s="95"/>
      <c r="B59" s="96"/>
      <c r="C59" s="96"/>
    </row>
    <row r="60" spans="1:6">
      <c r="A60" s="95"/>
      <c r="B60" s="96"/>
      <c r="C60" s="96"/>
    </row>
    <row r="61" spans="1:6">
      <c r="A61" s="95"/>
      <c r="B61" s="96"/>
      <c r="C61" s="96"/>
    </row>
    <row r="62" spans="1:6">
      <c r="A62" s="95"/>
      <c r="B62" s="96"/>
      <c r="C62" s="96"/>
    </row>
    <row r="63" spans="1:6">
      <c r="A63" s="95"/>
      <c r="B63" s="96"/>
      <c r="C63" s="96"/>
    </row>
    <row r="64" spans="1:6">
      <c r="A64" s="95"/>
      <c r="B64" s="96"/>
      <c r="C64" s="96"/>
    </row>
    <row r="65" spans="1:3">
      <c r="A65" s="95"/>
      <c r="B65" s="96"/>
      <c r="C65" s="96"/>
    </row>
    <row r="66" spans="1:3">
      <c r="A66" s="95"/>
      <c r="B66" s="96"/>
      <c r="C66" s="96"/>
    </row>
    <row r="67" spans="1:3">
      <c r="A67" s="95"/>
      <c r="B67" s="96"/>
      <c r="C67" s="96"/>
    </row>
    <row r="68" spans="1:3">
      <c r="A68" s="95"/>
      <c r="B68" s="96"/>
      <c r="C68" s="96"/>
    </row>
    <row r="69" spans="1:3">
      <c r="A69" s="95"/>
      <c r="B69" s="96"/>
      <c r="C69" s="96"/>
    </row>
    <row r="70" spans="1:3">
      <c r="A70" s="95"/>
      <c r="B70" s="96"/>
      <c r="C70" s="96"/>
    </row>
    <row r="71" spans="1:3">
      <c r="A71" s="95"/>
      <c r="B71" s="96"/>
      <c r="C71" s="96"/>
    </row>
    <row r="72" spans="1:3">
      <c r="A72" s="95"/>
      <c r="B72" s="96"/>
      <c r="C72" s="96"/>
    </row>
    <row r="73" spans="1:3">
      <c r="A73" s="95"/>
      <c r="B73" s="96"/>
      <c r="C73" s="96"/>
    </row>
    <row r="74" spans="1:3">
      <c r="A74" s="95"/>
      <c r="B74" s="96"/>
      <c r="C74" s="96"/>
    </row>
    <row r="75" spans="1:3">
      <c r="A75" s="95"/>
      <c r="B75" s="96"/>
      <c r="C75" s="96"/>
    </row>
    <row r="76" spans="1:3">
      <c r="A76" s="95"/>
      <c r="B76" s="96"/>
      <c r="C76" s="96"/>
    </row>
    <row r="77" spans="1:3">
      <c r="B77" s="96"/>
      <c r="C77" s="96"/>
    </row>
    <row r="78" spans="1:3">
      <c r="B78" s="96"/>
      <c r="C78" s="96"/>
    </row>
    <row r="79" spans="1:3">
      <c r="A79" s="95"/>
      <c r="B79" s="96"/>
      <c r="C79" s="96"/>
    </row>
    <row r="80" spans="1:3">
      <c r="B80" s="96"/>
      <c r="C80" s="96"/>
    </row>
    <row r="81" spans="1:3">
      <c r="A81" s="95"/>
      <c r="B81" s="96"/>
      <c r="C81" s="96"/>
    </row>
    <row r="82" spans="1:3">
      <c r="A82" s="95"/>
      <c r="B82" s="96"/>
      <c r="C82" s="96"/>
    </row>
    <row r="83" spans="1:3">
      <c r="A83" s="95"/>
      <c r="B83" s="96"/>
      <c r="C83" s="96"/>
    </row>
    <row r="84" spans="1:3">
      <c r="A84" s="100" t="s">
        <v>136</v>
      </c>
      <c r="B84" s="96"/>
      <c r="C84" s="96"/>
    </row>
    <row r="85" spans="1:3">
      <c r="A85" s="95"/>
      <c r="B85" s="96"/>
      <c r="C85" s="96"/>
    </row>
    <row r="86" spans="1:3">
      <c r="A86" s="95"/>
      <c r="B86" s="96"/>
      <c r="C86" s="96"/>
    </row>
    <row r="87" spans="1:3">
      <c r="A87" s="95"/>
      <c r="B87" s="96"/>
      <c r="C87" s="96"/>
    </row>
    <row r="88" spans="1:3">
      <c r="A88" s="95"/>
      <c r="B88" s="96"/>
      <c r="C88" s="96"/>
    </row>
    <row r="89" spans="1:3">
      <c r="A89" s="95"/>
      <c r="B89" s="96"/>
      <c r="C89" s="96"/>
    </row>
    <row r="90" spans="1:3">
      <c r="A90" s="95"/>
      <c r="B90" s="96"/>
      <c r="C90" s="96"/>
    </row>
    <row r="91" spans="1:3">
      <c r="A91" s="95"/>
      <c r="B91" s="96"/>
      <c r="C91" s="96"/>
    </row>
    <row r="92" spans="1:3">
      <c r="A92" s="95"/>
      <c r="B92" s="96"/>
      <c r="C92" s="96"/>
    </row>
    <row r="93" spans="1:3">
      <c r="A93" s="95"/>
      <c r="B93" s="96"/>
      <c r="C93" s="96"/>
    </row>
    <row r="94" spans="1:3">
      <c r="A94" s="95"/>
      <c r="B94" s="96"/>
      <c r="C94" s="96"/>
    </row>
    <row r="95" spans="1:3">
      <c r="A95" s="95"/>
      <c r="B95" s="96"/>
      <c r="C95" s="96"/>
    </row>
    <row r="96" spans="1:3">
      <c r="A96" s="95"/>
      <c r="B96" s="96"/>
      <c r="C96" s="96"/>
    </row>
    <row r="97" spans="1:3">
      <c r="A97" s="95"/>
      <c r="B97" s="96"/>
      <c r="C97" s="96"/>
    </row>
    <row r="98" spans="1:3">
      <c r="A98" s="95"/>
      <c r="B98" s="96"/>
      <c r="C98" s="96"/>
    </row>
    <row r="99" spans="1:3">
      <c r="A99" s="95"/>
      <c r="B99" s="96"/>
      <c r="C99" s="96"/>
    </row>
    <row r="100" spans="1:3">
      <c r="A100" s="95"/>
      <c r="B100" s="96"/>
      <c r="C100" s="96"/>
    </row>
    <row r="101" spans="1:3">
      <c r="A101" s="95"/>
      <c r="B101" s="96"/>
      <c r="C101" s="96"/>
    </row>
    <row r="102" spans="1:3">
      <c r="A102" s="95"/>
      <c r="B102" s="96"/>
      <c r="C102" s="96"/>
    </row>
    <row r="103" spans="1:3">
      <c r="A103" s="95"/>
      <c r="B103" s="96"/>
      <c r="C103" s="96"/>
    </row>
    <row r="104" spans="1:3">
      <c r="A104" s="95"/>
      <c r="B104" s="96"/>
      <c r="C104" s="96"/>
    </row>
    <row r="105" spans="1:3">
      <c r="A105" s="95"/>
      <c r="B105" s="96"/>
      <c r="C105" s="96"/>
    </row>
    <row r="106" spans="1:3">
      <c r="A106" s="95"/>
      <c r="B106" s="96"/>
      <c r="C106" s="96"/>
    </row>
    <row r="107" spans="1:3">
      <c r="A107" s="95"/>
      <c r="B107" s="96"/>
      <c r="C107" s="96"/>
    </row>
    <row r="108" spans="1:3">
      <c r="A108" s="95"/>
      <c r="B108" s="96"/>
      <c r="C108" s="96"/>
    </row>
    <row r="109" spans="1:3">
      <c r="A109" s="95"/>
      <c r="B109" s="96"/>
      <c r="C109" s="96"/>
    </row>
    <row r="110" spans="1:3">
      <c r="A110" s="95"/>
      <c r="B110" s="96"/>
      <c r="C110" s="96"/>
    </row>
    <row r="111" spans="1:3">
      <c r="A111" s="95"/>
      <c r="B111" s="96"/>
      <c r="C111" s="96"/>
    </row>
    <row r="112" spans="1:3">
      <c r="A112" s="95" t="s">
        <v>141</v>
      </c>
      <c r="B112" s="96"/>
      <c r="C112" s="96"/>
    </row>
    <row r="113" spans="2:3">
      <c r="B113" s="96"/>
      <c r="C113" s="96"/>
    </row>
    <row r="114" spans="2:3">
      <c r="B114" s="96"/>
      <c r="C114" s="96"/>
    </row>
    <row r="115" spans="2:3">
      <c r="B115" s="96"/>
      <c r="C115" s="96"/>
    </row>
    <row r="116" spans="2:3">
      <c r="B116" s="96"/>
      <c r="C116" s="96"/>
    </row>
    <row r="117" spans="2:3">
      <c r="B117" s="96"/>
      <c r="C117" s="96"/>
    </row>
    <row r="118" spans="2:3">
      <c r="B118" s="96"/>
      <c r="C118" s="96"/>
    </row>
    <row r="119" spans="2:3">
      <c r="B119" s="96"/>
      <c r="C119" s="96"/>
    </row>
    <row r="120" spans="2:3">
      <c r="B120" s="96"/>
      <c r="C120" s="96"/>
    </row>
    <row r="121" spans="2:3">
      <c r="B121" s="96"/>
      <c r="C121" s="96"/>
    </row>
    <row r="122" spans="2:3">
      <c r="B122" s="96"/>
      <c r="C122" s="96"/>
    </row>
    <row r="123" spans="2:3">
      <c r="B123" s="96"/>
      <c r="C123" s="96"/>
    </row>
    <row r="124" spans="2:3">
      <c r="B124" s="96"/>
      <c r="C124" s="96"/>
    </row>
    <row r="125" spans="2:3">
      <c r="B125" s="96"/>
      <c r="C125" s="96"/>
    </row>
    <row r="126" spans="2:3">
      <c r="B126" s="96"/>
      <c r="C126" s="96"/>
    </row>
    <row r="127" spans="2:3">
      <c r="B127" s="96"/>
      <c r="C127" s="96"/>
    </row>
    <row r="128" spans="2:3">
      <c r="B128" s="96"/>
      <c r="C128" s="96"/>
    </row>
    <row r="129" spans="1:11">
      <c r="B129" s="96"/>
      <c r="C129" s="96"/>
    </row>
    <row r="130" spans="1:11">
      <c r="B130" s="96"/>
      <c r="C130" s="96"/>
    </row>
    <row r="131" spans="1:11">
      <c r="B131" s="96"/>
      <c r="C131" s="96"/>
    </row>
    <row r="132" spans="1:11">
      <c r="A132" s="95"/>
      <c r="B132" s="96"/>
      <c r="C132" s="96"/>
    </row>
    <row r="133" spans="1:11">
      <c r="A133" s="95"/>
      <c r="B133" s="96"/>
      <c r="C133" s="96"/>
    </row>
    <row r="134" spans="1:11">
      <c r="A134" s="95"/>
      <c r="B134" s="96"/>
      <c r="C134" s="96"/>
    </row>
    <row r="135" spans="1:11">
      <c r="A135" s="95"/>
      <c r="B135" s="96"/>
      <c r="C135" s="96"/>
    </row>
    <row r="136" spans="1:11">
      <c r="A136" s="95"/>
      <c r="B136" s="96"/>
      <c r="C136" s="96"/>
    </row>
    <row r="137" spans="1:11">
      <c r="A137" s="95"/>
      <c r="B137" s="96"/>
      <c r="C137" s="96"/>
    </row>
    <row r="138" spans="1:11">
      <c r="A138" s="95"/>
      <c r="B138" s="96"/>
      <c r="C138" s="96"/>
    </row>
    <row r="140" spans="1:11">
      <c r="A140" s="97" t="s">
        <v>137</v>
      </c>
      <c r="B140" s="89"/>
    </row>
    <row r="141" spans="1:11">
      <c r="A141" s="97"/>
      <c r="B141" s="93" t="s">
        <v>2</v>
      </c>
      <c r="C141" s="93" t="s">
        <v>2</v>
      </c>
      <c r="D141" s="93" t="s">
        <v>143</v>
      </c>
      <c r="E141" s="93" t="s">
        <v>143</v>
      </c>
      <c r="F141" s="93" t="s">
        <v>144</v>
      </c>
      <c r="G141" s="93" t="s">
        <v>144</v>
      </c>
      <c r="H141" s="93" t="s">
        <v>134</v>
      </c>
      <c r="I141" s="93" t="s">
        <v>134</v>
      </c>
      <c r="J141" s="93" t="s">
        <v>128</v>
      </c>
      <c r="K141" s="93" t="s">
        <v>128</v>
      </c>
    </row>
    <row r="142" spans="1:11">
      <c r="A142" s="90"/>
      <c r="B142" s="93">
        <v>2007</v>
      </c>
      <c r="C142" s="93">
        <v>2009</v>
      </c>
      <c r="D142" s="93">
        <v>2007</v>
      </c>
      <c r="E142" s="93">
        <v>2009</v>
      </c>
      <c r="F142" s="93">
        <v>2007</v>
      </c>
      <c r="G142" s="93">
        <v>2009</v>
      </c>
      <c r="H142" s="93">
        <v>2007</v>
      </c>
      <c r="I142" s="93">
        <v>2009</v>
      </c>
      <c r="J142" s="93">
        <v>2007</v>
      </c>
      <c r="K142" s="93">
        <v>2009</v>
      </c>
    </row>
    <row r="143" spans="1:11">
      <c r="A143" s="91" t="s">
        <v>131</v>
      </c>
      <c r="B143" s="70">
        <f>'2007'!$AF$15+'2007'!$AF$16+'2007'!$AF$18+'2007'!$AF$20+'2007'!$AF$21+'2007'!$AF$24+'2007'!$AF$25+'2007'!$AF$26</f>
        <v>1841.6224210200003</v>
      </c>
      <c r="C143" s="70">
        <f>'2009'!$AF$15+'2009'!$AF$16+'2009'!$AF$18+'2009'!$AF$20+'2009'!$AF$21+'2009'!$AF$24+'2009'!$AF$25+'2009'!$AF$26</f>
        <v>1710.6799999999998</v>
      </c>
      <c r="D143" s="70">
        <f>'2007'!AF15+'2007'!AF16+'2007'!AF24+'2007'!AF25+'2007'!AF26</f>
        <v>776.50199999999995</v>
      </c>
      <c r="E143" s="70">
        <f>'2009'!AF15+'2009'!AF16+'2009'!AF24+'2009'!AF25+'2009'!AF26</f>
        <v>783.68</v>
      </c>
      <c r="F143" s="98">
        <f t="shared" ref="F143:G149" si="0">B143-D143</f>
        <v>1065.1204210200003</v>
      </c>
      <c r="G143" s="98">
        <f t="shared" si="0"/>
        <v>926.99999999999989</v>
      </c>
      <c r="H143" s="92">
        <f>'2007'!$AF$18*'2007'!$E$78+'2007'!$AF$20*'2007'!$I$78+'2007'!$AF$21*'2007'!$I$78</f>
        <v>71271.839913935997</v>
      </c>
      <c r="I143" s="92">
        <f>'2009'!$AF$18*'2009'!$E$78+'2009'!$AF$20*'2009'!$I$78+'2009'!$AF$21*'2009'!$I$78</f>
        <v>62246.7</v>
      </c>
      <c r="J143" s="70">
        <f t="shared" ref="J143:K147" si="1">H143/1000</f>
        <v>71.271839913935992</v>
      </c>
      <c r="K143" s="70">
        <f t="shared" si="1"/>
        <v>62.246699999999997</v>
      </c>
    </row>
    <row r="144" spans="1:11">
      <c r="A144" s="91" t="s">
        <v>130</v>
      </c>
      <c r="B144" s="70">
        <f>SUM('2007'!$AF$32:$AF$53)</f>
        <v>3532.3004999999998</v>
      </c>
      <c r="C144" s="70">
        <f>SUM('2009'!$AF$32:$AF$53)</f>
        <v>3820.9600000000005</v>
      </c>
      <c r="D144" s="70">
        <f>SUM('2007'!$M$32:$AD$53)</f>
        <v>1207</v>
      </c>
      <c r="E144" s="70">
        <f>SUM('2009'!$M$32:$AD$53)</f>
        <v>2588.89</v>
      </c>
      <c r="F144" s="98">
        <f t="shared" si="0"/>
        <v>2325.3004999999998</v>
      </c>
      <c r="G144" s="98">
        <f t="shared" si="0"/>
        <v>1232.0700000000006</v>
      </c>
      <c r="H144" s="70">
        <f>('2007'!$E$35+'2007'!$E$51)*'2007'!$E$78+'2007'!$C$32*'2007'!$C$78+SUM('2007'!$I$42:$I$51)*'2007'!$I$78</f>
        <v>206112.58</v>
      </c>
      <c r="I144" s="70">
        <f>('2009'!$E$35+'2009'!$E$51)*'2009'!$E$78+'2009'!$C$32*'2009'!$C$78+SUM('2009'!$I$42:$I$51)*'2009'!$I$78</f>
        <v>103922.306</v>
      </c>
      <c r="J144" s="70">
        <f t="shared" si="1"/>
        <v>206.11257999999998</v>
      </c>
      <c r="K144" s="70">
        <f t="shared" si="1"/>
        <v>103.92230599999999</v>
      </c>
    </row>
    <row r="145" spans="1:11">
      <c r="A145" s="91" t="s">
        <v>132</v>
      </c>
      <c r="B145" s="70">
        <f>'2007'!$AF$8+'2007'!$AF$19+'2007'!$AF$22+'2007'!$AF$23</f>
        <v>848.12166083243562</v>
      </c>
      <c r="C145" s="70">
        <f>'2009'!$AF$8+'2009'!$AF$19+'2009'!$AF$22+'2009'!$AF$23</f>
        <v>493.50000000000006</v>
      </c>
      <c r="D145" s="70">
        <f>SUM('2007'!$M$54:$AD$62)+SUM('2007'!$M$23:$AD$23)</f>
        <v>0</v>
      </c>
      <c r="E145" s="70">
        <f>SUM('2009'!$M$54:$AD$62)+SUM('2009'!$M$23:$AD$23)</f>
        <v>63</v>
      </c>
      <c r="F145" s="98">
        <f t="shared" si="0"/>
        <v>848.12166083243562</v>
      </c>
      <c r="G145" s="98">
        <f t="shared" si="0"/>
        <v>430.50000000000006</v>
      </c>
      <c r="H145" s="70">
        <f>'2007'!$B$73*1000+'2007'!$C$23*'2007'!$C$78+('2007'!$E$19+'2007'!$E$23)*'2007'!$E$78+'2007'!$I$22*'2007'!$I$78+'2007'!$J$73*1000+'2007'!$K$73*1000+'2007'!$L$73*1000</f>
        <v>67960.92942154831</v>
      </c>
      <c r="I145" s="70">
        <f>'2009'!$B$73*1000+'2009'!$C$23*'2009'!$C$78+('2009'!$E$19+'2009'!$E$23)*'2009'!$E$78+'2009'!$I$22*'2009'!$I$78+'2009'!$J$73*1000+'2009'!$K$73*1000+'2009'!$L$73*1000</f>
        <v>29832.880000000001</v>
      </c>
      <c r="J145" s="70">
        <f t="shared" si="1"/>
        <v>67.960929421548315</v>
      </c>
      <c r="K145" s="70">
        <f t="shared" si="1"/>
        <v>29.832879999999999</v>
      </c>
    </row>
    <row r="146" spans="1:11">
      <c r="A146" s="91" t="s">
        <v>29</v>
      </c>
      <c r="B146" s="70">
        <f>SUM('2007'!$AF$63:$AF$71)</f>
        <v>3783.7857108819089</v>
      </c>
      <c r="C146" s="70">
        <f>SUM('2009'!$AF$63:$AF$71)</f>
        <v>3474</v>
      </c>
      <c r="D146" s="90"/>
      <c r="E146" s="90"/>
      <c r="F146" s="98">
        <f t="shared" si="0"/>
        <v>3783.7857108819089</v>
      </c>
      <c r="G146" s="98">
        <f t="shared" si="0"/>
        <v>3474</v>
      </c>
      <c r="H146" s="70">
        <f>'2007'!$D$73*1000+'2007'!$F$73*1000+'2007'!$G$73*1000+'2007'!$H$73*1000</f>
        <v>277191.07595702936</v>
      </c>
      <c r="I146" s="70">
        <f>'2009'!$D$73*1000+'2009'!$F$73*1000+'2009'!$G$73*1000+'2009'!$H$73*1000</f>
        <v>254517.78</v>
      </c>
      <c r="J146" s="70">
        <f t="shared" si="1"/>
        <v>277.19107595702934</v>
      </c>
      <c r="K146" s="70">
        <f t="shared" si="1"/>
        <v>254.51777999999999</v>
      </c>
    </row>
    <row r="147" spans="1:11">
      <c r="A147" s="91" t="s">
        <v>145</v>
      </c>
      <c r="B147" s="70">
        <f>'2007'!$AF$29</f>
        <v>704</v>
      </c>
      <c r="C147" s="70">
        <f>'2009'!$AF$29</f>
        <v>803</v>
      </c>
      <c r="D147" s="70">
        <f>SUM('2007'!$AF$28:$AF$31)</f>
        <v>704.31</v>
      </c>
      <c r="E147" s="70">
        <f>SUM('2009'!$AF$28:$AF$31)</f>
        <v>803.31</v>
      </c>
      <c r="F147" s="98">
        <f t="shared" si="0"/>
        <v>-0.30999999999994543</v>
      </c>
      <c r="G147" s="98">
        <f t="shared" si="0"/>
        <v>-0.30999999999994543</v>
      </c>
      <c r="H147" s="90">
        <v>0</v>
      </c>
      <c r="I147" s="90">
        <v>0</v>
      </c>
      <c r="J147" s="70">
        <f t="shared" si="1"/>
        <v>0</v>
      </c>
      <c r="K147" s="70">
        <f t="shared" si="1"/>
        <v>0</v>
      </c>
    </row>
    <row r="148" spans="1:11">
      <c r="A148" s="91" t="s">
        <v>133</v>
      </c>
      <c r="B148" s="70">
        <f>'2007'!$AF$17</f>
        <v>49.359085585277207</v>
      </c>
      <c r="C148" s="70">
        <f>'2009'!$AF$17</f>
        <v>191.48642577544851</v>
      </c>
      <c r="D148" s="98">
        <f>B148*0.27</f>
        <v>13.326953108024847</v>
      </c>
      <c r="E148" s="98">
        <f>C148*0.274</f>
        <v>52.467280662472895</v>
      </c>
      <c r="F148" s="98">
        <f>B148-D148</f>
        <v>36.032132477252361</v>
      </c>
      <c r="G148" s="98">
        <f>C148-E148</f>
        <v>139.01914511297562</v>
      </c>
      <c r="H148" s="70">
        <f>'2007'!$A$73*1000</f>
        <v>6100.7829783402622</v>
      </c>
      <c r="I148" s="70">
        <f>'2009'!$A$73*1000</f>
        <v>23303.898016872085</v>
      </c>
      <c r="J148" s="70">
        <f>H148/1000</f>
        <v>6.1007829783402618</v>
      </c>
      <c r="K148" s="70">
        <f>I148/1000</f>
        <v>23.303898016872086</v>
      </c>
    </row>
    <row r="149" spans="1:11">
      <c r="A149" s="93" t="s">
        <v>129</v>
      </c>
      <c r="B149" s="94">
        <f>SUM(B143:B148)</f>
        <v>10759.189378319623</v>
      </c>
      <c r="C149" s="94">
        <f>SUM(C143:C148)</f>
        <v>10493.626425775448</v>
      </c>
      <c r="D149" s="94">
        <f>SUM(D143:D148)</f>
        <v>2701.1389531080249</v>
      </c>
      <c r="E149" s="94">
        <f>SUM(E143:E148)</f>
        <v>4291.3472806624723</v>
      </c>
      <c r="F149" s="104">
        <f t="shared" si="0"/>
        <v>8058.0504252115979</v>
      </c>
      <c r="G149" s="104">
        <f t="shared" si="0"/>
        <v>6202.279145112976</v>
      </c>
      <c r="H149" s="94">
        <f>SUM(H143:H148)</f>
        <v>628637.20827085397</v>
      </c>
      <c r="I149" s="94">
        <f>SUM(I143:I148)</f>
        <v>473823.56401687203</v>
      </c>
      <c r="J149" s="94">
        <f>SUM(J143:J148)</f>
        <v>628.63720827085388</v>
      </c>
      <c r="K149" s="94">
        <f>SUM(K143:K148)</f>
        <v>473.82356401687207</v>
      </c>
    </row>
    <row r="150" spans="1:11">
      <c r="D150" s="68">
        <f>SUM(D143:D147)</f>
        <v>2687.8119999999999</v>
      </c>
      <c r="E150" s="68">
        <f>SUM(E143:E147)</f>
        <v>4238.8799999999992</v>
      </c>
    </row>
    <row r="153" spans="1:11">
      <c r="A153" s="97" t="s">
        <v>138</v>
      </c>
    </row>
    <row r="179" spans="1:3">
      <c r="B179" s="3"/>
      <c r="C179" s="3"/>
    </row>
    <row r="184" spans="1:3">
      <c r="A184" s="97" t="s">
        <v>139</v>
      </c>
    </row>
    <row r="212" spans="1:1">
      <c r="A212" s="97" t="s">
        <v>140</v>
      </c>
    </row>
    <row r="240" spans="1:1">
      <c r="A240" s="97" t="s">
        <v>147</v>
      </c>
    </row>
    <row r="241" spans="1:3">
      <c r="A241" s="90"/>
      <c r="B241" s="93">
        <v>2007</v>
      </c>
      <c r="C241" s="93">
        <v>2009</v>
      </c>
    </row>
    <row r="242" spans="1:3">
      <c r="A242" s="70" t="str">
        <f>'2007'!AG63</f>
        <v>Benzinbiler, små, mm.</v>
      </c>
      <c r="B242" s="70">
        <f>'2007'!AF63</f>
        <v>1384</v>
      </c>
      <c r="C242" s="70">
        <f>'2009'!AF63</f>
        <v>1264</v>
      </c>
    </row>
    <row r="243" spans="1:3">
      <c r="A243" s="70" t="str">
        <f>'2007'!AG64</f>
        <v>Dieselbiler, små</v>
      </c>
      <c r="B243" s="70">
        <f>'2007'!AF64</f>
        <v>330</v>
      </c>
      <c r="C243" s="70">
        <f>'2009'!AF64</f>
        <v>305</v>
      </c>
    </row>
    <row r="244" spans="1:3">
      <c r="A244" s="70" t="str">
        <f>'2007'!AG65</f>
        <v>Busser</v>
      </c>
      <c r="B244" s="70">
        <f>'2007'!AF65</f>
        <v>23</v>
      </c>
      <c r="C244" s="70">
        <f>'2009'!AF65</f>
        <v>27</v>
      </c>
    </row>
    <row r="245" spans="1:3">
      <c r="A245" s="70" t="str">
        <f>'2007'!AG66</f>
        <v>Busser, kollektiv trafik</v>
      </c>
      <c r="B245" s="70">
        <f>'2007'!AF66</f>
        <v>0</v>
      </c>
      <c r="C245" s="70">
        <f>'2009'!AF66</f>
        <v>0</v>
      </c>
    </row>
    <row r="246" spans="1:3">
      <c r="A246" s="70" t="str">
        <f>'2007'!AG67</f>
        <v>Lastbiler/sættevogne/entreprenørmaskiner</v>
      </c>
      <c r="B246" s="70">
        <f>'2007'!AF67</f>
        <v>1098</v>
      </c>
      <c r="C246" s="70">
        <f>'2009'!AF67</f>
        <v>980</v>
      </c>
    </row>
    <row r="247" spans="1:3">
      <c r="A247" s="70" t="str">
        <f>'2007'!AG68</f>
        <v>Traktorer</v>
      </c>
      <c r="B247" s="70">
        <f>'2007'!AF68</f>
        <v>153.00251238524498</v>
      </c>
      <c r="C247" s="70">
        <f>'2009'!AF68</f>
        <v>160</v>
      </c>
    </row>
    <row r="248" spans="1:3">
      <c r="A248" s="70" t="str">
        <f>'2007'!AG69</f>
        <v>Tog</v>
      </c>
      <c r="B248" s="70">
        <f>'2007'!AF69</f>
        <v>53</v>
      </c>
      <c r="C248" s="70">
        <f>'2009'!AF69</f>
        <v>53.2</v>
      </c>
    </row>
    <row r="249" spans="1:3">
      <c r="A249" s="70" t="str">
        <f>'2007'!AG70</f>
        <v>Fly</v>
      </c>
      <c r="B249" s="70">
        <f>'2007'!AF70</f>
        <v>684.78319849666354</v>
      </c>
      <c r="C249" s="70">
        <f>'2009'!AF70</f>
        <v>625.79999999999995</v>
      </c>
    </row>
    <row r="250" spans="1:3">
      <c r="A250" s="70" t="str">
        <f>'2007'!AG71</f>
        <v>Skibe</v>
      </c>
      <c r="B250" s="70">
        <f>'2007'!AF71</f>
        <v>58</v>
      </c>
      <c r="C250" s="70">
        <f>'2009'!AF71</f>
        <v>59</v>
      </c>
    </row>
    <row r="251" spans="1:3">
      <c r="A251" s="94" t="s">
        <v>129</v>
      </c>
      <c r="B251" s="94">
        <f>SUM(B242:B250)</f>
        <v>3783.7857108819089</v>
      </c>
      <c r="C251" s="94">
        <f>SUM(C242:C250)</f>
        <v>3474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2009</vt:lpstr>
      <vt:lpstr>2007</vt:lpstr>
      <vt:lpstr>Grafer 2009</vt:lpstr>
      <vt:lpstr>'2007'!Udskriftsområde</vt:lpstr>
      <vt:lpstr>'2009'!Udskriftsområde</vt:lpstr>
    </vt:vector>
  </TitlesOfParts>
  <Company>PlanEnergi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Holm Tambjerg</dc:creator>
  <cp:lastModifiedBy>Gustav Brade</cp:lastModifiedBy>
  <cp:lastPrinted>2011-01-17T18:24:57Z</cp:lastPrinted>
  <dcterms:created xsi:type="dcterms:W3CDTF">2007-01-15T14:25:48Z</dcterms:created>
  <dcterms:modified xsi:type="dcterms:W3CDTF">2011-07-07T13:13:49Z</dcterms:modified>
</cp:coreProperties>
</file>