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5260" windowHeight="12345" tabRatio="650" activeTab="4"/>
  </bookViews>
  <sheets>
    <sheet name="Samlet opgørelse" sheetId="8" r:id="rId1"/>
    <sheet name="Børn og unge" sheetId="1" r:id="rId2"/>
    <sheet name="Skole og Kulturforvaltningen" sheetId="2" r:id="rId3"/>
    <sheet name="Ejendomsadministrationen" sheetId="3" r:id="rId4"/>
    <sheet name="Ældre- og handicap" sheetId="4" r:id="rId5"/>
    <sheet name="Familie- og beskæftigelse" sheetId="6" r:id="rId6"/>
    <sheet name="Gadelys" sheetId="10" r:id="rId7"/>
    <sheet name="Transport" sheetId="7" r:id="rId8"/>
    <sheet name="Emissionsfaktorer" sheetId="9" r:id="rId9"/>
    <sheet name="Ark1" sheetId="11" r:id="rId10"/>
  </sheets>
  <calcPr calcId="125725"/>
</workbook>
</file>

<file path=xl/calcChain.xml><?xml version="1.0" encoding="utf-8"?>
<calcChain xmlns="http://schemas.openxmlformats.org/spreadsheetml/2006/main">
  <c r="AK65" i="2"/>
  <c r="AL65"/>
  <c r="AS65"/>
  <c r="AT65"/>
  <c r="AW65"/>
  <c r="AX65"/>
  <c r="E31" i="9"/>
  <c r="E30"/>
  <c r="E29"/>
  <c r="E28"/>
  <c r="E27"/>
  <c r="E20"/>
  <c r="E19"/>
  <c r="E18"/>
  <c r="E17"/>
  <c r="E16"/>
  <c r="E15"/>
  <c r="E14"/>
  <c r="E13"/>
  <c r="E12"/>
  <c r="E11"/>
  <c r="E10"/>
  <c r="C20" i="7"/>
  <c r="G19"/>
  <c r="G20" s="1"/>
  <c r="E15" i="8" s="1"/>
  <c r="E19" i="7"/>
  <c r="E20" s="1"/>
  <c r="B15" i="8" s="1"/>
  <c r="K10" i="7"/>
  <c r="J10"/>
  <c r="L10" s="1"/>
  <c r="I10"/>
  <c r="H10"/>
  <c r="E10"/>
  <c r="D10"/>
  <c r="M9"/>
  <c r="L9"/>
  <c r="F9"/>
  <c r="H9" s="1"/>
  <c r="D9"/>
  <c r="B9"/>
  <c r="E9" s="1"/>
  <c r="K8"/>
  <c r="K12" s="1"/>
  <c r="K13" s="1"/>
  <c r="J8"/>
  <c r="J12" s="1"/>
  <c r="J13" s="1"/>
  <c r="G8"/>
  <c r="G12" s="1"/>
  <c r="G13" s="1"/>
  <c r="F8"/>
  <c r="H8" s="1"/>
  <c r="C8"/>
  <c r="C12" s="1"/>
  <c r="C13" s="1"/>
  <c r="B8"/>
  <c r="B12" s="1"/>
  <c r="B13" s="1"/>
  <c r="M7"/>
  <c r="L7"/>
  <c r="I7"/>
  <c r="H7"/>
  <c r="E7"/>
  <c r="D7"/>
  <c r="M6"/>
  <c r="L6"/>
  <c r="I6"/>
  <c r="H6"/>
  <c r="H12" s="1"/>
  <c r="E6"/>
  <c r="D6"/>
  <c r="D8" i="10"/>
  <c r="L5" s="1"/>
  <c r="Q5" s="1"/>
  <c r="C8"/>
  <c r="B8"/>
  <c r="Q6"/>
  <c r="P6"/>
  <c r="O6"/>
  <c r="N6"/>
  <c r="M6"/>
  <c r="L6"/>
  <c r="K6"/>
  <c r="J6"/>
  <c r="I6"/>
  <c r="H6"/>
  <c r="G6"/>
  <c r="F6"/>
  <c r="E6"/>
  <c r="D6"/>
  <c r="C6"/>
  <c r="B6"/>
  <c r="K5"/>
  <c r="P5" s="1"/>
  <c r="J5"/>
  <c r="O5" s="1"/>
  <c r="D5"/>
  <c r="I5" s="1"/>
  <c r="C5"/>
  <c r="H5" s="1"/>
  <c r="B5"/>
  <c r="G5" s="1"/>
  <c r="Q3"/>
  <c r="P3"/>
  <c r="O3"/>
  <c r="N3"/>
  <c r="M3"/>
  <c r="L3"/>
  <c r="K3"/>
  <c r="J3"/>
  <c r="I3"/>
  <c r="H3"/>
  <c r="G3"/>
  <c r="F3"/>
  <c r="E3"/>
  <c r="Z3" i="6"/>
  <c r="Q3"/>
  <c r="P3"/>
  <c r="F3"/>
  <c r="N4" s="1"/>
  <c r="E3"/>
  <c r="M4" s="1"/>
  <c r="C3"/>
  <c r="C4" s="1"/>
  <c r="AR2"/>
  <c r="AB2"/>
  <c r="AB3" s="1"/>
  <c r="X2"/>
  <c r="T2"/>
  <c r="T3" s="1"/>
  <c r="S2"/>
  <c r="AL2" s="1"/>
  <c r="AL3" s="1"/>
  <c r="N2"/>
  <c r="M2"/>
  <c r="M3" s="1"/>
  <c r="J4" s="1"/>
  <c r="K2"/>
  <c r="K3" s="1"/>
  <c r="J2"/>
  <c r="J3" s="1"/>
  <c r="G2"/>
  <c r="G3" s="1"/>
  <c r="AA26" i="4"/>
  <c r="R26"/>
  <c r="Q26"/>
  <c r="G26"/>
  <c r="O27" s="1"/>
  <c r="F26"/>
  <c r="N27" s="1"/>
  <c r="D26"/>
  <c r="D27" s="1"/>
  <c r="AQ25"/>
  <c r="U25"/>
  <c r="T25"/>
  <c r="AL25" s="1"/>
  <c r="O25"/>
  <c r="N25"/>
  <c r="L25"/>
  <c r="K25"/>
  <c r="I25"/>
  <c r="H25"/>
  <c r="AQ24"/>
  <c r="U24"/>
  <c r="AM24" s="1"/>
  <c r="T24"/>
  <c r="AL24" s="1"/>
  <c r="O24"/>
  <c r="N24"/>
  <c r="L24"/>
  <c r="K24"/>
  <c r="I24"/>
  <c r="H24"/>
  <c r="AQ23"/>
  <c r="U23"/>
  <c r="T23"/>
  <c r="AL23" s="1"/>
  <c r="O23"/>
  <c r="N23"/>
  <c r="L23"/>
  <c r="K23"/>
  <c r="I23"/>
  <c r="H23"/>
  <c r="AQ22"/>
  <c r="U22"/>
  <c r="AM22" s="1"/>
  <c r="T22"/>
  <c r="AL22" s="1"/>
  <c r="O22"/>
  <c r="N22"/>
  <c r="L22"/>
  <c r="K22"/>
  <c r="I22"/>
  <c r="H22"/>
  <c r="AQ21"/>
  <c r="U21"/>
  <c r="T21"/>
  <c r="AL21" s="1"/>
  <c r="O21"/>
  <c r="N21"/>
  <c r="L21"/>
  <c r="K21"/>
  <c r="I21"/>
  <c r="H21"/>
  <c r="AQ20"/>
  <c r="U20"/>
  <c r="T20"/>
  <c r="AL20" s="1"/>
  <c r="O20"/>
  <c r="N20"/>
  <c r="L20"/>
  <c r="K20"/>
  <c r="I20"/>
  <c r="H20"/>
  <c r="AQ19"/>
  <c r="U19"/>
  <c r="AM19" s="1"/>
  <c r="T19"/>
  <c r="AL19" s="1"/>
  <c r="O19"/>
  <c r="N19"/>
  <c r="L19"/>
  <c r="K19"/>
  <c r="I19"/>
  <c r="H19"/>
  <c r="AQ18"/>
  <c r="U18"/>
  <c r="T18"/>
  <c r="AL18" s="1"/>
  <c r="O18"/>
  <c r="N18"/>
  <c r="L18"/>
  <c r="K18"/>
  <c r="I18"/>
  <c r="H18"/>
  <c r="AQ17"/>
  <c r="U17"/>
  <c r="AM17" s="1"/>
  <c r="T17"/>
  <c r="AL17" s="1"/>
  <c r="O17"/>
  <c r="N17"/>
  <c r="L17"/>
  <c r="K17"/>
  <c r="I17"/>
  <c r="H17"/>
  <c r="AQ16"/>
  <c r="U16"/>
  <c r="T16"/>
  <c r="AL16" s="1"/>
  <c r="AT16" s="1"/>
  <c r="O16"/>
  <c r="N16"/>
  <c r="L16"/>
  <c r="K16"/>
  <c r="I16"/>
  <c r="H16"/>
  <c r="AQ15"/>
  <c r="U15"/>
  <c r="AM15" s="1"/>
  <c r="T15"/>
  <c r="AL15" s="1"/>
  <c r="O15"/>
  <c r="N15"/>
  <c r="L15"/>
  <c r="K15"/>
  <c r="I15"/>
  <c r="H15"/>
  <c r="AQ14"/>
  <c r="U14"/>
  <c r="T14"/>
  <c r="AL14" s="1"/>
  <c r="O14"/>
  <c r="N14"/>
  <c r="L14"/>
  <c r="K14"/>
  <c r="I14"/>
  <c r="H14"/>
  <c r="AQ13"/>
  <c r="U13"/>
  <c r="AM13" s="1"/>
  <c r="T13"/>
  <c r="AL13" s="1"/>
  <c r="O13"/>
  <c r="N13"/>
  <c r="L13"/>
  <c r="K13"/>
  <c r="I13"/>
  <c r="H13"/>
  <c r="AQ12"/>
  <c r="U12"/>
  <c r="T12"/>
  <c r="AL12" s="1"/>
  <c r="O12"/>
  <c r="N12"/>
  <c r="L12"/>
  <c r="K12"/>
  <c r="I12"/>
  <c r="H12"/>
  <c r="AQ11"/>
  <c r="U11"/>
  <c r="AM11" s="1"/>
  <c r="T11"/>
  <c r="AL11" s="1"/>
  <c r="O11"/>
  <c r="N11"/>
  <c r="L11"/>
  <c r="K11"/>
  <c r="I11"/>
  <c r="H11"/>
  <c r="AQ10"/>
  <c r="U10"/>
  <c r="T10"/>
  <c r="AL10" s="1"/>
  <c r="O10"/>
  <c r="N10"/>
  <c r="L10"/>
  <c r="K10"/>
  <c r="I10"/>
  <c r="H10"/>
  <c r="AQ9"/>
  <c r="U9"/>
  <c r="AM9" s="1"/>
  <c r="T9"/>
  <c r="AL9" s="1"/>
  <c r="O9"/>
  <c r="N9"/>
  <c r="L9"/>
  <c r="K9"/>
  <c r="I9"/>
  <c r="H9"/>
  <c r="AQ8"/>
  <c r="U8"/>
  <c r="T8"/>
  <c r="AL8" s="1"/>
  <c r="O8"/>
  <c r="N8"/>
  <c r="L8"/>
  <c r="K8"/>
  <c r="I8"/>
  <c r="H8"/>
  <c r="AQ7"/>
  <c r="U7"/>
  <c r="AM7" s="1"/>
  <c r="T7"/>
  <c r="AL7" s="1"/>
  <c r="O7"/>
  <c r="N7"/>
  <c r="L7"/>
  <c r="K7"/>
  <c r="I7"/>
  <c r="H7"/>
  <c r="AQ6"/>
  <c r="U6"/>
  <c r="T6"/>
  <c r="AL6" s="1"/>
  <c r="O6"/>
  <c r="N6"/>
  <c r="L6"/>
  <c r="K6"/>
  <c r="I6"/>
  <c r="H6"/>
  <c r="AQ5"/>
  <c r="U5"/>
  <c r="AM5" s="1"/>
  <c r="T5"/>
  <c r="AL5" s="1"/>
  <c r="O5"/>
  <c r="N5"/>
  <c r="L5"/>
  <c r="K5"/>
  <c r="I5"/>
  <c r="H5"/>
  <c r="AQ4"/>
  <c r="U4"/>
  <c r="T4"/>
  <c r="AL4" s="1"/>
  <c r="O4"/>
  <c r="N4"/>
  <c r="L4"/>
  <c r="K4"/>
  <c r="I4"/>
  <c r="H4"/>
  <c r="AQ3"/>
  <c r="U3"/>
  <c r="AM3" s="1"/>
  <c r="T3"/>
  <c r="AL3" s="1"/>
  <c r="O3"/>
  <c r="N3"/>
  <c r="L3"/>
  <c r="K3"/>
  <c r="I3"/>
  <c r="H3"/>
  <c r="AQ2"/>
  <c r="U2"/>
  <c r="T2"/>
  <c r="O2"/>
  <c r="N2"/>
  <c r="L2"/>
  <c r="K2"/>
  <c r="I2"/>
  <c r="H2"/>
  <c r="F12" i="8"/>
  <c r="G12" s="1"/>
  <c r="G11" s="1"/>
  <c r="E12"/>
  <c r="E11" s="1"/>
  <c r="C12"/>
  <c r="D12" s="1"/>
  <c r="D11" s="1"/>
  <c r="B12"/>
  <c r="B11" s="1"/>
  <c r="F11"/>
  <c r="K10"/>
  <c r="AA29" i="3"/>
  <c r="R28"/>
  <c r="Q28"/>
  <c r="G28"/>
  <c r="F28"/>
  <c r="D28"/>
  <c r="AQ27"/>
  <c r="U27"/>
  <c r="AM27" s="1"/>
  <c r="T27"/>
  <c r="AL27" s="1"/>
  <c r="O27"/>
  <c r="N27"/>
  <c r="L27"/>
  <c r="K27"/>
  <c r="I27"/>
  <c r="H27"/>
  <c r="AQ26"/>
  <c r="U26"/>
  <c r="AM26" s="1"/>
  <c r="T26"/>
  <c r="AL26" s="1"/>
  <c r="O26"/>
  <c r="N26"/>
  <c r="L26"/>
  <c r="K26"/>
  <c r="I26"/>
  <c r="H26"/>
  <c r="AQ25"/>
  <c r="U25"/>
  <c r="T25"/>
  <c r="AL25" s="1"/>
  <c r="O25"/>
  <c r="N25"/>
  <c r="L25"/>
  <c r="K25"/>
  <c r="I25"/>
  <c r="H25"/>
  <c r="AQ24"/>
  <c r="U24"/>
  <c r="AM24" s="1"/>
  <c r="T24"/>
  <c r="AL24" s="1"/>
  <c r="O24"/>
  <c r="N24"/>
  <c r="L24"/>
  <c r="K24"/>
  <c r="I24"/>
  <c r="H24"/>
  <c r="AQ23"/>
  <c r="U23"/>
  <c r="T23"/>
  <c r="AL23" s="1"/>
  <c r="O23"/>
  <c r="N23"/>
  <c r="L23"/>
  <c r="K23"/>
  <c r="I23"/>
  <c r="H23"/>
  <c r="AQ22"/>
  <c r="U22"/>
  <c r="AM22" s="1"/>
  <c r="T22"/>
  <c r="AL22" s="1"/>
  <c r="O22"/>
  <c r="N22"/>
  <c r="L22"/>
  <c r="K22"/>
  <c r="I22"/>
  <c r="H22"/>
  <c r="AQ21"/>
  <c r="U21"/>
  <c r="T21"/>
  <c r="AL21" s="1"/>
  <c r="O21"/>
  <c r="N21"/>
  <c r="L21"/>
  <c r="K21"/>
  <c r="I21"/>
  <c r="H21"/>
  <c r="AQ20"/>
  <c r="U20"/>
  <c r="AM20" s="1"/>
  <c r="T20"/>
  <c r="AL20" s="1"/>
  <c r="O20"/>
  <c r="N20"/>
  <c r="L20"/>
  <c r="K20"/>
  <c r="I20"/>
  <c r="H20"/>
  <c r="AQ19"/>
  <c r="U19"/>
  <c r="T19"/>
  <c r="AL19" s="1"/>
  <c r="O19"/>
  <c r="N19"/>
  <c r="L19"/>
  <c r="K19"/>
  <c r="I19"/>
  <c r="H19"/>
  <c r="AQ18"/>
  <c r="U18"/>
  <c r="AM18" s="1"/>
  <c r="T18"/>
  <c r="O18"/>
  <c r="N18"/>
  <c r="L18"/>
  <c r="K18"/>
  <c r="I18"/>
  <c r="H18"/>
  <c r="R16"/>
  <c r="Q16"/>
  <c r="G16"/>
  <c r="F16"/>
  <c r="D16"/>
  <c r="AQ15"/>
  <c r="U15"/>
  <c r="U16" s="1"/>
  <c r="Z16" s="1"/>
  <c r="T15"/>
  <c r="AL15" s="1"/>
  <c r="O15"/>
  <c r="O16" s="1"/>
  <c r="N15"/>
  <c r="N16" s="1"/>
  <c r="L15"/>
  <c r="K15"/>
  <c r="I15"/>
  <c r="I16" s="1"/>
  <c r="H15"/>
  <c r="H16" s="1"/>
  <c r="R13"/>
  <c r="Q13"/>
  <c r="G13"/>
  <c r="F13"/>
  <c r="D13"/>
  <c r="AQ12"/>
  <c r="U12"/>
  <c r="AM12" s="1"/>
  <c r="T12"/>
  <c r="AL12" s="1"/>
  <c r="O12"/>
  <c r="N12"/>
  <c r="L12"/>
  <c r="K12"/>
  <c r="I12"/>
  <c r="H12"/>
  <c r="AQ11"/>
  <c r="U11"/>
  <c r="T11"/>
  <c r="AL11" s="1"/>
  <c r="O11"/>
  <c r="N11"/>
  <c r="L11"/>
  <c r="K11"/>
  <c r="I11"/>
  <c r="H11"/>
  <c r="AQ10"/>
  <c r="U10"/>
  <c r="AM10" s="1"/>
  <c r="T10"/>
  <c r="AL10" s="1"/>
  <c r="O10"/>
  <c r="N10"/>
  <c r="L10"/>
  <c r="K10"/>
  <c r="I10"/>
  <c r="H10"/>
  <c r="AQ9"/>
  <c r="U9"/>
  <c r="AM9" s="1"/>
  <c r="T9"/>
  <c r="AL9" s="1"/>
  <c r="O9"/>
  <c r="N9"/>
  <c r="L9"/>
  <c r="K9"/>
  <c r="I9"/>
  <c r="H9"/>
  <c r="AQ8"/>
  <c r="U8"/>
  <c r="AM8" s="1"/>
  <c r="T8"/>
  <c r="AL8" s="1"/>
  <c r="O8"/>
  <c r="N8"/>
  <c r="L8"/>
  <c r="K8"/>
  <c r="I8"/>
  <c r="H8"/>
  <c r="AQ7"/>
  <c r="U7"/>
  <c r="AM7" s="1"/>
  <c r="T7"/>
  <c r="AL7" s="1"/>
  <c r="O7"/>
  <c r="N7"/>
  <c r="L7"/>
  <c r="K7"/>
  <c r="I7"/>
  <c r="H7"/>
  <c r="AQ6"/>
  <c r="U6"/>
  <c r="AM6" s="1"/>
  <c r="T6"/>
  <c r="AL6" s="1"/>
  <c r="O6"/>
  <c r="N6"/>
  <c r="L6"/>
  <c r="K6"/>
  <c r="I6"/>
  <c r="H6"/>
  <c r="AQ5"/>
  <c r="U5"/>
  <c r="AM5" s="1"/>
  <c r="T5"/>
  <c r="AL5" s="1"/>
  <c r="O5"/>
  <c r="N5"/>
  <c r="L5"/>
  <c r="K5"/>
  <c r="I5"/>
  <c r="H5"/>
  <c r="AQ4"/>
  <c r="U4"/>
  <c r="AM4" s="1"/>
  <c r="T4"/>
  <c r="AL4" s="1"/>
  <c r="O4"/>
  <c r="N4"/>
  <c r="L4"/>
  <c r="K4"/>
  <c r="I4"/>
  <c r="H4"/>
  <c r="AQ3"/>
  <c r="U3"/>
  <c r="AM3" s="1"/>
  <c r="T3"/>
  <c r="AL3" s="1"/>
  <c r="O3"/>
  <c r="N3"/>
  <c r="L3"/>
  <c r="K3"/>
  <c r="I3"/>
  <c r="H3"/>
  <c r="AQ2"/>
  <c r="U2"/>
  <c r="T2"/>
  <c r="O2"/>
  <c r="N2"/>
  <c r="L2"/>
  <c r="K2"/>
  <c r="I2"/>
  <c r="H2"/>
  <c r="AZ66" i="2"/>
  <c r="AY66"/>
  <c r="AV66"/>
  <c r="AU66"/>
  <c r="AR66"/>
  <c r="AQ66"/>
  <c r="AM66"/>
  <c r="AJ66"/>
  <c r="AI66"/>
  <c r="AG66"/>
  <c r="AF66"/>
  <c r="AE66"/>
  <c r="AC66"/>
  <c r="AB66"/>
  <c r="V66"/>
  <c r="U66"/>
  <c r="T66"/>
  <c r="S66"/>
  <c r="Q66"/>
  <c r="P66"/>
  <c r="N66"/>
  <c r="M66"/>
  <c r="H66"/>
  <c r="G66"/>
  <c r="F66"/>
  <c r="E66"/>
  <c r="C66"/>
  <c r="AL66"/>
  <c r="AK66"/>
  <c r="Q62"/>
  <c r="P62"/>
  <c r="F62"/>
  <c r="N63" s="1"/>
  <c r="E62"/>
  <c r="C62"/>
  <c r="K8" i="8" s="1"/>
  <c r="AP61" i="2"/>
  <c r="T61"/>
  <c r="S61"/>
  <c r="AK61" s="1"/>
  <c r="N61"/>
  <c r="M61"/>
  <c r="K61"/>
  <c r="J61"/>
  <c r="H61"/>
  <c r="G61"/>
  <c r="AP60"/>
  <c r="T60"/>
  <c r="S60"/>
  <c r="AK60" s="1"/>
  <c r="N60"/>
  <c r="M60"/>
  <c r="K60"/>
  <c r="J60"/>
  <c r="H60"/>
  <c r="G60"/>
  <c r="AP59"/>
  <c r="T59"/>
  <c r="S59"/>
  <c r="AK59" s="1"/>
  <c r="N59"/>
  <c r="M59"/>
  <c r="K59"/>
  <c r="J59"/>
  <c r="H59"/>
  <c r="G59"/>
  <c r="AP58"/>
  <c r="T58"/>
  <c r="S58"/>
  <c r="AK58" s="1"/>
  <c r="N58"/>
  <c r="M58"/>
  <c r="K58"/>
  <c r="J58"/>
  <c r="H58"/>
  <c r="G58"/>
  <c r="Q55"/>
  <c r="P55"/>
  <c r="F55"/>
  <c r="E55"/>
  <c r="AP54"/>
  <c r="T54"/>
  <c r="S54"/>
  <c r="AK54" s="1"/>
  <c r="N54"/>
  <c r="M54"/>
  <c r="K54"/>
  <c r="J54"/>
  <c r="H54"/>
  <c r="G54"/>
  <c r="AP53"/>
  <c r="T53"/>
  <c r="S53"/>
  <c r="AK53" s="1"/>
  <c r="N53"/>
  <c r="M53"/>
  <c r="K53"/>
  <c r="J53"/>
  <c r="H53"/>
  <c r="G53"/>
  <c r="AP52"/>
  <c r="T52"/>
  <c r="S52"/>
  <c r="AK52" s="1"/>
  <c r="N52"/>
  <c r="M52"/>
  <c r="K52"/>
  <c r="J52"/>
  <c r="H52"/>
  <c r="G52"/>
  <c r="AP51"/>
  <c r="T51"/>
  <c r="S51"/>
  <c r="AK51" s="1"/>
  <c r="N51"/>
  <c r="M51"/>
  <c r="K51"/>
  <c r="J51"/>
  <c r="H51"/>
  <c r="G51"/>
  <c r="AP50"/>
  <c r="T50"/>
  <c r="S50"/>
  <c r="AK50" s="1"/>
  <c r="N50"/>
  <c r="M50"/>
  <c r="K50"/>
  <c r="J50"/>
  <c r="H50"/>
  <c r="G50"/>
  <c r="AP49"/>
  <c r="T49"/>
  <c r="S49"/>
  <c r="AK49" s="1"/>
  <c r="N49"/>
  <c r="M49"/>
  <c r="K49"/>
  <c r="J49"/>
  <c r="H49"/>
  <c r="G49"/>
  <c r="AP48"/>
  <c r="T48"/>
  <c r="S48"/>
  <c r="AK48" s="1"/>
  <c r="N48"/>
  <c r="M48"/>
  <c r="K48"/>
  <c r="J48"/>
  <c r="H48"/>
  <c r="G48"/>
  <c r="AP47"/>
  <c r="T47"/>
  <c r="S47"/>
  <c r="AK47" s="1"/>
  <c r="N47"/>
  <c r="M47"/>
  <c r="K47"/>
  <c r="J47"/>
  <c r="H47"/>
  <c r="G47"/>
  <c r="AP46"/>
  <c r="T46"/>
  <c r="S46"/>
  <c r="AK46" s="1"/>
  <c r="N46"/>
  <c r="M46"/>
  <c r="K46"/>
  <c r="J46"/>
  <c r="H46"/>
  <c r="G46"/>
  <c r="AP45"/>
  <c r="T45"/>
  <c r="S45"/>
  <c r="AK45" s="1"/>
  <c r="N45"/>
  <c r="M45"/>
  <c r="K45"/>
  <c r="J45"/>
  <c r="H45"/>
  <c r="G45"/>
  <c r="AP44"/>
  <c r="T44"/>
  <c r="S44"/>
  <c r="AK44" s="1"/>
  <c r="N44"/>
  <c r="M44"/>
  <c r="K44"/>
  <c r="J44"/>
  <c r="H44"/>
  <c r="G44"/>
  <c r="AP43"/>
  <c r="T43"/>
  <c r="S43"/>
  <c r="AK43" s="1"/>
  <c r="N43"/>
  <c r="M43"/>
  <c r="K43"/>
  <c r="J43"/>
  <c r="H43"/>
  <c r="G43"/>
  <c r="AP42"/>
  <c r="T42"/>
  <c r="S42"/>
  <c r="AK42" s="1"/>
  <c r="N42"/>
  <c r="M42"/>
  <c r="K42"/>
  <c r="J42"/>
  <c r="H42"/>
  <c r="G42"/>
  <c r="AP41"/>
  <c r="T41"/>
  <c r="S41"/>
  <c r="AK41" s="1"/>
  <c r="N41"/>
  <c r="M41"/>
  <c r="K41"/>
  <c r="J41"/>
  <c r="H41"/>
  <c r="G41"/>
  <c r="AP40"/>
  <c r="T40"/>
  <c r="S40"/>
  <c r="AK40" s="1"/>
  <c r="N40"/>
  <c r="M40"/>
  <c r="K40"/>
  <c r="J40"/>
  <c r="H40"/>
  <c r="G40"/>
  <c r="AP39"/>
  <c r="T39"/>
  <c r="S39"/>
  <c r="AK39" s="1"/>
  <c r="N39"/>
  <c r="M39"/>
  <c r="K39"/>
  <c r="J39"/>
  <c r="H39"/>
  <c r="G39"/>
  <c r="AP38"/>
  <c r="T38"/>
  <c r="S38"/>
  <c r="AK38" s="1"/>
  <c r="N38"/>
  <c r="M38"/>
  <c r="K38"/>
  <c r="J38"/>
  <c r="H38"/>
  <c r="G38"/>
  <c r="AP37"/>
  <c r="T37"/>
  <c r="S37"/>
  <c r="AK37" s="1"/>
  <c r="N37"/>
  <c r="M37"/>
  <c r="K37"/>
  <c r="J37"/>
  <c r="H37"/>
  <c r="G37"/>
  <c r="AP36"/>
  <c r="T36"/>
  <c r="S36"/>
  <c r="AK36" s="1"/>
  <c r="N36"/>
  <c r="M36"/>
  <c r="K36"/>
  <c r="J36"/>
  <c r="H36"/>
  <c r="G36"/>
  <c r="AP35"/>
  <c r="T35"/>
  <c r="S35"/>
  <c r="AK35" s="1"/>
  <c r="N35"/>
  <c r="M35"/>
  <c r="K35"/>
  <c r="J35"/>
  <c r="H35"/>
  <c r="G35"/>
  <c r="AP34"/>
  <c r="T34"/>
  <c r="S34"/>
  <c r="AK34" s="1"/>
  <c r="N34"/>
  <c r="M34"/>
  <c r="K34"/>
  <c r="J34"/>
  <c r="H34"/>
  <c r="G34"/>
  <c r="AP33"/>
  <c r="T33"/>
  <c r="S33"/>
  <c r="AK33" s="1"/>
  <c r="N33"/>
  <c r="M33"/>
  <c r="K33"/>
  <c r="J33"/>
  <c r="H33"/>
  <c r="G33"/>
  <c r="AP32"/>
  <c r="T32"/>
  <c r="AL32" s="1"/>
  <c r="S32"/>
  <c r="AK32" s="1"/>
  <c r="N32"/>
  <c r="M32"/>
  <c r="K32"/>
  <c r="J32"/>
  <c r="H32"/>
  <c r="G32"/>
  <c r="AP31"/>
  <c r="T31"/>
  <c r="AL31" s="1"/>
  <c r="S31"/>
  <c r="AK31" s="1"/>
  <c r="N31"/>
  <c r="M31"/>
  <c r="K31"/>
  <c r="J31"/>
  <c r="H31"/>
  <c r="G31"/>
  <c r="AP30"/>
  <c r="T30"/>
  <c r="AL30" s="1"/>
  <c r="S30"/>
  <c r="AK30" s="1"/>
  <c r="N30"/>
  <c r="M30"/>
  <c r="K30"/>
  <c r="J30"/>
  <c r="H30"/>
  <c r="G30"/>
  <c r="AP29"/>
  <c r="T29"/>
  <c r="AL29" s="1"/>
  <c r="S29"/>
  <c r="AK29" s="1"/>
  <c r="N29"/>
  <c r="M29"/>
  <c r="K29"/>
  <c r="J29"/>
  <c r="H29"/>
  <c r="G29"/>
  <c r="AP28"/>
  <c r="T28"/>
  <c r="AL28" s="1"/>
  <c r="S28"/>
  <c r="AK28" s="1"/>
  <c r="N28"/>
  <c r="M28"/>
  <c r="K28"/>
  <c r="J28"/>
  <c r="H28"/>
  <c r="G28"/>
  <c r="AP27"/>
  <c r="T27"/>
  <c r="AL27" s="1"/>
  <c r="S27"/>
  <c r="AK27" s="1"/>
  <c r="N27"/>
  <c r="M27"/>
  <c r="K27"/>
  <c r="J27"/>
  <c r="H27"/>
  <c r="G27"/>
  <c r="AP26"/>
  <c r="T26"/>
  <c r="AL26" s="1"/>
  <c r="S26"/>
  <c r="AK26" s="1"/>
  <c r="N26"/>
  <c r="M26"/>
  <c r="K26"/>
  <c r="J26"/>
  <c r="H26"/>
  <c r="G26"/>
  <c r="AP25"/>
  <c r="T25"/>
  <c r="AL25" s="1"/>
  <c r="S25"/>
  <c r="AK25" s="1"/>
  <c r="N25"/>
  <c r="M25"/>
  <c r="K25"/>
  <c r="J25"/>
  <c r="H25"/>
  <c r="G25"/>
  <c r="AP24"/>
  <c r="T24"/>
  <c r="AL24" s="1"/>
  <c r="S24"/>
  <c r="AK24" s="1"/>
  <c r="N24"/>
  <c r="M24"/>
  <c r="K24"/>
  <c r="J24"/>
  <c r="H24"/>
  <c r="G24"/>
  <c r="AP23"/>
  <c r="T23"/>
  <c r="AL23" s="1"/>
  <c r="S23"/>
  <c r="AK23" s="1"/>
  <c r="N23"/>
  <c r="M23"/>
  <c r="K23"/>
  <c r="J23"/>
  <c r="H23"/>
  <c r="G23"/>
  <c r="AP22"/>
  <c r="T22"/>
  <c r="AL22" s="1"/>
  <c r="S22"/>
  <c r="AK22" s="1"/>
  <c r="N22"/>
  <c r="M22"/>
  <c r="K22"/>
  <c r="J22"/>
  <c r="H22"/>
  <c r="G22"/>
  <c r="AP21"/>
  <c r="T21"/>
  <c r="S21"/>
  <c r="AK21" s="1"/>
  <c r="N21"/>
  <c r="M21"/>
  <c r="H21"/>
  <c r="G21"/>
  <c r="C21"/>
  <c r="J21" s="1"/>
  <c r="AP20"/>
  <c r="T20"/>
  <c r="AL20" s="1"/>
  <c r="S20"/>
  <c r="AK20" s="1"/>
  <c r="AS20" s="1"/>
  <c r="N20"/>
  <c r="M20"/>
  <c r="K20"/>
  <c r="J20"/>
  <c r="H20"/>
  <c r="G20"/>
  <c r="AP19"/>
  <c r="T19"/>
  <c r="AL19" s="1"/>
  <c r="S19"/>
  <c r="AK19" s="1"/>
  <c r="N19"/>
  <c r="M19"/>
  <c r="K19"/>
  <c r="J19"/>
  <c r="H19"/>
  <c r="G19"/>
  <c r="AP18"/>
  <c r="T18"/>
  <c r="AL18" s="1"/>
  <c r="S18"/>
  <c r="AK18" s="1"/>
  <c r="AS18" s="1"/>
  <c r="N18"/>
  <c r="M18"/>
  <c r="H18"/>
  <c r="G18"/>
  <c r="C18"/>
  <c r="C55" s="1"/>
  <c r="K7" i="8" s="1"/>
  <c r="AP17" i="2"/>
  <c r="T17"/>
  <c r="AL17" s="1"/>
  <c r="S17"/>
  <c r="AK17" s="1"/>
  <c r="AS17" s="1"/>
  <c r="N17"/>
  <c r="M17"/>
  <c r="K17"/>
  <c r="J17"/>
  <c r="H17"/>
  <c r="G17"/>
  <c r="AP16"/>
  <c r="T16"/>
  <c r="AL16" s="1"/>
  <c r="S16"/>
  <c r="AK16" s="1"/>
  <c r="N16"/>
  <c r="M16"/>
  <c r="K16"/>
  <c r="J16"/>
  <c r="H16"/>
  <c r="G16"/>
  <c r="AP15"/>
  <c r="T15"/>
  <c r="AL15" s="1"/>
  <c r="S15"/>
  <c r="AK15" s="1"/>
  <c r="AS15" s="1"/>
  <c r="N15"/>
  <c r="M15"/>
  <c r="K15"/>
  <c r="J15"/>
  <c r="H15"/>
  <c r="G15"/>
  <c r="AP14"/>
  <c r="T14"/>
  <c r="AL14" s="1"/>
  <c r="S14"/>
  <c r="AK14" s="1"/>
  <c r="N14"/>
  <c r="M14"/>
  <c r="K14"/>
  <c r="J14"/>
  <c r="H14"/>
  <c r="G14"/>
  <c r="AP13"/>
  <c r="T13"/>
  <c r="AL13" s="1"/>
  <c r="S13"/>
  <c r="AK13" s="1"/>
  <c r="AS13" s="1"/>
  <c r="N13"/>
  <c r="M13"/>
  <c r="K13"/>
  <c r="J13"/>
  <c r="H13"/>
  <c r="G13"/>
  <c r="AP12"/>
  <c r="T12"/>
  <c r="AL12" s="1"/>
  <c r="S12"/>
  <c r="AK12" s="1"/>
  <c r="N12"/>
  <c r="M12"/>
  <c r="K12"/>
  <c r="J12"/>
  <c r="H12"/>
  <c r="G12"/>
  <c r="AP11"/>
  <c r="T11"/>
  <c r="AL11" s="1"/>
  <c r="S11"/>
  <c r="AK11" s="1"/>
  <c r="N11"/>
  <c r="M11"/>
  <c r="K11"/>
  <c r="J11"/>
  <c r="H11"/>
  <c r="G11"/>
  <c r="AP10"/>
  <c r="T10"/>
  <c r="S10"/>
  <c r="AK10" s="1"/>
  <c r="N10"/>
  <c r="M10"/>
  <c r="K10"/>
  <c r="J10"/>
  <c r="H10"/>
  <c r="G10"/>
  <c r="AP9"/>
  <c r="T9"/>
  <c r="S9"/>
  <c r="AK9" s="1"/>
  <c r="N9"/>
  <c r="M9"/>
  <c r="K9"/>
  <c r="J9"/>
  <c r="H9"/>
  <c r="G9"/>
  <c r="AP8"/>
  <c r="T8"/>
  <c r="S8"/>
  <c r="AK8" s="1"/>
  <c r="N8"/>
  <c r="M8"/>
  <c r="K8"/>
  <c r="J8"/>
  <c r="H8"/>
  <c r="G8"/>
  <c r="AP7"/>
  <c r="T7"/>
  <c r="S7"/>
  <c r="AK7" s="1"/>
  <c r="N7"/>
  <c r="M7"/>
  <c r="K7"/>
  <c r="J7"/>
  <c r="H7"/>
  <c r="G7"/>
  <c r="AP6"/>
  <c r="T6"/>
  <c r="S6"/>
  <c r="AK6" s="1"/>
  <c r="N6"/>
  <c r="M6"/>
  <c r="K6"/>
  <c r="J6"/>
  <c r="H6"/>
  <c r="G6"/>
  <c r="AP5"/>
  <c r="T5"/>
  <c r="S5"/>
  <c r="AK5" s="1"/>
  <c r="N5"/>
  <c r="M5"/>
  <c r="K5"/>
  <c r="J5"/>
  <c r="H5"/>
  <c r="G5"/>
  <c r="AP4"/>
  <c r="T4"/>
  <c r="S4"/>
  <c r="AK4" s="1"/>
  <c r="N4"/>
  <c r="M4"/>
  <c r="K4"/>
  <c r="J4"/>
  <c r="H4"/>
  <c r="G4"/>
  <c r="AP3"/>
  <c r="T3"/>
  <c r="S3"/>
  <c r="AK3" s="1"/>
  <c r="N3"/>
  <c r="M3"/>
  <c r="K3"/>
  <c r="J3"/>
  <c r="H3"/>
  <c r="G3"/>
  <c r="AP2"/>
  <c r="T2"/>
  <c r="S2"/>
  <c r="N2"/>
  <c r="M2"/>
  <c r="K2"/>
  <c r="J2"/>
  <c r="H2"/>
  <c r="G2"/>
  <c r="M74" i="1"/>
  <c r="L74"/>
  <c r="F74"/>
  <c r="E74"/>
  <c r="D74"/>
  <c r="AG73"/>
  <c r="O73"/>
  <c r="AC73" s="1"/>
  <c r="N73"/>
  <c r="K73"/>
  <c r="J73"/>
  <c r="I73"/>
  <c r="H73"/>
  <c r="G73"/>
  <c r="AG72"/>
  <c r="O72"/>
  <c r="AC72" s="1"/>
  <c r="N72"/>
  <c r="K72"/>
  <c r="J72"/>
  <c r="I72"/>
  <c r="H72"/>
  <c r="G72"/>
  <c r="AG71"/>
  <c r="O71"/>
  <c r="AC71" s="1"/>
  <c r="N71"/>
  <c r="K71"/>
  <c r="J71"/>
  <c r="I71"/>
  <c r="H71"/>
  <c r="G71"/>
  <c r="AG70"/>
  <c r="O70"/>
  <c r="AC70" s="1"/>
  <c r="N70"/>
  <c r="AB70" s="1"/>
  <c r="K70"/>
  <c r="J70"/>
  <c r="I70"/>
  <c r="H70"/>
  <c r="G70"/>
  <c r="AG69"/>
  <c r="O69"/>
  <c r="AC69" s="1"/>
  <c r="N69"/>
  <c r="AB69" s="1"/>
  <c r="K69"/>
  <c r="J69"/>
  <c r="I69"/>
  <c r="H69"/>
  <c r="G69"/>
  <c r="AG68"/>
  <c r="O68"/>
  <c r="AC68" s="1"/>
  <c r="N68"/>
  <c r="K68"/>
  <c r="J68"/>
  <c r="I68"/>
  <c r="H68"/>
  <c r="G68"/>
  <c r="AG67"/>
  <c r="O67"/>
  <c r="AC67" s="1"/>
  <c r="N67"/>
  <c r="K67"/>
  <c r="J67"/>
  <c r="I67"/>
  <c r="H67"/>
  <c r="G67"/>
  <c r="AG66"/>
  <c r="O66"/>
  <c r="AC66" s="1"/>
  <c r="N66"/>
  <c r="K66"/>
  <c r="J66"/>
  <c r="I66"/>
  <c r="H66"/>
  <c r="G66"/>
  <c r="AG65"/>
  <c r="O65"/>
  <c r="AC65" s="1"/>
  <c r="N65"/>
  <c r="AB65" s="1"/>
  <c r="K65"/>
  <c r="J65"/>
  <c r="I65"/>
  <c r="H65"/>
  <c r="G65"/>
  <c r="AG64"/>
  <c r="O64"/>
  <c r="AC64" s="1"/>
  <c r="N64"/>
  <c r="K64"/>
  <c r="J64"/>
  <c r="I64"/>
  <c r="H64"/>
  <c r="G64"/>
  <c r="AG63"/>
  <c r="O63"/>
  <c r="AC63" s="1"/>
  <c r="N63"/>
  <c r="K63"/>
  <c r="J63"/>
  <c r="I63"/>
  <c r="H63"/>
  <c r="G63"/>
  <c r="AG62"/>
  <c r="O62"/>
  <c r="AC62" s="1"/>
  <c r="N62"/>
  <c r="K62"/>
  <c r="J62"/>
  <c r="I62"/>
  <c r="H62"/>
  <c r="G62"/>
  <c r="AG61"/>
  <c r="O61"/>
  <c r="AC61" s="1"/>
  <c r="N61"/>
  <c r="K61"/>
  <c r="J61"/>
  <c r="I61"/>
  <c r="H61"/>
  <c r="G61"/>
  <c r="AG60"/>
  <c r="O60"/>
  <c r="AC60" s="1"/>
  <c r="N60"/>
  <c r="AB60" s="1"/>
  <c r="K60"/>
  <c r="J60"/>
  <c r="I60"/>
  <c r="H60"/>
  <c r="G60"/>
  <c r="AG59"/>
  <c r="O59"/>
  <c r="O74" s="1"/>
  <c r="N59"/>
  <c r="N74" s="1"/>
  <c r="K59"/>
  <c r="K74" s="1"/>
  <c r="J59"/>
  <c r="I59"/>
  <c r="H59"/>
  <c r="G59"/>
  <c r="G74" s="1"/>
  <c r="M57"/>
  <c r="L57"/>
  <c r="F57"/>
  <c r="E57"/>
  <c r="D57"/>
  <c r="AG56"/>
  <c r="O56"/>
  <c r="AC56" s="1"/>
  <c r="N56"/>
  <c r="Z56" s="1"/>
  <c r="AE56" s="1"/>
  <c r="K56"/>
  <c r="J56"/>
  <c r="I56"/>
  <c r="H56"/>
  <c r="G56"/>
  <c r="AG55"/>
  <c r="O55"/>
  <c r="AC55" s="1"/>
  <c r="N55"/>
  <c r="Z55" s="1"/>
  <c r="AE55" s="1"/>
  <c r="K55"/>
  <c r="J55"/>
  <c r="I55"/>
  <c r="H55"/>
  <c r="G55"/>
  <c r="AG54"/>
  <c r="O54"/>
  <c r="AA54" s="1"/>
  <c r="AF54" s="1"/>
  <c r="N54"/>
  <c r="K54"/>
  <c r="J54"/>
  <c r="I54"/>
  <c r="H54"/>
  <c r="G54"/>
  <c r="AG53"/>
  <c r="O53"/>
  <c r="AC53" s="1"/>
  <c r="N53"/>
  <c r="Z53" s="1"/>
  <c r="AE53" s="1"/>
  <c r="K53"/>
  <c r="J53"/>
  <c r="I53"/>
  <c r="H53"/>
  <c r="G53"/>
  <c r="AG52"/>
  <c r="O52"/>
  <c r="AC52" s="1"/>
  <c r="N52"/>
  <c r="Z52" s="1"/>
  <c r="AE52" s="1"/>
  <c r="K52"/>
  <c r="J52"/>
  <c r="I52"/>
  <c r="H52"/>
  <c r="G52"/>
  <c r="AG51"/>
  <c r="O51"/>
  <c r="AC51" s="1"/>
  <c r="N51"/>
  <c r="Z51" s="1"/>
  <c r="AE51" s="1"/>
  <c r="K51"/>
  <c r="J51"/>
  <c r="I51"/>
  <c r="H51"/>
  <c r="G51"/>
  <c r="AG50"/>
  <c r="O50"/>
  <c r="AC50" s="1"/>
  <c r="N50"/>
  <c r="Z50" s="1"/>
  <c r="AE50" s="1"/>
  <c r="K50"/>
  <c r="J50"/>
  <c r="I50"/>
  <c r="H50"/>
  <c r="G50"/>
  <c r="AG49"/>
  <c r="O49"/>
  <c r="AA49" s="1"/>
  <c r="AF49" s="1"/>
  <c r="N49"/>
  <c r="K49"/>
  <c r="J49"/>
  <c r="I49"/>
  <c r="H49"/>
  <c r="G49"/>
  <c r="AG48"/>
  <c r="O48"/>
  <c r="AA48" s="1"/>
  <c r="AF48" s="1"/>
  <c r="N48"/>
  <c r="K48"/>
  <c r="J48"/>
  <c r="I48"/>
  <c r="H48"/>
  <c r="G48"/>
  <c r="AG47"/>
  <c r="O47"/>
  <c r="N47"/>
  <c r="AB47" s="1"/>
  <c r="K47"/>
  <c r="J47"/>
  <c r="I47"/>
  <c r="H47"/>
  <c r="G47"/>
  <c r="AG46"/>
  <c r="O46"/>
  <c r="N46"/>
  <c r="Z46" s="1"/>
  <c r="AE46" s="1"/>
  <c r="K46"/>
  <c r="J46"/>
  <c r="I46"/>
  <c r="H46"/>
  <c r="G46"/>
  <c r="AG45"/>
  <c r="O45"/>
  <c r="AC45" s="1"/>
  <c r="N45"/>
  <c r="AB45" s="1"/>
  <c r="K45"/>
  <c r="J45"/>
  <c r="I45"/>
  <c r="H45"/>
  <c r="G45"/>
  <c r="AG44"/>
  <c r="O44"/>
  <c r="AC44" s="1"/>
  <c r="N44"/>
  <c r="AB44" s="1"/>
  <c r="K44"/>
  <c r="J44"/>
  <c r="I44"/>
  <c r="H44"/>
  <c r="G44"/>
  <c r="AG43"/>
  <c r="O43"/>
  <c r="AC43" s="1"/>
  <c r="N43"/>
  <c r="AB43" s="1"/>
  <c r="K43"/>
  <c r="J43"/>
  <c r="I43"/>
  <c r="H43"/>
  <c r="G43"/>
  <c r="AG42"/>
  <c r="O42"/>
  <c r="AC42" s="1"/>
  <c r="N42"/>
  <c r="AB42" s="1"/>
  <c r="K42"/>
  <c r="J42"/>
  <c r="I42"/>
  <c r="H42"/>
  <c r="G42"/>
  <c r="AG41"/>
  <c r="O41"/>
  <c r="AC41" s="1"/>
  <c r="N41"/>
  <c r="AB41" s="1"/>
  <c r="K41"/>
  <c r="J41"/>
  <c r="I41"/>
  <c r="H41"/>
  <c r="G41"/>
  <c r="AG40"/>
  <c r="O40"/>
  <c r="AC40" s="1"/>
  <c r="N40"/>
  <c r="AB40" s="1"/>
  <c r="K40"/>
  <c r="J40"/>
  <c r="I40"/>
  <c r="H40"/>
  <c r="G40"/>
  <c r="AG39"/>
  <c r="O39"/>
  <c r="AC39" s="1"/>
  <c r="N39"/>
  <c r="AB39" s="1"/>
  <c r="K39"/>
  <c r="J39"/>
  <c r="I39"/>
  <c r="H39"/>
  <c r="G39"/>
  <c r="AG38"/>
  <c r="O38"/>
  <c r="AC38" s="1"/>
  <c r="N38"/>
  <c r="AB38" s="1"/>
  <c r="K38"/>
  <c r="J38"/>
  <c r="I38"/>
  <c r="H38"/>
  <c r="G38"/>
  <c r="AG37"/>
  <c r="O37"/>
  <c r="AC37" s="1"/>
  <c r="N37"/>
  <c r="AB37" s="1"/>
  <c r="K37"/>
  <c r="J37"/>
  <c r="I37"/>
  <c r="H37"/>
  <c r="G37"/>
  <c r="AG36"/>
  <c r="O36"/>
  <c r="AC36" s="1"/>
  <c r="N36"/>
  <c r="AB36" s="1"/>
  <c r="K36"/>
  <c r="J36"/>
  <c r="I36"/>
  <c r="H36"/>
  <c r="G36"/>
  <c r="AG35"/>
  <c r="O35"/>
  <c r="AC35" s="1"/>
  <c r="N35"/>
  <c r="AB35" s="1"/>
  <c r="K35"/>
  <c r="J35"/>
  <c r="I35"/>
  <c r="H35"/>
  <c r="G35"/>
  <c r="AG34"/>
  <c r="O34"/>
  <c r="AC34" s="1"/>
  <c r="N34"/>
  <c r="AB34" s="1"/>
  <c r="K34"/>
  <c r="J34"/>
  <c r="I34"/>
  <c r="H34"/>
  <c r="G34"/>
  <c r="AG33"/>
  <c r="O33"/>
  <c r="AC33" s="1"/>
  <c r="N33"/>
  <c r="AB33" s="1"/>
  <c r="K33"/>
  <c r="J33"/>
  <c r="I33"/>
  <c r="H33"/>
  <c r="G33"/>
  <c r="AG32"/>
  <c r="O32"/>
  <c r="AC32" s="1"/>
  <c r="N32"/>
  <c r="AB32" s="1"/>
  <c r="K32"/>
  <c r="J32"/>
  <c r="I32"/>
  <c r="H32"/>
  <c r="G32"/>
  <c r="AG31"/>
  <c r="O31"/>
  <c r="AC31" s="1"/>
  <c r="N31"/>
  <c r="AB31" s="1"/>
  <c r="K31"/>
  <c r="J31"/>
  <c r="I31"/>
  <c r="H31"/>
  <c r="G31"/>
  <c r="AG30"/>
  <c r="O30"/>
  <c r="AC30" s="1"/>
  <c r="N30"/>
  <c r="AB30" s="1"/>
  <c r="K30"/>
  <c r="J30"/>
  <c r="I30"/>
  <c r="H30"/>
  <c r="G30"/>
  <c r="AG29"/>
  <c r="O29"/>
  <c r="AC29" s="1"/>
  <c r="N29"/>
  <c r="AB29" s="1"/>
  <c r="K29"/>
  <c r="J29"/>
  <c r="I29"/>
  <c r="H29"/>
  <c r="G29"/>
  <c r="AG28"/>
  <c r="O28"/>
  <c r="AC28" s="1"/>
  <c r="N28"/>
  <c r="AB28" s="1"/>
  <c r="K28"/>
  <c r="J28"/>
  <c r="I28"/>
  <c r="H28"/>
  <c r="G28"/>
  <c r="AG27"/>
  <c r="O27"/>
  <c r="AC27" s="1"/>
  <c r="N27"/>
  <c r="AB27" s="1"/>
  <c r="K27"/>
  <c r="J27"/>
  <c r="I27"/>
  <c r="H27"/>
  <c r="G27"/>
  <c r="AG26"/>
  <c r="O26"/>
  <c r="AC26" s="1"/>
  <c r="N26"/>
  <c r="AB26" s="1"/>
  <c r="K26"/>
  <c r="J26"/>
  <c r="I26"/>
  <c r="H26"/>
  <c r="G26"/>
  <c r="AG25"/>
  <c r="O25"/>
  <c r="AC25" s="1"/>
  <c r="N25"/>
  <c r="AB25" s="1"/>
  <c r="K25"/>
  <c r="J25"/>
  <c r="I25"/>
  <c r="H25"/>
  <c r="G25"/>
  <c r="AG24"/>
  <c r="O24"/>
  <c r="AC24" s="1"/>
  <c r="N24"/>
  <c r="AB24" s="1"/>
  <c r="K24"/>
  <c r="J24"/>
  <c r="I24"/>
  <c r="H24"/>
  <c r="G24"/>
  <c r="AG23"/>
  <c r="O23"/>
  <c r="AC23" s="1"/>
  <c r="N23"/>
  <c r="AB23" s="1"/>
  <c r="K23"/>
  <c r="J23"/>
  <c r="I23"/>
  <c r="H23"/>
  <c r="G23"/>
  <c r="AG22"/>
  <c r="O22"/>
  <c r="AC22" s="1"/>
  <c r="N22"/>
  <c r="AB22" s="1"/>
  <c r="K22"/>
  <c r="J22"/>
  <c r="I22"/>
  <c r="H22"/>
  <c r="G22"/>
  <c r="AG21"/>
  <c r="O21"/>
  <c r="AC21" s="1"/>
  <c r="N21"/>
  <c r="AB21" s="1"/>
  <c r="K21"/>
  <c r="J21"/>
  <c r="I21"/>
  <c r="H21"/>
  <c r="G21"/>
  <c r="AG20"/>
  <c r="O20"/>
  <c r="AC20" s="1"/>
  <c r="N20"/>
  <c r="AB20" s="1"/>
  <c r="K20"/>
  <c r="J20"/>
  <c r="I20"/>
  <c r="H20"/>
  <c r="G20"/>
  <c r="AG19"/>
  <c r="O19"/>
  <c r="AC19" s="1"/>
  <c r="N19"/>
  <c r="AB19" s="1"/>
  <c r="K19"/>
  <c r="J19"/>
  <c r="I19"/>
  <c r="H19"/>
  <c r="G19"/>
  <c r="AG18"/>
  <c r="O18"/>
  <c r="AC18" s="1"/>
  <c r="N18"/>
  <c r="AB18" s="1"/>
  <c r="K18"/>
  <c r="J18"/>
  <c r="I18"/>
  <c r="H18"/>
  <c r="G18"/>
  <c r="AG17"/>
  <c r="O17"/>
  <c r="AC17" s="1"/>
  <c r="N17"/>
  <c r="AB17" s="1"/>
  <c r="K17"/>
  <c r="J17"/>
  <c r="I17"/>
  <c r="H17"/>
  <c r="G17"/>
  <c r="AG16"/>
  <c r="O16"/>
  <c r="AC16" s="1"/>
  <c r="N16"/>
  <c r="AB16" s="1"/>
  <c r="K16"/>
  <c r="J16"/>
  <c r="I16"/>
  <c r="H16"/>
  <c r="G16"/>
  <c r="AG15"/>
  <c r="O15"/>
  <c r="AC15" s="1"/>
  <c r="N15"/>
  <c r="AB15" s="1"/>
  <c r="K15"/>
  <c r="J15"/>
  <c r="I15"/>
  <c r="H15"/>
  <c r="G15"/>
  <c r="AG14"/>
  <c r="O14"/>
  <c r="AC14" s="1"/>
  <c r="N14"/>
  <c r="AB14" s="1"/>
  <c r="K14"/>
  <c r="J14"/>
  <c r="I14"/>
  <c r="H14"/>
  <c r="G14"/>
  <c r="AG13"/>
  <c r="O13"/>
  <c r="AC13" s="1"/>
  <c r="N13"/>
  <c r="AB13" s="1"/>
  <c r="K13"/>
  <c r="J13"/>
  <c r="I13"/>
  <c r="H13"/>
  <c r="G13"/>
  <c r="AG12"/>
  <c r="O12"/>
  <c r="AC12" s="1"/>
  <c r="N12"/>
  <c r="AB12" s="1"/>
  <c r="K12"/>
  <c r="J12"/>
  <c r="I12"/>
  <c r="H12"/>
  <c r="G12"/>
  <c r="O11"/>
  <c r="AC11" s="1"/>
  <c r="AK11" s="1"/>
  <c r="N11"/>
  <c r="AB11" s="1"/>
  <c r="AJ11" s="1"/>
  <c r="K11"/>
  <c r="J11"/>
  <c r="I11"/>
  <c r="H11"/>
  <c r="G11"/>
  <c r="AG10"/>
  <c r="O10"/>
  <c r="AC10" s="1"/>
  <c r="N10"/>
  <c r="AB10" s="1"/>
  <c r="K10"/>
  <c r="J10"/>
  <c r="I10"/>
  <c r="H10"/>
  <c r="G10"/>
  <c r="AG9"/>
  <c r="O9"/>
  <c r="AC9" s="1"/>
  <c r="N9"/>
  <c r="Z9" s="1"/>
  <c r="AE9" s="1"/>
  <c r="K9"/>
  <c r="J9"/>
  <c r="I9"/>
  <c r="H9"/>
  <c r="G9"/>
  <c r="AG8"/>
  <c r="O8"/>
  <c r="AC8" s="1"/>
  <c r="N8"/>
  <c r="Z8" s="1"/>
  <c r="AE8" s="1"/>
  <c r="K8"/>
  <c r="J8"/>
  <c r="I8"/>
  <c r="H8"/>
  <c r="G8"/>
  <c r="AG7"/>
  <c r="O7"/>
  <c r="AC7" s="1"/>
  <c r="N7"/>
  <c r="AB7" s="1"/>
  <c r="K7"/>
  <c r="J7"/>
  <c r="I7"/>
  <c r="H7"/>
  <c r="G7"/>
  <c r="AG6"/>
  <c r="O6"/>
  <c r="AC6" s="1"/>
  <c r="N6"/>
  <c r="Z6" s="1"/>
  <c r="AE6" s="1"/>
  <c r="K6"/>
  <c r="J6"/>
  <c r="I6"/>
  <c r="H6"/>
  <c r="G6"/>
  <c r="AG5"/>
  <c r="O5"/>
  <c r="AC5" s="1"/>
  <c r="N5"/>
  <c r="Z5" s="1"/>
  <c r="AE5" s="1"/>
  <c r="K5"/>
  <c r="J5"/>
  <c r="I5"/>
  <c r="H5"/>
  <c r="G5"/>
  <c r="AG4"/>
  <c r="O4"/>
  <c r="AC4" s="1"/>
  <c r="N4"/>
  <c r="Z4" s="1"/>
  <c r="AE4" s="1"/>
  <c r="K4"/>
  <c r="J4"/>
  <c r="I4"/>
  <c r="H4"/>
  <c r="G4"/>
  <c r="AG3"/>
  <c r="O3"/>
  <c r="AC3" s="1"/>
  <c r="N3"/>
  <c r="Z3" s="1"/>
  <c r="AE3" s="1"/>
  <c r="K3"/>
  <c r="J3"/>
  <c r="I3"/>
  <c r="H3"/>
  <c r="G3"/>
  <c r="AG2"/>
  <c r="O2"/>
  <c r="N2"/>
  <c r="Z2" s="1"/>
  <c r="K2"/>
  <c r="J2"/>
  <c r="I2"/>
  <c r="H2"/>
  <c r="G2"/>
  <c r="J11" i="8" l="1"/>
  <c r="C11"/>
  <c r="I11" s="1"/>
  <c r="D15"/>
  <c r="C15"/>
  <c r="D13" i="7"/>
  <c r="L13"/>
  <c r="E8"/>
  <c r="E13" s="1"/>
  <c r="I8"/>
  <c r="M8"/>
  <c r="I9"/>
  <c r="M10"/>
  <c r="F12"/>
  <c r="F13" s="1"/>
  <c r="H13" s="1"/>
  <c r="D8"/>
  <c r="D12" s="1"/>
  <c r="L8"/>
  <c r="L12" s="1"/>
  <c r="AC4" i="6"/>
  <c r="Y3"/>
  <c r="Y4" s="1"/>
  <c r="U2"/>
  <c r="U3" s="1"/>
  <c r="Y2"/>
  <c r="AC2"/>
  <c r="AC3" s="1"/>
  <c r="AK2"/>
  <c r="AM2"/>
  <c r="S3"/>
  <c r="AJ2"/>
  <c r="AV2"/>
  <c r="AV3" s="1"/>
  <c r="AZ4" s="1"/>
  <c r="G55" i="2"/>
  <c r="S55"/>
  <c r="E67"/>
  <c r="M68" s="1"/>
  <c r="P67"/>
  <c r="G62"/>
  <c r="G67" s="1"/>
  <c r="AK62"/>
  <c r="U59"/>
  <c r="I26" i="4"/>
  <c r="O26"/>
  <c r="L27" s="1"/>
  <c r="H26"/>
  <c r="T26"/>
  <c r="Y26" s="1"/>
  <c r="V21"/>
  <c r="V23"/>
  <c r="V25"/>
  <c r="H13" i="3"/>
  <c r="N13"/>
  <c r="T13"/>
  <c r="Y13" s="1"/>
  <c r="Q29"/>
  <c r="H28"/>
  <c r="N28"/>
  <c r="T28"/>
  <c r="Y28" s="1"/>
  <c r="I13"/>
  <c r="O13"/>
  <c r="U13"/>
  <c r="D29"/>
  <c r="K9" i="8" s="1"/>
  <c r="G29" i="3"/>
  <c r="R29"/>
  <c r="I28"/>
  <c r="O28"/>
  <c r="U6" i="2"/>
  <c r="U8"/>
  <c r="U10"/>
  <c r="J18"/>
  <c r="U21"/>
  <c r="U33"/>
  <c r="U35"/>
  <c r="U37"/>
  <c r="U39"/>
  <c r="U41"/>
  <c r="U43"/>
  <c r="U45"/>
  <c r="U47"/>
  <c r="U49"/>
  <c r="U51"/>
  <c r="U53"/>
  <c r="F67"/>
  <c r="N68" s="1"/>
  <c r="Q67"/>
  <c r="H62"/>
  <c r="T62"/>
  <c r="Y62" s="1"/>
  <c r="U60"/>
  <c r="J62"/>
  <c r="U3"/>
  <c r="U5"/>
  <c r="N56"/>
  <c r="M63"/>
  <c r="M56"/>
  <c r="H57" i="1"/>
  <c r="P67"/>
  <c r="P68"/>
  <c r="P71"/>
  <c r="P72"/>
  <c r="P73"/>
  <c r="P63"/>
  <c r="P61"/>
  <c r="G57"/>
  <c r="G75" s="1"/>
  <c r="K57"/>
  <c r="K75" s="1"/>
  <c r="O57"/>
  <c r="R57" s="1"/>
  <c r="R63"/>
  <c r="R61"/>
  <c r="R44"/>
  <c r="AB56"/>
  <c r="AJ56" s="1"/>
  <c r="AN56" s="1"/>
  <c r="P66"/>
  <c r="R66"/>
  <c r="AB55"/>
  <c r="AJ55" s="1"/>
  <c r="AN55" s="1"/>
  <c r="P62"/>
  <c r="R62"/>
  <c r="P64"/>
  <c r="R64"/>
  <c r="R7"/>
  <c r="R10"/>
  <c r="R11"/>
  <c r="T35"/>
  <c r="V35" s="1"/>
  <c r="AA43"/>
  <c r="AF43" s="1"/>
  <c r="AA44"/>
  <c r="AF44" s="1"/>
  <c r="AB50"/>
  <c r="AJ50" s="1"/>
  <c r="AN50" s="1"/>
  <c r="AB51"/>
  <c r="AJ51" s="1"/>
  <c r="AN51" s="1"/>
  <c r="AB52"/>
  <c r="AJ52" s="1"/>
  <c r="AN52" s="1"/>
  <c r="AB53"/>
  <c r="AJ53" s="1"/>
  <c r="AN53" s="1"/>
  <c r="T69"/>
  <c r="V69" s="1"/>
  <c r="AA7"/>
  <c r="AF7" s="1"/>
  <c r="AA10"/>
  <c r="AF10" s="1"/>
  <c r="AA11"/>
  <c r="AI11" s="1"/>
  <c r="AM11" s="1"/>
  <c r="T12"/>
  <c r="V12" s="1"/>
  <c r="R43"/>
  <c r="T50"/>
  <c r="V50" s="1"/>
  <c r="T51"/>
  <c r="V51" s="1"/>
  <c r="T52"/>
  <c r="V52" s="1"/>
  <c r="T53"/>
  <c r="V53" s="1"/>
  <c r="T55"/>
  <c r="V55" s="1"/>
  <c r="T56"/>
  <c r="V56" s="1"/>
  <c r="AA61"/>
  <c r="AF61" s="1"/>
  <c r="AA62"/>
  <c r="AF62" s="1"/>
  <c r="AA63"/>
  <c r="AF63" s="1"/>
  <c r="AA64"/>
  <c r="AF64" s="1"/>
  <c r="AA66"/>
  <c r="AF66" s="1"/>
  <c r="T2"/>
  <c r="V2" s="1"/>
  <c r="AB2"/>
  <c r="AJ2" s="1"/>
  <c r="AN2" s="1"/>
  <c r="T3"/>
  <c r="V3" s="1"/>
  <c r="AB3"/>
  <c r="AJ3" s="1"/>
  <c r="AN3" s="1"/>
  <c r="T4"/>
  <c r="V4" s="1"/>
  <c r="AB4"/>
  <c r="AJ4" s="1"/>
  <c r="AN4" s="1"/>
  <c r="T5"/>
  <c r="V5" s="1"/>
  <c r="AB5"/>
  <c r="AJ5" s="1"/>
  <c r="AN5" s="1"/>
  <c r="T6"/>
  <c r="V6" s="1"/>
  <c r="AB6"/>
  <c r="AJ6" s="1"/>
  <c r="AN6" s="1"/>
  <c r="U7"/>
  <c r="W7" s="1"/>
  <c r="T8"/>
  <c r="V8" s="1"/>
  <c r="AB8"/>
  <c r="AJ8" s="1"/>
  <c r="AN8" s="1"/>
  <c r="T9"/>
  <c r="V9" s="1"/>
  <c r="AB9"/>
  <c r="AJ9" s="1"/>
  <c r="AN9" s="1"/>
  <c r="U10"/>
  <c r="W10" s="1"/>
  <c r="U11"/>
  <c r="W11" s="1"/>
  <c r="Y11" s="1"/>
  <c r="Q12"/>
  <c r="Z12"/>
  <c r="AE12" s="1"/>
  <c r="Q13"/>
  <c r="Z13"/>
  <c r="AE13" s="1"/>
  <c r="Q14"/>
  <c r="Z14"/>
  <c r="AE14" s="1"/>
  <c r="R15"/>
  <c r="AA15"/>
  <c r="AF15" s="1"/>
  <c r="R16"/>
  <c r="AA16"/>
  <c r="AF16" s="1"/>
  <c r="Q17"/>
  <c r="Z17"/>
  <c r="AE17" s="1"/>
  <c r="Q18"/>
  <c r="Z18"/>
  <c r="AE18" s="1"/>
  <c r="R19"/>
  <c r="AA19"/>
  <c r="AF19" s="1"/>
  <c r="Q20"/>
  <c r="Z20"/>
  <c r="AE20" s="1"/>
  <c r="Q21"/>
  <c r="Z21"/>
  <c r="AE21" s="1"/>
  <c r="Q22"/>
  <c r="Z22"/>
  <c r="AE22" s="1"/>
  <c r="R23"/>
  <c r="AA23"/>
  <c r="AF23" s="1"/>
  <c r="R24"/>
  <c r="AA24"/>
  <c r="AF24" s="1"/>
  <c r="R25"/>
  <c r="AA25"/>
  <c r="AF25" s="1"/>
  <c r="R26"/>
  <c r="AA26"/>
  <c r="AF26" s="1"/>
  <c r="R27"/>
  <c r="AA27"/>
  <c r="AF27" s="1"/>
  <c r="Q28"/>
  <c r="Z28"/>
  <c r="AE28" s="1"/>
  <c r="R29"/>
  <c r="AA29"/>
  <c r="AF29" s="1"/>
  <c r="R30"/>
  <c r="AA30"/>
  <c r="AF30" s="1"/>
  <c r="R31"/>
  <c r="AA31"/>
  <c r="AF31" s="1"/>
  <c r="R32"/>
  <c r="AA32"/>
  <c r="AF32" s="1"/>
  <c r="R33"/>
  <c r="AA33"/>
  <c r="AF33" s="1"/>
  <c r="R34"/>
  <c r="AA34"/>
  <c r="AF34" s="1"/>
  <c r="Q35"/>
  <c r="Z35"/>
  <c r="AE35" s="1"/>
  <c r="Q36"/>
  <c r="Z36"/>
  <c r="AE36" s="1"/>
  <c r="Q37"/>
  <c r="Z37"/>
  <c r="AE37" s="1"/>
  <c r="Q38"/>
  <c r="Z38"/>
  <c r="AE38" s="1"/>
  <c r="Q39"/>
  <c r="Z39"/>
  <c r="AE39" s="1"/>
  <c r="Q40"/>
  <c r="Z40"/>
  <c r="AE40" s="1"/>
  <c r="Q41"/>
  <c r="Z41"/>
  <c r="AE41" s="1"/>
  <c r="Q42"/>
  <c r="Z42"/>
  <c r="AE42" s="1"/>
  <c r="Q45"/>
  <c r="Z45"/>
  <c r="AE45" s="1"/>
  <c r="T46"/>
  <c r="V46" s="1"/>
  <c r="Q47"/>
  <c r="Z47"/>
  <c r="AE47" s="1"/>
  <c r="U48"/>
  <c r="W48" s="1"/>
  <c r="AC48"/>
  <c r="AK48" s="1"/>
  <c r="AO48" s="1"/>
  <c r="U49"/>
  <c r="W49" s="1"/>
  <c r="AC49"/>
  <c r="AK49" s="1"/>
  <c r="AO49" s="1"/>
  <c r="U54"/>
  <c r="W54" s="1"/>
  <c r="AC54"/>
  <c r="AK54" s="1"/>
  <c r="AO54" s="1"/>
  <c r="I57"/>
  <c r="Q59"/>
  <c r="Z59"/>
  <c r="AE59" s="1"/>
  <c r="Q60"/>
  <c r="Z60"/>
  <c r="AE60" s="1"/>
  <c r="Q65"/>
  <c r="Z65"/>
  <c r="AH65" s="1"/>
  <c r="AL65" s="1"/>
  <c r="R67"/>
  <c r="AA67"/>
  <c r="AF67" s="1"/>
  <c r="R68"/>
  <c r="AA68"/>
  <c r="AF68" s="1"/>
  <c r="Q69"/>
  <c r="Z69"/>
  <c r="AE69" s="1"/>
  <c r="Q70"/>
  <c r="Z70"/>
  <c r="AE70" s="1"/>
  <c r="R71"/>
  <c r="AA71"/>
  <c r="AF71" s="1"/>
  <c r="R72"/>
  <c r="AA72"/>
  <c r="AF72" s="1"/>
  <c r="R73"/>
  <c r="AA73"/>
  <c r="AF73" s="1"/>
  <c r="D75"/>
  <c r="F75"/>
  <c r="K76" s="1"/>
  <c r="M75"/>
  <c r="Q2"/>
  <c r="Q3"/>
  <c r="Q4"/>
  <c r="Q5"/>
  <c r="Q6"/>
  <c r="Q8"/>
  <c r="Q9"/>
  <c r="T13"/>
  <c r="V13" s="1"/>
  <c r="T14"/>
  <c r="V14" s="1"/>
  <c r="U15"/>
  <c r="W15" s="1"/>
  <c r="U16"/>
  <c r="W16" s="1"/>
  <c r="T17"/>
  <c r="V17" s="1"/>
  <c r="T18"/>
  <c r="V18" s="1"/>
  <c r="U19"/>
  <c r="W19" s="1"/>
  <c r="T20"/>
  <c r="V20" s="1"/>
  <c r="T21"/>
  <c r="V21" s="1"/>
  <c r="T22"/>
  <c r="V22" s="1"/>
  <c r="U23"/>
  <c r="W23" s="1"/>
  <c r="U24"/>
  <c r="W24" s="1"/>
  <c r="U25"/>
  <c r="W25" s="1"/>
  <c r="U26"/>
  <c r="W26" s="1"/>
  <c r="U27"/>
  <c r="W27" s="1"/>
  <c r="T28"/>
  <c r="V28" s="1"/>
  <c r="U29"/>
  <c r="W29" s="1"/>
  <c r="U30"/>
  <c r="W30" s="1"/>
  <c r="U31"/>
  <c r="W31" s="1"/>
  <c r="Y31" s="1"/>
  <c r="U32"/>
  <c r="W32" s="1"/>
  <c r="U33"/>
  <c r="W33" s="1"/>
  <c r="Y33" s="1"/>
  <c r="U34"/>
  <c r="W34" s="1"/>
  <c r="T36"/>
  <c r="V36" s="1"/>
  <c r="T37"/>
  <c r="V37" s="1"/>
  <c r="T38"/>
  <c r="V38" s="1"/>
  <c r="T39"/>
  <c r="V39" s="1"/>
  <c r="T40"/>
  <c r="V40" s="1"/>
  <c r="T41"/>
  <c r="V41" s="1"/>
  <c r="T42"/>
  <c r="V42" s="1"/>
  <c r="U43"/>
  <c r="W43" s="1"/>
  <c r="U44"/>
  <c r="W44" s="1"/>
  <c r="T45"/>
  <c r="V45" s="1"/>
  <c r="AB46"/>
  <c r="AJ46" s="1"/>
  <c r="AN46" s="1"/>
  <c r="T47"/>
  <c r="V47" s="1"/>
  <c r="R48"/>
  <c r="P49"/>
  <c r="R49"/>
  <c r="Q50"/>
  <c r="Q51"/>
  <c r="Q52"/>
  <c r="Q53"/>
  <c r="P54"/>
  <c r="R54"/>
  <c r="Q55"/>
  <c r="Q56"/>
  <c r="T59"/>
  <c r="V59" s="1"/>
  <c r="AB59"/>
  <c r="AJ59" s="1"/>
  <c r="AN59" s="1"/>
  <c r="T60"/>
  <c r="V60" s="1"/>
  <c r="U61"/>
  <c r="W61" s="1"/>
  <c r="U62"/>
  <c r="W62" s="1"/>
  <c r="U63"/>
  <c r="W63" s="1"/>
  <c r="U64"/>
  <c r="W64" s="1"/>
  <c r="T65"/>
  <c r="V65" s="1"/>
  <c r="U66"/>
  <c r="W66" s="1"/>
  <c r="U67"/>
  <c r="W67" s="1"/>
  <c r="U68"/>
  <c r="W68" s="1"/>
  <c r="T70"/>
  <c r="V70" s="1"/>
  <c r="U71"/>
  <c r="W71" s="1"/>
  <c r="U72"/>
  <c r="W72" s="1"/>
  <c r="U73"/>
  <c r="W73" s="1"/>
  <c r="H74"/>
  <c r="L75"/>
  <c r="AC46"/>
  <c r="AK46" s="1"/>
  <c r="AO46" s="1"/>
  <c r="AA46"/>
  <c r="AI46" s="1"/>
  <c r="AM46" s="1"/>
  <c r="U46"/>
  <c r="W46" s="1"/>
  <c r="R46"/>
  <c r="P46"/>
  <c r="AC47"/>
  <c r="AK47" s="1"/>
  <c r="AO47" s="1"/>
  <c r="AA47"/>
  <c r="AI47" s="1"/>
  <c r="AM47" s="1"/>
  <c r="U47"/>
  <c r="W47" s="1"/>
  <c r="R47"/>
  <c r="P47"/>
  <c r="Q74"/>
  <c r="P7"/>
  <c r="AJ7"/>
  <c r="AN7" s="1"/>
  <c r="AH9"/>
  <c r="AL9" s="1"/>
  <c r="P10"/>
  <c r="AJ10"/>
  <c r="AN10" s="1"/>
  <c r="AN11"/>
  <c r="P11"/>
  <c r="P15"/>
  <c r="AK15"/>
  <c r="P16"/>
  <c r="AJ16"/>
  <c r="AN16" s="1"/>
  <c r="P19"/>
  <c r="AJ19"/>
  <c r="AN19" s="1"/>
  <c r="P23"/>
  <c r="AJ23"/>
  <c r="AN23" s="1"/>
  <c r="P24"/>
  <c r="AK24"/>
  <c r="AO24" s="1"/>
  <c r="P25"/>
  <c r="AJ25"/>
  <c r="AN25" s="1"/>
  <c r="P26"/>
  <c r="AK26"/>
  <c r="P27"/>
  <c r="AJ27"/>
  <c r="AN27" s="1"/>
  <c r="P29"/>
  <c r="AJ29"/>
  <c r="AN29" s="1"/>
  <c r="P30"/>
  <c r="AK30"/>
  <c r="AO30" s="1"/>
  <c r="P31"/>
  <c r="AJ31"/>
  <c r="AN31" s="1"/>
  <c r="P32"/>
  <c r="AK32"/>
  <c r="AO32" s="1"/>
  <c r="P33"/>
  <c r="AJ33"/>
  <c r="AN33" s="1"/>
  <c r="P34"/>
  <c r="J57"/>
  <c r="N57"/>
  <c r="Q57" s="1"/>
  <c r="P2"/>
  <c r="R2"/>
  <c r="U2"/>
  <c r="W2" s="1"/>
  <c r="AA2"/>
  <c r="AI2" s="1"/>
  <c r="AM2" s="1"/>
  <c r="AC2"/>
  <c r="AE2"/>
  <c r="AK2"/>
  <c r="AO2" s="1"/>
  <c r="P3"/>
  <c r="R3"/>
  <c r="U3"/>
  <c r="W3" s="1"/>
  <c r="AA3"/>
  <c r="AI3" s="1"/>
  <c r="AM3" s="1"/>
  <c r="AK3"/>
  <c r="AO3" s="1"/>
  <c r="P4"/>
  <c r="R4"/>
  <c r="U4"/>
  <c r="W4" s="1"/>
  <c r="AA4"/>
  <c r="AI4" s="1"/>
  <c r="AM4" s="1"/>
  <c r="P5"/>
  <c r="R5"/>
  <c r="U5"/>
  <c r="W5" s="1"/>
  <c r="AA5"/>
  <c r="AI5" s="1"/>
  <c r="AM5" s="1"/>
  <c r="AK5"/>
  <c r="AO5" s="1"/>
  <c r="P6"/>
  <c r="R6"/>
  <c r="U6"/>
  <c r="W6" s="1"/>
  <c r="AA6"/>
  <c r="AI6" s="1"/>
  <c r="AM6" s="1"/>
  <c r="Q7"/>
  <c r="T7"/>
  <c r="V7" s="1"/>
  <c r="Z7"/>
  <c r="AE7" s="1"/>
  <c r="P8"/>
  <c r="R8"/>
  <c r="U8"/>
  <c r="W8" s="1"/>
  <c r="AA8"/>
  <c r="AI8" s="1"/>
  <c r="AM8" s="1"/>
  <c r="P9"/>
  <c r="R9"/>
  <c r="U9"/>
  <c r="W9" s="1"/>
  <c r="AA9"/>
  <c r="AI9" s="1"/>
  <c r="AM9" s="1"/>
  <c r="AK9"/>
  <c r="AO9" s="1"/>
  <c r="Q10"/>
  <c r="T10"/>
  <c r="V10" s="1"/>
  <c r="Z10"/>
  <c r="AE10" s="1"/>
  <c r="Q11"/>
  <c r="T11"/>
  <c r="V11" s="1"/>
  <c r="Z11"/>
  <c r="P12"/>
  <c r="R12"/>
  <c r="U12"/>
  <c r="W12" s="1"/>
  <c r="AA12"/>
  <c r="AI12" s="1"/>
  <c r="AM12" s="1"/>
  <c r="AK12"/>
  <c r="AO12" s="1"/>
  <c r="P13"/>
  <c r="R13"/>
  <c r="U13"/>
  <c r="W13" s="1"/>
  <c r="AA13"/>
  <c r="AI13" s="1"/>
  <c r="AM13" s="1"/>
  <c r="AJ13"/>
  <c r="AN13" s="1"/>
  <c r="P14"/>
  <c r="R14"/>
  <c r="U14"/>
  <c r="W14" s="1"/>
  <c r="AA14"/>
  <c r="AI14" s="1"/>
  <c r="AM14" s="1"/>
  <c r="AK14"/>
  <c r="AO14" s="1"/>
  <c r="AO15"/>
  <c r="Q15"/>
  <c r="T15"/>
  <c r="V15" s="1"/>
  <c r="Z15"/>
  <c r="AE15" s="1"/>
  <c r="Q16"/>
  <c r="T16"/>
  <c r="V16" s="1"/>
  <c r="Z16"/>
  <c r="AE16" s="1"/>
  <c r="P17"/>
  <c r="R17"/>
  <c r="U17"/>
  <c r="W17" s="1"/>
  <c r="AA17"/>
  <c r="AI17" s="1"/>
  <c r="AM17" s="1"/>
  <c r="AK17"/>
  <c r="AO17" s="1"/>
  <c r="P18"/>
  <c r="R18"/>
  <c r="U18"/>
  <c r="W18" s="1"/>
  <c r="AA18"/>
  <c r="AI18" s="1"/>
  <c r="AM18" s="1"/>
  <c r="AJ18"/>
  <c r="AN18" s="1"/>
  <c r="Q19"/>
  <c r="T19"/>
  <c r="V19" s="1"/>
  <c r="Z19"/>
  <c r="AE19" s="1"/>
  <c r="P20"/>
  <c r="R20"/>
  <c r="U20"/>
  <c r="W20" s="1"/>
  <c r="AA20"/>
  <c r="AI20" s="1"/>
  <c r="AM20" s="1"/>
  <c r="AJ20"/>
  <c r="AN20" s="1"/>
  <c r="P21"/>
  <c r="R21"/>
  <c r="U21"/>
  <c r="W21" s="1"/>
  <c r="AA21"/>
  <c r="AI21" s="1"/>
  <c r="AM21" s="1"/>
  <c r="AK21"/>
  <c r="AO21" s="1"/>
  <c r="P22"/>
  <c r="R22"/>
  <c r="U22"/>
  <c r="W22" s="1"/>
  <c r="AA22"/>
  <c r="AI22" s="1"/>
  <c r="AM22" s="1"/>
  <c r="AJ22"/>
  <c r="AN22" s="1"/>
  <c r="Q23"/>
  <c r="T23"/>
  <c r="V23" s="1"/>
  <c r="Z23"/>
  <c r="AE23" s="1"/>
  <c r="Q24"/>
  <c r="T24"/>
  <c r="V24" s="1"/>
  <c r="Z24"/>
  <c r="AE24" s="1"/>
  <c r="Q25"/>
  <c r="T25"/>
  <c r="V25" s="1"/>
  <c r="Z25"/>
  <c r="AE25" s="1"/>
  <c r="AO26"/>
  <c r="Q26"/>
  <c r="T26"/>
  <c r="V26" s="1"/>
  <c r="Z26"/>
  <c r="AE26" s="1"/>
  <c r="Q27"/>
  <c r="T27"/>
  <c r="V27" s="1"/>
  <c r="Z27"/>
  <c r="AE27" s="1"/>
  <c r="P28"/>
  <c r="R28"/>
  <c r="U28"/>
  <c r="W28" s="1"/>
  <c r="AA28"/>
  <c r="AI28" s="1"/>
  <c r="AM28" s="1"/>
  <c r="AJ28"/>
  <c r="AN28" s="1"/>
  <c r="Q29"/>
  <c r="T29"/>
  <c r="V29" s="1"/>
  <c r="Z29"/>
  <c r="AE29" s="1"/>
  <c r="Q30"/>
  <c r="T30"/>
  <c r="V30" s="1"/>
  <c r="Z30"/>
  <c r="AE30" s="1"/>
  <c r="Q31"/>
  <c r="T31"/>
  <c r="V31" s="1"/>
  <c r="Z31"/>
  <c r="AE31" s="1"/>
  <c r="Q32"/>
  <c r="T32"/>
  <c r="V32" s="1"/>
  <c r="Z32"/>
  <c r="AE32" s="1"/>
  <c r="Q33"/>
  <c r="T33"/>
  <c r="V33" s="1"/>
  <c r="Z33"/>
  <c r="AE33" s="1"/>
  <c r="Q34"/>
  <c r="T34"/>
  <c r="V34" s="1"/>
  <c r="Z34"/>
  <c r="AE34" s="1"/>
  <c r="P43"/>
  <c r="AJ43"/>
  <c r="AN43" s="1"/>
  <c r="P44"/>
  <c r="AK44"/>
  <c r="AO44" s="1"/>
  <c r="P48"/>
  <c r="AB48"/>
  <c r="AJ48" s="1"/>
  <c r="AN48" s="1"/>
  <c r="Z48"/>
  <c r="AE48" s="1"/>
  <c r="T48"/>
  <c r="V48" s="1"/>
  <c r="Q48"/>
  <c r="R74"/>
  <c r="AK34"/>
  <c r="AO34" s="1"/>
  <c r="P35"/>
  <c r="R35"/>
  <c r="U35"/>
  <c r="W35" s="1"/>
  <c r="AA35"/>
  <c r="AI35" s="1"/>
  <c r="AM35" s="1"/>
  <c r="AK35"/>
  <c r="AO35" s="1"/>
  <c r="P36"/>
  <c r="R36"/>
  <c r="U36"/>
  <c r="W36" s="1"/>
  <c r="AA36"/>
  <c r="AI36" s="1"/>
  <c r="AM36" s="1"/>
  <c r="AJ36"/>
  <c r="AN36" s="1"/>
  <c r="P37"/>
  <c r="R37"/>
  <c r="U37"/>
  <c r="W37" s="1"/>
  <c r="AA37"/>
  <c r="AI37" s="1"/>
  <c r="AM37" s="1"/>
  <c r="AK37"/>
  <c r="AO37" s="1"/>
  <c r="P38"/>
  <c r="R38"/>
  <c r="U38"/>
  <c r="W38" s="1"/>
  <c r="AA38"/>
  <c r="AI38" s="1"/>
  <c r="AM38" s="1"/>
  <c r="AJ38"/>
  <c r="AN38" s="1"/>
  <c r="P39"/>
  <c r="R39"/>
  <c r="U39"/>
  <c r="W39" s="1"/>
  <c r="AA39"/>
  <c r="AI39" s="1"/>
  <c r="AM39" s="1"/>
  <c r="AK39"/>
  <c r="AO39" s="1"/>
  <c r="P40"/>
  <c r="R40"/>
  <c r="U40"/>
  <c r="W40" s="1"/>
  <c r="AA40"/>
  <c r="AI40" s="1"/>
  <c r="AM40" s="1"/>
  <c r="AJ40"/>
  <c r="AN40" s="1"/>
  <c r="P41"/>
  <c r="R41"/>
  <c r="U41"/>
  <c r="W41" s="1"/>
  <c r="AA41"/>
  <c r="AI41" s="1"/>
  <c r="AM41" s="1"/>
  <c r="AK41"/>
  <c r="AO41" s="1"/>
  <c r="P42"/>
  <c r="R42"/>
  <c r="U42"/>
  <c r="W42" s="1"/>
  <c r="AA42"/>
  <c r="AI42" s="1"/>
  <c r="AM42" s="1"/>
  <c r="AJ42"/>
  <c r="AN42" s="1"/>
  <c r="Q43"/>
  <c r="T43"/>
  <c r="V43" s="1"/>
  <c r="Z43"/>
  <c r="AE43" s="1"/>
  <c r="Q44"/>
  <c r="T44"/>
  <c r="V44" s="1"/>
  <c r="Z44"/>
  <c r="AE44" s="1"/>
  <c r="P45"/>
  <c r="R45"/>
  <c r="U45"/>
  <c r="W45" s="1"/>
  <c r="AA45"/>
  <c r="AI45" s="1"/>
  <c r="AM45" s="1"/>
  <c r="AK45"/>
  <c r="AO45" s="1"/>
  <c r="Q46"/>
  <c r="Q49"/>
  <c r="T49"/>
  <c r="V49" s="1"/>
  <c r="Z49"/>
  <c r="AE49" s="1"/>
  <c r="AB49"/>
  <c r="AJ49" s="1"/>
  <c r="AN49" s="1"/>
  <c r="AD49"/>
  <c r="P50"/>
  <c r="R50"/>
  <c r="U50"/>
  <c r="W50" s="1"/>
  <c r="AA50"/>
  <c r="AI50" s="1"/>
  <c r="AM50" s="1"/>
  <c r="AK50"/>
  <c r="AO50" s="1"/>
  <c r="P51"/>
  <c r="R51"/>
  <c r="U51"/>
  <c r="W51" s="1"/>
  <c r="AA51"/>
  <c r="AI51" s="1"/>
  <c r="AM51" s="1"/>
  <c r="P52"/>
  <c r="R52"/>
  <c r="U52"/>
  <c r="W52" s="1"/>
  <c r="AA52"/>
  <c r="AI52" s="1"/>
  <c r="AM52" s="1"/>
  <c r="AK52"/>
  <c r="AO52" s="1"/>
  <c r="P53"/>
  <c r="R53"/>
  <c r="U53"/>
  <c r="W53" s="1"/>
  <c r="AA53"/>
  <c r="AI53" s="1"/>
  <c r="AM53" s="1"/>
  <c r="Q54"/>
  <c r="T54"/>
  <c r="V54" s="1"/>
  <c r="Z54"/>
  <c r="AE54" s="1"/>
  <c r="AB54"/>
  <c r="AJ54" s="1"/>
  <c r="AN54" s="1"/>
  <c r="AD54"/>
  <c r="P55"/>
  <c r="R55"/>
  <c r="U55"/>
  <c r="W55" s="1"/>
  <c r="AA55"/>
  <c r="AI55" s="1"/>
  <c r="AM55" s="1"/>
  <c r="P56"/>
  <c r="R56"/>
  <c r="U56"/>
  <c r="W56" s="1"/>
  <c r="AA56"/>
  <c r="AI56" s="1"/>
  <c r="AM56" s="1"/>
  <c r="AK56"/>
  <c r="AO56" s="1"/>
  <c r="J74"/>
  <c r="P59"/>
  <c r="R59"/>
  <c r="U59"/>
  <c r="W59" s="1"/>
  <c r="AA59"/>
  <c r="AI59" s="1"/>
  <c r="AM59" s="1"/>
  <c r="AC59"/>
  <c r="AC74" s="1"/>
  <c r="P60"/>
  <c r="R60"/>
  <c r="U60"/>
  <c r="W60" s="1"/>
  <c r="AA60"/>
  <c r="AI60" s="1"/>
  <c r="AM60" s="1"/>
  <c r="AJ60"/>
  <c r="AN60" s="1"/>
  <c r="Q61"/>
  <c r="T61"/>
  <c r="V61" s="1"/>
  <c r="Z61"/>
  <c r="AE61" s="1"/>
  <c r="AB61"/>
  <c r="AJ61" s="1"/>
  <c r="AN61" s="1"/>
  <c r="Q62"/>
  <c r="T62"/>
  <c r="V62" s="1"/>
  <c r="Z62"/>
  <c r="AE62" s="1"/>
  <c r="AB62"/>
  <c r="AJ62" s="1"/>
  <c r="AN62" s="1"/>
  <c r="Q63"/>
  <c r="T63"/>
  <c r="V63" s="1"/>
  <c r="Z63"/>
  <c r="AE63" s="1"/>
  <c r="AB63"/>
  <c r="AJ63" s="1"/>
  <c r="AN63" s="1"/>
  <c r="Q64"/>
  <c r="T64"/>
  <c r="V64" s="1"/>
  <c r="Z64"/>
  <c r="AE64" s="1"/>
  <c r="AB64"/>
  <c r="AJ64" s="1"/>
  <c r="AN64" s="1"/>
  <c r="P65"/>
  <c r="R65"/>
  <c r="U65"/>
  <c r="W65" s="1"/>
  <c r="AA65"/>
  <c r="AI65" s="1"/>
  <c r="AM65" s="1"/>
  <c r="AK65"/>
  <c r="AO65" s="1"/>
  <c r="Q66"/>
  <c r="T66"/>
  <c r="V66" s="1"/>
  <c r="Z66"/>
  <c r="AE66" s="1"/>
  <c r="AB66"/>
  <c r="AJ66" s="1"/>
  <c r="AN66" s="1"/>
  <c r="Q67"/>
  <c r="T67"/>
  <c r="V67" s="1"/>
  <c r="Z67"/>
  <c r="AE67" s="1"/>
  <c r="AB67"/>
  <c r="AJ67" s="1"/>
  <c r="AN67" s="1"/>
  <c r="Q68"/>
  <c r="T68"/>
  <c r="V68" s="1"/>
  <c r="Z68"/>
  <c r="AE68" s="1"/>
  <c r="AB68"/>
  <c r="AJ68" s="1"/>
  <c r="AN68" s="1"/>
  <c r="P69"/>
  <c r="R69"/>
  <c r="U69"/>
  <c r="W69" s="1"/>
  <c r="AA69"/>
  <c r="AI69" s="1"/>
  <c r="AM69" s="1"/>
  <c r="AJ69"/>
  <c r="AN69" s="1"/>
  <c r="P70"/>
  <c r="R70"/>
  <c r="U70"/>
  <c r="W70" s="1"/>
  <c r="AA70"/>
  <c r="AI70" s="1"/>
  <c r="AM70" s="1"/>
  <c r="AK70"/>
  <c r="AO70" s="1"/>
  <c r="Q71"/>
  <c r="T71"/>
  <c r="V71" s="1"/>
  <c r="Z71"/>
  <c r="AE71" s="1"/>
  <c r="AB71"/>
  <c r="AJ71" s="1"/>
  <c r="AN71" s="1"/>
  <c r="Q72"/>
  <c r="T72"/>
  <c r="V72" s="1"/>
  <c r="Z72"/>
  <c r="AE72" s="1"/>
  <c r="AB72"/>
  <c r="AJ72" s="1"/>
  <c r="AN72" s="1"/>
  <c r="Q73"/>
  <c r="T73"/>
  <c r="V73" s="1"/>
  <c r="Z73"/>
  <c r="AE73" s="1"/>
  <c r="AB73"/>
  <c r="AJ73" s="1"/>
  <c r="AN73" s="1"/>
  <c r="I74"/>
  <c r="E75"/>
  <c r="AK62"/>
  <c r="AO62" s="1"/>
  <c r="AK64"/>
  <c r="AO64" s="1"/>
  <c r="AK67"/>
  <c r="AO67" s="1"/>
  <c r="AK71"/>
  <c r="AO71" s="1"/>
  <c r="AK73"/>
  <c r="AO73" s="1"/>
  <c r="AS2" i="6"/>
  <c r="AS3" s="1"/>
  <c r="AW4" s="1"/>
  <c r="AJ30" i="1"/>
  <c r="AN30" s="1"/>
  <c r="AJ32"/>
  <c r="AN32" s="1"/>
  <c r="AJ34"/>
  <c r="AN34" s="1"/>
  <c r="AU2" i="6"/>
  <c r="AU3" s="1"/>
  <c r="AY4" s="1"/>
  <c r="M55" i="2"/>
  <c r="M62"/>
  <c r="H11" i="8"/>
  <c r="H15"/>
  <c r="H12"/>
  <c r="V2" i="4"/>
  <c r="V4"/>
  <c r="V6"/>
  <c r="V8"/>
  <c r="V10"/>
  <c r="V12"/>
  <c r="V14"/>
  <c r="V16"/>
  <c r="V18"/>
  <c r="V20"/>
  <c r="AC27"/>
  <c r="AF27" s="1"/>
  <c r="W2"/>
  <c r="Z2"/>
  <c r="AD2"/>
  <c r="AG2" s="1"/>
  <c r="AK2"/>
  <c r="AM2"/>
  <c r="V3"/>
  <c r="Y3"/>
  <c r="AC3"/>
  <c r="AF3" s="1"/>
  <c r="AJ3"/>
  <c r="AO3" s="1"/>
  <c r="AT3"/>
  <c r="AX3" s="1"/>
  <c r="W4"/>
  <c r="Z4"/>
  <c r="AD4"/>
  <c r="AK4"/>
  <c r="AM4"/>
  <c r="V5"/>
  <c r="Y5"/>
  <c r="AC5"/>
  <c r="AF5" s="1"/>
  <c r="AJ5"/>
  <c r="AO5" s="1"/>
  <c r="AT5"/>
  <c r="AX5" s="1"/>
  <c r="W6"/>
  <c r="Z6"/>
  <c r="AD6"/>
  <c r="AG6" s="1"/>
  <c r="AK6"/>
  <c r="AS6" s="1"/>
  <c r="AW6" s="1"/>
  <c r="AM6"/>
  <c r="V7"/>
  <c r="Y7"/>
  <c r="AC7"/>
  <c r="AJ7"/>
  <c r="AO7" s="1"/>
  <c r="AT7"/>
  <c r="AX7" s="1"/>
  <c r="W8"/>
  <c r="Z8"/>
  <c r="AD8"/>
  <c r="AK8"/>
  <c r="AS8" s="1"/>
  <c r="AW8" s="1"/>
  <c r="AM8"/>
  <c r="V9"/>
  <c r="Y9"/>
  <c r="AC9"/>
  <c r="AF9" s="1"/>
  <c r="AJ9"/>
  <c r="AO9" s="1"/>
  <c r="AT9"/>
  <c r="AX9" s="1"/>
  <c r="W10"/>
  <c r="Z10"/>
  <c r="AD10"/>
  <c r="AK10"/>
  <c r="AS10" s="1"/>
  <c r="AW10" s="1"/>
  <c r="AM10"/>
  <c r="V11"/>
  <c r="Y11"/>
  <c r="AC11"/>
  <c r="AF11" s="1"/>
  <c r="AJ11"/>
  <c r="AO11" s="1"/>
  <c r="AT11"/>
  <c r="AX11" s="1"/>
  <c r="W12"/>
  <c r="Z12"/>
  <c r="AD12"/>
  <c r="AK12"/>
  <c r="AM12"/>
  <c r="V13"/>
  <c r="Y13"/>
  <c r="AC13"/>
  <c r="AF13" s="1"/>
  <c r="AJ13"/>
  <c r="AO13" s="1"/>
  <c r="AT13"/>
  <c r="AX13" s="1"/>
  <c r="W14"/>
  <c r="Z14"/>
  <c r="AD14"/>
  <c r="AG14" s="1"/>
  <c r="AK14"/>
  <c r="AS14" s="1"/>
  <c r="AW14" s="1"/>
  <c r="AM14"/>
  <c r="V15"/>
  <c r="Y15"/>
  <c r="AC15"/>
  <c r="AJ15"/>
  <c r="AO15" s="1"/>
  <c r="AT15"/>
  <c r="AX15" s="1"/>
  <c r="W16"/>
  <c r="Z16"/>
  <c r="AD16"/>
  <c r="AK16"/>
  <c r="AS16" s="1"/>
  <c r="AW16" s="1"/>
  <c r="AM16"/>
  <c r="AU16" s="1"/>
  <c r="AY16" s="1"/>
  <c r="V17"/>
  <c r="Y17"/>
  <c r="AC17"/>
  <c r="AF17" s="1"/>
  <c r="AJ17"/>
  <c r="AO17" s="1"/>
  <c r="AT17"/>
  <c r="AX17" s="1"/>
  <c r="W18"/>
  <c r="Z18"/>
  <c r="AD18"/>
  <c r="AK18"/>
  <c r="AS18" s="1"/>
  <c r="AW18" s="1"/>
  <c r="AM18"/>
  <c r="AU18" s="1"/>
  <c r="AY18" s="1"/>
  <c r="V19"/>
  <c r="Y19"/>
  <c r="AC19"/>
  <c r="AF19" s="1"/>
  <c r="AJ19"/>
  <c r="AO19" s="1"/>
  <c r="AT19"/>
  <c r="AX19" s="1"/>
  <c r="W20"/>
  <c r="Z20"/>
  <c r="AD20"/>
  <c r="AG20" s="1"/>
  <c r="AI20" s="1"/>
  <c r="AK20"/>
  <c r="AS20" s="1"/>
  <c r="AW20" s="1"/>
  <c r="AM20"/>
  <c r="AU20" s="1"/>
  <c r="AY20" s="1"/>
  <c r="AT20"/>
  <c r="W21"/>
  <c r="Z21"/>
  <c r="AD21"/>
  <c r="AK21"/>
  <c r="AM21"/>
  <c r="V22"/>
  <c r="Y22"/>
  <c r="AC22"/>
  <c r="AF22" s="1"/>
  <c r="AJ22"/>
  <c r="AO22" s="1"/>
  <c r="AT22"/>
  <c r="AX22" s="1"/>
  <c r="W23"/>
  <c r="Z23"/>
  <c r="AD23"/>
  <c r="AG23" s="1"/>
  <c r="AK23"/>
  <c r="AS23" s="1"/>
  <c r="AW23" s="1"/>
  <c r="AM23"/>
  <c r="V24"/>
  <c r="Y24"/>
  <c r="AC24"/>
  <c r="AJ24"/>
  <c r="AO24" s="1"/>
  <c r="AT24"/>
  <c r="AX24" s="1"/>
  <c r="W25"/>
  <c r="Z25"/>
  <c r="AD25"/>
  <c r="AG25" s="1"/>
  <c r="AK25"/>
  <c r="AM25"/>
  <c r="L26"/>
  <c r="U26"/>
  <c r="N26"/>
  <c r="K27" s="1"/>
  <c r="Y2"/>
  <c r="AC2"/>
  <c r="AJ2"/>
  <c r="AR2" s="1"/>
  <c r="AV2" s="1"/>
  <c r="AL2"/>
  <c r="AL26" s="1"/>
  <c r="AU2"/>
  <c r="AY2" s="1"/>
  <c r="W3"/>
  <c r="Z3"/>
  <c r="AD3"/>
  <c r="AG3" s="1"/>
  <c r="AK3"/>
  <c r="AS3" s="1"/>
  <c r="AW3" s="1"/>
  <c r="Y4"/>
  <c r="AC4"/>
  <c r="AJ4"/>
  <c r="AO4" s="1"/>
  <c r="AU4"/>
  <c r="AY4" s="1"/>
  <c r="W5"/>
  <c r="Z5"/>
  <c r="AD5"/>
  <c r="AG5" s="1"/>
  <c r="AK5"/>
  <c r="AS5" s="1"/>
  <c r="AW5" s="1"/>
  <c r="Y6"/>
  <c r="AC6"/>
  <c r="AF6" s="1"/>
  <c r="AJ6"/>
  <c r="AO6" s="1"/>
  <c r="AU6"/>
  <c r="AY6" s="1"/>
  <c r="W7"/>
  <c r="Z7"/>
  <c r="AD7"/>
  <c r="AG7" s="1"/>
  <c r="AK7"/>
  <c r="AS7" s="1"/>
  <c r="AW7" s="1"/>
  <c r="Y8"/>
  <c r="AC8"/>
  <c r="AJ8"/>
  <c r="AO8" s="1"/>
  <c r="AU8"/>
  <c r="AY8" s="1"/>
  <c r="W9"/>
  <c r="Z9"/>
  <c r="AD9"/>
  <c r="AG9" s="1"/>
  <c r="AK9"/>
  <c r="AS9" s="1"/>
  <c r="AW9" s="1"/>
  <c r="Y10"/>
  <c r="AC10"/>
  <c r="AF10" s="1"/>
  <c r="AJ10"/>
  <c r="AO10" s="1"/>
  <c r="AU10"/>
  <c r="AY10" s="1"/>
  <c r="W11"/>
  <c r="Z11"/>
  <c r="AD11"/>
  <c r="AG11" s="1"/>
  <c r="AK11"/>
  <c r="AS11" s="1"/>
  <c r="AW11" s="1"/>
  <c r="Y12"/>
  <c r="AC12"/>
  <c r="AJ12"/>
  <c r="AO12" s="1"/>
  <c r="AU12"/>
  <c r="AY12" s="1"/>
  <c r="W13"/>
  <c r="Z13"/>
  <c r="AD13"/>
  <c r="AG13" s="1"/>
  <c r="AK13"/>
  <c r="AS13" s="1"/>
  <c r="AW13" s="1"/>
  <c r="Y14"/>
  <c r="AC14"/>
  <c r="AF14" s="1"/>
  <c r="AJ14"/>
  <c r="AO14" s="1"/>
  <c r="AU14"/>
  <c r="AY14" s="1"/>
  <c r="W15"/>
  <c r="Z15"/>
  <c r="AD15"/>
  <c r="AG15" s="1"/>
  <c r="AK15"/>
  <c r="AS15" s="1"/>
  <c r="AW15" s="1"/>
  <c r="AX16"/>
  <c r="Y16"/>
  <c r="AC16"/>
  <c r="AF16" s="1"/>
  <c r="AJ16"/>
  <c r="W17"/>
  <c r="Z17"/>
  <c r="AD17"/>
  <c r="AG17" s="1"/>
  <c r="AK17"/>
  <c r="Y18"/>
  <c r="AC18"/>
  <c r="AF18" s="1"/>
  <c r="AJ18"/>
  <c r="AO18" s="1"/>
  <c r="W19"/>
  <c r="Z19"/>
  <c r="AD19"/>
  <c r="AG19" s="1"/>
  <c r="AK19"/>
  <c r="AS19" s="1"/>
  <c r="AW19" s="1"/>
  <c r="Y20"/>
  <c r="AC20"/>
  <c r="AJ20"/>
  <c r="AO20" s="1"/>
  <c r="Y21"/>
  <c r="AC21"/>
  <c r="AJ21"/>
  <c r="AO21" s="1"/>
  <c r="AU21"/>
  <c r="AY21" s="1"/>
  <c r="W22"/>
  <c r="Z22"/>
  <c r="AD22"/>
  <c r="AG22" s="1"/>
  <c r="AK22"/>
  <c r="AS22" s="1"/>
  <c r="AW22" s="1"/>
  <c r="Y23"/>
  <c r="AC23"/>
  <c r="AF23" s="1"/>
  <c r="AJ23"/>
  <c r="AO23" s="1"/>
  <c r="AU23"/>
  <c r="AY23" s="1"/>
  <c r="W24"/>
  <c r="Z24"/>
  <c r="AD24"/>
  <c r="AG24" s="1"/>
  <c r="AK24"/>
  <c r="AS24" s="1"/>
  <c r="AW24" s="1"/>
  <c r="Y25"/>
  <c r="AC25"/>
  <c r="AJ25"/>
  <c r="AO25" s="1"/>
  <c r="AU25"/>
  <c r="AY25" s="1"/>
  <c r="K26"/>
  <c r="V11" i="3"/>
  <c r="K13"/>
  <c r="K16"/>
  <c r="V19"/>
  <c r="V21"/>
  <c r="V23"/>
  <c r="V25"/>
  <c r="L28"/>
  <c r="L16"/>
  <c r="K28"/>
  <c r="Z13"/>
  <c r="O30"/>
  <c r="W2"/>
  <c r="Z2"/>
  <c r="AD2"/>
  <c r="AK2"/>
  <c r="AM2"/>
  <c r="V3"/>
  <c r="Y3"/>
  <c r="AC3"/>
  <c r="AJ3"/>
  <c r="AO3" s="1"/>
  <c r="AT3"/>
  <c r="AX3" s="1"/>
  <c r="W4"/>
  <c r="Z4"/>
  <c r="AD4"/>
  <c r="AK4"/>
  <c r="AS4" s="1"/>
  <c r="AW4" s="1"/>
  <c r="V5"/>
  <c r="Y5"/>
  <c r="AC5"/>
  <c r="AF5" s="1"/>
  <c r="AJ5"/>
  <c r="AO5" s="1"/>
  <c r="AT5"/>
  <c r="AX5" s="1"/>
  <c r="W6"/>
  <c r="Z6"/>
  <c r="AD6"/>
  <c r="AG6" s="1"/>
  <c r="AK6"/>
  <c r="W7"/>
  <c r="Z7"/>
  <c r="AD7"/>
  <c r="AG7" s="1"/>
  <c r="AK7"/>
  <c r="V8"/>
  <c r="Y8"/>
  <c r="AC8"/>
  <c r="AF8" s="1"/>
  <c r="AJ8"/>
  <c r="AO8" s="1"/>
  <c r="AU8"/>
  <c r="W9"/>
  <c r="Z9"/>
  <c r="AD9"/>
  <c r="AG9" s="1"/>
  <c r="AK9"/>
  <c r="AS9" s="1"/>
  <c r="AW9" s="1"/>
  <c r="V10"/>
  <c r="Y10"/>
  <c r="AC10"/>
  <c r="AF10" s="1"/>
  <c r="AJ10"/>
  <c r="AO10" s="1"/>
  <c r="AU10"/>
  <c r="AY10" s="1"/>
  <c r="W11"/>
  <c r="Z11"/>
  <c r="AD11"/>
  <c r="AG11" s="1"/>
  <c r="AK11"/>
  <c r="AS11" s="1"/>
  <c r="AW11" s="1"/>
  <c r="AM11"/>
  <c r="AU11" s="1"/>
  <c r="AY11" s="1"/>
  <c r="V12"/>
  <c r="Y12"/>
  <c r="AC12"/>
  <c r="AJ12"/>
  <c r="AO12" s="1"/>
  <c r="AU12"/>
  <c r="L13"/>
  <c r="W15"/>
  <c r="W16" s="1"/>
  <c r="Z15"/>
  <c r="AD15"/>
  <c r="AD16" s="1"/>
  <c r="AK15"/>
  <c r="AM15"/>
  <c r="AM16" s="1"/>
  <c r="T16"/>
  <c r="Y16" s="1"/>
  <c r="AL16"/>
  <c r="V18"/>
  <c r="Y18"/>
  <c r="AC18"/>
  <c r="AF18" s="1"/>
  <c r="AJ18"/>
  <c r="AL18"/>
  <c r="AL28" s="1"/>
  <c r="AU18"/>
  <c r="AY18" s="1"/>
  <c r="W19"/>
  <c r="Z19"/>
  <c r="AD19"/>
  <c r="AG19" s="1"/>
  <c r="AK19"/>
  <c r="AM19"/>
  <c r="AU19" s="1"/>
  <c r="V20"/>
  <c r="Y20"/>
  <c r="AC20"/>
  <c r="AF20" s="1"/>
  <c r="AJ20"/>
  <c r="AO20" s="1"/>
  <c r="AU20"/>
  <c r="AY20" s="1"/>
  <c r="W21"/>
  <c r="Z21"/>
  <c r="AD21"/>
  <c r="AK21"/>
  <c r="AM21"/>
  <c r="V22"/>
  <c r="Y22"/>
  <c r="AC22"/>
  <c r="AF22" s="1"/>
  <c r="AJ22"/>
  <c r="AO22" s="1"/>
  <c r="AU22"/>
  <c r="AY22" s="1"/>
  <c r="W23"/>
  <c r="Z23"/>
  <c r="AD23"/>
  <c r="AK23"/>
  <c r="AM23"/>
  <c r="AU23" s="1"/>
  <c r="AY23" s="1"/>
  <c r="V24"/>
  <c r="Y24"/>
  <c r="AC24"/>
  <c r="AF24" s="1"/>
  <c r="AJ24"/>
  <c r="AO24" s="1"/>
  <c r="AT24"/>
  <c r="AX24" s="1"/>
  <c r="W25"/>
  <c r="Z25"/>
  <c r="AD25"/>
  <c r="AG25" s="1"/>
  <c r="AK25"/>
  <c r="AM25"/>
  <c r="AU25" s="1"/>
  <c r="AY25" s="1"/>
  <c r="V26"/>
  <c r="Y26"/>
  <c r="AC26"/>
  <c r="AJ26"/>
  <c r="AO26" s="1"/>
  <c r="AT26"/>
  <c r="AX26" s="1"/>
  <c r="W27"/>
  <c r="Z27"/>
  <c r="AD27"/>
  <c r="AK27"/>
  <c r="U28"/>
  <c r="Z28" s="1"/>
  <c r="F29"/>
  <c r="V2"/>
  <c r="Y2"/>
  <c r="AC2"/>
  <c r="AJ2"/>
  <c r="AR2" s="1"/>
  <c r="AV2" s="1"/>
  <c r="AL2"/>
  <c r="AL13" s="1"/>
  <c r="AU2"/>
  <c r="AY2" s="1"/>
  <c r="W3"/>
  <c r="Z3"/>
  <c r="AD3"/>
  <c r="AK3"/>
  <c r="AS3" s="1"/>
  <c r="AW3" s="1"/>
  <c r="V4"/>
  <c r="Y4"/>
  <c r="AC4"/>
  <c r="AJ4"/>
  <c r="AO4" s="1"/>
  <c r="AU4"/>
  <c r="AY4" s="1"/>
  <c r="W5"/>
  <c r="Z5"/>
  <c r="AD5"/>
  <c r="AG5" s="1"/>
  <c r="AK5"/>
  <c r="V6"/>
  <c r="Y6"/>
  <c r="AC6"/>
  <c r="AF6" s="1"/>
  <c r="AJ6"/>
  <c r="AO6" s="1"/>
  <c r="AU6"/>
  <c r="AY6" s="1"/>
  <c r="V7"/>
  <c r="Y7"/>
  <c r="AC7"/>
  <c r="AJ7"/>
  <c r="AO7" s="1"/>
  <c r="AT7"/>
  <c r="AX7" s="1"/>
  <c r="AY8"/>
  <c r="W8"/>
  <c r="Z8"/>
  <c r="AD8"/>
  <c r="AK8"/>
  <c r="V9"/>
  <c r="Y9"/>
  <c r="AC9"/>
  <c r="AJ9"/>
  <c r="AO9" s="1"/>
  <c r="AT9"/>
  <c r="AX9" s="1"/>
  <c r="W10"/>
  <c r="Z10"/>
  <c r="AD10"/>
  <c r="AG10" s="1"/>
  <c r="AK10"/>
  <c r="Y11"/>
  <c r="AC11"/>
  <c r="AF11" s="1"/>
  <c r="AJ11"/>
  <c r="AO11" s="1"/>
  <c r="AT11"/>
  <c r="AX11" s="1"/>
  <c r="AY12"/>
  <c r="W12"/>
  <c r="Z12"/>
  <c r="AD12"/>
  <c r="AK12"/>
  <c r="V15"/>
  <c r="V16" s="1"/>
  <c r="Y15"/>
  <c r="AC15"/>
  <c r="AC16" s="1"/>
  <c r="AJ15"/>
  <c r="W18"/>
  <c r="Z18"/>
  <c r="AD18"/>
  <c r="AG18" s="1"/>
  <c r="AK18"/>
  <c r="AS18" s="1"/>
  <c r="AW18" s="1"/>
  <c r="Y19"/>
  <c r="AC19"/>
  <c r="AJ19"/>
  <c r="AO19" s="1"/>
  <c r="AT19"/>
  <c r="AX19" s="1"/>
  <c r="W20"/>
  <c r="Z20"/>
  <c r="AD20"/>
  <c r="AG20" s="1"/>
  <c r="AK20"/>
  <c r="Y21"/>
  <c r="AC21"/>
  <c r="AF21" s="1"/>
  <c r="AJ21"/>
  <c r="AO21" s="1"/>
  <c r="AT21"/>
  <c r="AX21" s="1"/>
  <c r="W22"/>
  <c r="Z22"/>
  <c r="AD22"/>
  <c r="AG22" s="1"/>
  <c r="AK22"/>
  <c r="Y23"/>
  <c r="AC23"/>
  <c r="AJ23"/>
  <c r="AO23" s="1"/>
  <c r="W24"/>
  <c r="Z24"/>
  <c r="AD24"/>
  <c r="AG24" s="1"/>
  <c r="AK24"/>
  <c r="Y25"/>
  <c r="AC25"/>
  <c r="AJ25"/>
  <c r="AO25" s="1"/>
  <c r="W26"/>
  <c r="Z26"/>
  <c r="AD26"/>
  <c r="AK26"/>
  <c r="V27"/>
  <c r="Y27"/>
  <c r="AC27"/>
  <c r="AJ27"/>
  <c r="AO27" s="1"/>
  <c r="AU27"/>
  <c r="AY27" s="1"/>
  <c r="H55" i="2"/>
  <c r="H67" s="1"/>
  <c r="N55"/>
  <c r="T55"/>
  <c r="Y55" s="1"/>
  <c r="U4"/>
  <c r="K66"/>
  <c r="Y66"/>
  <c r="AH66"/>
  <c r="AN66"/>
  <c r="BA66"/>
  <c r="U7"/>
  <c r="U9"/>
  <c r="U34"/>
  <c r="U36"/>
  <c r="U38"/>
  <c r="U40"/>
  <c r="U42"/>
  <c r="U44"/>
  <c r="U46"/>
  <c r="U48"/>
  <c r="U50"/>
  <c r="U52"/>
  <c r="U54"/>
  <c r="U61"/>
  <c r="K62"/>
  <c r="J66"/>
  <c r="X66"/>
  <c r="V2"/>
  <c r="Y2"/>
  <c r="AC2"/>
  <c r="AJ2"/>
  <c r="AL2"/>
  <c r="V3"/>
  <c r="Y3"/>
  <c r="AC3"/>
  <c r="AF3" s="1"/>
  <c r="AJ3"/>
  <c r="AR3" s="1"/>
  <c r="AV3" s="1"/>
  <c r="AL3"/>
  <c r="AT3" s="1"/>
  <c r="AX3" s="1"/>
  <c r="V4"/>
  <c r="Y4"/>
  <c r="AC4"/>
  <c r="AF4" s="1"/>
  <c r="AJ4"/>
  <c r="AL4"/>
  <c r="AT4" s="1"/>
  <c r="AX4" s="1"/>
  <c r="AS4"/>
  <c r="AW4" s="1"/>
  <c r="V5"/>
  <c r="Y5"/>
  <c r="AC5"/>
  <c r="AF5" s="1"/>
  <c r="AJ5"/>
  <c r="AL5"/>
  <c r="AT5" s="1"/>
  <c r="AX5" s="1"/>
  <c r="V6"/>
  <c r="Y6"/>
  <c r="AC6"/>
  <c r="AF6" s="1"/>
  <c r="AJ6"/>
  <c r="AL6"/>
  <c r="AS6"/>
  <c r="AW6" s="1"/>
  <c r="V7"/>
  <c r="Y7"/>
  <c r="AC7"/>
  <c r="AJ7"/>
  <c r="AR7" s="1"/>
  <c r="AV7" s="1"/>
  <c r="AL7"/>
  <c r="AT7" s="1"/>
  <c r="AX7" s="1"/>
  <c r="V8"/>
  <c r="Y8"/>
  <c r="AC8"/>
  <c r="AF8" s="1"/>
  <c r="AJ8"/>
  <c r="AL8"/>
  <c r="AT8" s="1"/>
  <c r="AX8" s="1"/>
  <c r="AS8"/>
  <c r="AW8" s="1"/>
  <c r="V9"/>
  <c r="Y9"/>
  <c r="AC9"/>
  <c r="AJ9"/>
  <c r="AL9"/>
  <c r="AT9" s="1"/>
  <c r="AX9" s="1"/>
  <c r="V10"/>
  <c r="Y10"/>
  <c r="AC10"/>
  <c r="AF10" s="1"/>
  <c r="AJ10"/>
  <c r="AL10"/>
  <c r="AS10"/>
  <c r="AW10" s="1"/>
  <c r="V11"/>
  <c r="Y11"/>
  <c r="AC11"/>
  <c r="AF11" s="1"/>
  <c r="AJ11"/>
  <c r="AR11" s="1"/>
  <c r="AV11" s="1"/>
  <c r="AT11"/>
  <c r="AX11" s="1"/>
  <c r="V12"/>
  <c r="Y12"/>
  <c r="AC12"/>
  <c r="AF12" s="1"/>
  <c r="AJ12"/>
  <c r="AS12"/>
  <c r="AW12" s="1"/>
  <c r="V13"/>
  <c r="Y13"/>
  <c r="AC13"/>
  <c r="AJ13"/>
  <c r="AT13"/>
  <c r="V14"/>
  <c r="Y14"/>
  <c r="AC14"/>
  <c r="AJ14"/>
  <c r="AS14"/>
  <c r="AW14" s="1"/>
  <c r="V15"/>
  <c r="Y15"/>
  <c r="AC15"/>
  <c r="AF15" s="1"/>
  <c r="AJ15"/>
  <c r="AR15" s="1"/>
  <c r="AV15" s="1"/>
  <c r="AT15"/>
  <c r="AX15" s="1"/>
  <c r="V16"/>
  <c r="Y16"/>
  <c r="AC16"/>
  <c r="AF16" s="1"/>
  <c r="AJ16"/>
  <c r="AS16"/>
  <c r="AW16" s="1"/>
  <c r="V17"/>
  <c r="Y17"/>
  <c r="AC17"/>
  <c r="AJ17"/>
  <c r="AT17"/>
  <c r="AW18"/>
  <c r="U18"/>
  <c r="X18"/>
  <c r="AB18"/>
  <c r="AI18"/>
  <c r="U19"/>
  <c r="X19"/>
  <c r="AB19"/>
  <c r="AE19" s="1"/>
  <c r="AI19"/>
  <c r="AN19" s="1"/>
  <c r="AW20"/>
  <c r="U20"/>
  <c r="X20"/>
  <c r="AB20"/>
  <c r="AE20" s="1"/>
  <c r="AI20"/>
  <c r="K21"/>
  <c r="V21"/>
  <c r="Y21"/>
  <c r="AC21"/>
  <c r="AF21" s="1"/>
  <c r="AJ21"/>
  <c r="AL21"/>
  <c r="U22"/>
  <c r="X22"/>
  <c r="AB22"/>
  <c r="AE22" s="1"/>
  <c r="AI22"/>
  <c r="AN22" s="1"/>
  <c r="U23"/>
  <c r="X23"/>
  <c r="AB23"/>
  <c r="AE23" s="1"/>
  <c r="AI23"/>
  <c r="AN23" s="1"/>
  <c r="U24"/>
  <c r="X24"/>
  <c r="AB24"/>
  <c r="AE24" s="1"/>
  <c r="AI24"/>
  <c r="AN24" s="1"/>
  <c r="U25"/>
  <c r="X25"/>
  <c r="AB25"/>
  <c r="AI25"/>
  <c r="AN25" s="1"/>
  <c r="U26"/>
  <c r="X26"/>
  <c r="AB26"/>
  <c r="AE26" s="1"/>
  <c r="AI26"/>
  <c r="AN26" s="1"/>
  <c r="U27"/>
  <c r="X27"/>
  <c r="AB27"/>
  <c r="AE27" s="1"/>
  <c r="AI27"/>
  <c r="AN27" s="1"/>
  <c r="U28"/>
  <c r="X28"/>
  <c r="AB28"/>
  <c r="AE28" s="1"/>
  <c r="AI28"/>
  <c r="AN28" s="1"/>
  <c r="U29"/>
  <c r="X29"/>
  <c r="AB29"/>
  <c r="AE29" s="1"/>
  <c r="AI29"/>
  <c r="AN29" s="1"/>
  <c r="U30"/>
  <c r="X30"/>
  <c r="AB30"/>
  <c r="AE30" s="1"/>
  <c r="AI30"/>
  <c r="AN30" s="1"/>
  <c r="U31"/>
  <c r="X31"/>
  <c r="AB31"/>
  <c r="AE31" s="1"/>
  <c r="AI31"/>
  <c r="AN31" s="1"/>
  <c r="U32"/>
  <c r="X32"/>
  <c r="AB32"/>
  <c r="AE32" s="1"/>
  <c r="AI32"/>
  <c r="AN32" s="1"/>
  <c r="X55"/>
  <c r="U2"/>
  <c r="X2"/>
  <c r="AB2"/>
  <c r="AI2"/>
  <c r="AQ2" s="1"/>
  <c r="AU2" s="1"/>
  <c r="AK2"/>
  <c r="AK55" s="1"/>
  <c r="X3"/>
  <c r="AB3"/>
  <c r="AI3"/>
  <c r="AN3" s="1"/>
  <c r="X4"/>
  <c r="AB4"/>
  <c r="AE4" s="1"/>
  <c r="AI4"/>
  <c r="AN4" s="1"/>
  <c r="X5"/>
  <c r="AB5"/>
  <c r="AI5"/>
  <c r="AN5" s="1"/>
  <c r="X6"/>
  <c r="AB6"/>
  <c r="AE6" s="1"/>
  <c r="AI6"/>
  <c r="AN6" s="1"/>
  <c r="X7"/>
  <c r="AB7"/>
  <c r="AE7" s="1"/>
  <c r="AI7"/>
  <c r="AN7" s="1"/>
  <c r="X8"/>
  <c r="AB8"/>
  <c r="AE8" s="1"/>
  <c r="AI8"/>
  <c r="AN8" s="1"/>
  <c r="X9"/>
  <c r="AB9"/>
  <c r="AE9" s="1"/>
  <c r="AI9"/>
  <c r="AN9" s="1"/>
  <c r="X10"/>
  <c r="AB10"/>
  <c r="AE10" s="1"/>
  <c r="AI10"/>
  <c r="AN10" s="1"/>
  <c r="U11"/>
  <c r="X11"/>
  <c r="AB11"/>
  <c r="AE11" s="1"/>
  <c r="AI11"/>
  <c r="AN11" s="1"/>
  <c r="U12"/>
  <c r="X12"/>
  <c r="AB12"/>
  <c r="AE12" s="1"/>
  <c r="AI12"/>
  <c r="AN12" s="1"/>
  <c r="AW13"/>
  <c r="U13"/>
  <c r="X13"/>
  <c r="AB13"/>
  <c r="AE13" s="1"/>
  <c r="AI13"/>
  <c r="U14"/>
  <c r="X14"/>
  <c r="AB14"/>
  <c r="AE14" s="1"/>
  <c r="AI14"/>
  <c r="AN14" s="1"/>
  <c r="AW15"/>
  <c r="U15"/>
  <c r="X15"/>
  <c r="AB15"/>
  <c r="AI15"/>
  <c r="U16"/>
  <c r="X16"/>
  <c r="AB16"/>
  <c r="AE16" s="1"/>
  <c r="AI16"/>
  <c r="AN16" s="1"/>
  <c r="AW17"/>
  <c r="U17"/>
  <c r="X17"/>
  <c r="AB17"/>
  <c r="AE17" s="1"/>
  <c r="AI17"/>
  <c r="K18"/>
  <c r="V18"/>
  <c r="Y18"/>
  <c r="AC18"/>
  <c r="AF18" s="1"/>
  <c r="AJ18"/>
  <c r="AR18" s="1"/>
  <c r="AV18" s="1"/>
  <c r="AT18"/>
  <c r="AX18" s="1"/>
  <c r="V19"/>
  <c r="Y19"/>
  <c r="AC19"/>
  <c r="AF19" s="1"/>
  <c r="AJ19"/>
  <c r="AR19" s="1"/>
  <c r="AV19" s="1"/>
  <c r="AS19"/>
  <c r="AW19" s="1"/>
  <c r="V20"/>
  <c r="Y20"/>
  <c r="AC20"/>
  <c r="AF20" s="1"/>
  <c r="AJ20"/>
  <c r="AT20"/>
  <c r="X21"/>
  <c r="AB21"/>
  <c r="AI21"/>
  <c r="AN21" s="1"/>
  <c r="V22"/>
  <c r="Y22"/>
  <c r="AC22"/>
  <c r="AF22" s="1"/>
  <c r="AJ22"/>
  <c r="AT22"/>
  <c r="AX22" s="1"/>
  <c r="V23"/>
  <c r="Y23"/>
  <c r="AC23"/>
  <c r="AF23" s="1"/>
  <c r="AJ23"/>
  <c r="AR23" s="1"/>
  <c r="AV23" s="1"/>
  <c r="AS23"/>
  <c r="AW23" s="1"/>
  <c r="V24"/>
  <c r="Y24"/>
  <c r="AC24"/>
  <c r="AF24" s="1"/>
  <c r="AJ24"/>
  <c r="AR24" s="1"/>
  <c r="AV24" s="1"/>
  <c r="AT24"/>
  <c r="AX24" s="1"/>
  <c r="V25"/>
  <c r="Y25"/>
  <c r="AC25"/>
  <c r="AF25" s="1"/>
  <c r="AJ25"/>
  <c r="AR25" s="1"/>
  <c r="AV25" s="1"/>
  <c r="AS25"/>
  <c r="AW25" s="1"/>
  <c r="V26"/>
  <c r="Y26"/>
  <c r="AC26"/>
  <c r="AF26" s="1"/>
  <c r="AJ26"/>
  <c r="AT26"/>
  <c r="AX26" s="1"/>
  <c r="V27"/>
  <c r="Y27"/>
  <c r="AC27"/>
  <c r="AF27" s="1"/>
  <c r="AJ27"/>
  <c r="AR27" s="1"/>
  <c r="AV27" s="1"/>
  <c r="AS27"/>
  <c r="AW27" s="1"/>
  <c r="V28"/>
  <c r="Y28"/>
  <c r="AC28"/>
  <c r="AF28" s="1"/>
  <c r="AJ28"/>
  <c r="AT28"/>
  <c r="V29"/>
  <c r="Y29"/>
  <c r="AC29"/>
  <c r="AF29" s="1"/>
  <c r="AJ29"/>
  <c r="AR29" s="1"/>
  <c r="AV29" s="1"/>
  <c r="AS29"/>
  <c r="AW29" s="1"/>
  <c r="V30"/>
  <c r="Y30"/>
  <c r="AC30"/>
  <c r="AF30" s="1"/>
  <c r="AJ30"/>
  <c r="AT30"/>
  <c r="AX30" s="1"/>
  <c r="V31"/>
  <c r="Y31"/>
  <c r="AC31"/>
  <c r="AF31" s="1"/>
  <c r="AJ31"/>
  <c r="AS31"/>
  <c r="AW31" s="1"/>
  <c r="V32"/>
  <c r="Y32"/>
  <c r="AC32"/>
  <c r="AF32" s="1"/>
  <c r="AJ32"/>
  <c r="AR32" s="1"/>
  <c r="AV32" s="1"/>
  <c r="AT32"/>
  <c r="AX32" s="1"/>
  <c r="C67"/>
  <c r="C68" s="1"/>
  <c r="V33"/>
  <c r="Y33"/>
  <c r="AC33"/>
  <c r="AF33" s="1"/>
  <c r="AJ33"/>
  <c r="AL33"/>
  <c r="AT33" s="1"/>
  <c r="AX33" s="1"/>
  <c r="AS33"/>
  <c r="V34"/>
  <c r="Y34"/>
  <c r="AC34"/>
  <c r="AJ34"/>
  <c r="AR34" s="1"/>
  <c r="AV34" s="1"/>
  <c r="AL34"/>
  <c r="AT34" s="1"/>
  <c r="AX34" s="1"/>
  <c r="V35"/>
  <c r="Y35"/>
  <c r="AC35"/>
  <c r="AF35" s="1"/>
  <c r="AJ35"/>
  <c r="AL35"/>
  <c r="AT35" s="1"/>
  <c r="AX35" s="1"/>
  <c r="AS35"/>
  <c r="AW35" s="1"/>
  <c r="V36"/>
  <c r="Y36"/>
  <c r="AC36"/>
  <c r="AF36" s="1"/>
  <c r="AJ36"/>
  <c r="AR36" s="1"/>
  <c r="AV36" s="1"/>
  <c r="AL36"/>
  <c r="AT36" s="1"/>
  <c r="AX36" s="1"/>
  <c r="V37"/>
  <c r="Y37"/>
  <c r="AC37"/>
  <c r="AF37" s="1"/>
  <c r="AJ37"/>
  <c r="AR37" s="1"/>
  <c r="AV37" s="1"/>
  <c r="AL37"/>
  <c r="AT37" s="1"/>
  <c r="AX37" s="1"/>
  <c r="AS37"/>
  <c r="V38"/>
  <c r="Y38"/>
  <c r="AC38"/>
  <c r="AJ38"/>
  <c r="AL38"/>
  <c r="AT38" s="1"/>
  <c r="AX38" s="1"/>
  <c r="V39"/>
  <c r="Y39"/>
  <c r="AC39"/>
  <c r="AF39" s="1"/>
  <c r="AJ39"/>
  <c r="AR39" s="1"/>
  <c r="AV39" s="1"/>
  <c r="AL39"/>
  <c r="AT39" s="1"/>
  <c r="AX39" s="1"/>
  <c r="AS39"/>
  <c r="AW39" s="1"/>
  <c r="V40"/>
  <c r="Y40"/>
  <c r="AC40"/>
  <c r="AF40" s="1"/>
  <c r="AJ40"/>
  <c r="AL40"/>
  <c r="AT40" s="1"/>
  <c r="AX40" s="1"/>
  <c r="V41"/>
  <c r="Y41"/>
  <c r="AC41"/>
  <c r="AF41" s="1"/>
  <c r="AJ41"/>
  <c r="AL41"/>
  <c r="AT41" s="1"/>
  <c r="AX41" s="1"/>
  <c r="AS41"/>
  <c r="V42"/>
  <c r="Y42"/>
  <c r="AC42"/>
  <c r="AF42" s="1"/>
  <c r="AJ42"/>
  <c r="AL42"/>
  <c r="AT42" s="1"/>
  <c r="AX42" s="1"/>
  <c r="V43"/>
  <c r="Y43"/>
  <c r="AC43"/>
  <c r="AF43" s="1"/>
  <c r="AJ43"/>
  <c r="AR43" s="1"/>
  <c r="AV43" s="1"/>
  <c r="AL43"/>
  <c r="AT43" s="1"/>
  <c r="AX43" s="1"/>
  <c r="AS43"/>
  <c r="AW43" s="1"/>
  <c r="V44"/>
  <c r="Y44"/>
  <c r="AC44"/>
  <c r="AF44" s="1"/>
  <c r="AJ44"/>
  <c r="AR44" s="1"/>
  <c r="AV44" s="1"/>
  <c r="AL44"/>
  <c r="AT44" s="1"/>
  <c r="AX44" s="1"/>
  <c r="V45"/>
  <c r="Y45"/>
  <c r="AC45"/>
  <c r="AF45" s="1"/>
  <c r="AJ45"/>
  <c r="AR45" s="1"/>
  <c r="AV45" s="1"/>
  <c r="AL45"/>
  <c r="AT45" s="1"/>
  <c r="AX45" s="1"/>
  <c r="AS45"/>
  <c r="V46"/>
  <c r="Y46"/>
  <c r="AC46"/>
  <c r="AJ46"/>
  <c r="AR46" s="1"/>
  <c r="AV46" s="1"/>
  <c r="AL46"/>
  <c r="AT46" s="1"/>
  <c r="AX46" s="1"/>
  <c r="V47"/>
  <c r="Y47"/>
  <c r="AC47"/>
  <c r="AF47" s="1"/>
  <c r="AJ47"/>
  <c r="AR47" s="1"/>
  <c r="AV47" s="1"/>
  <c r="AL47"/>
  <c r="AT47" s="1"/>
  <c r="AX47" s="1"/>
  <c r="AS47"/>
  <c r="AW47" s="1"/>
  <c r="V48"/>
  <c r="Y48"/>
  <c r="AC48"/>
  <c r="AF48" s="1"/>
  <c r="AJ48"/>
  <c r="AR48" s="1"/>
  <c r="AV48" s="1"/>
  <c r="AL48"/>
  <c r="AT48" s="1"/>
  <c r="AX48" s="1"/>
  <c r="V49"/>
  <c r="Y49"/>
  <c r="AC49"/>
  <c r="AF49" s="1"/>
  <c r="AJ49"/>
  <c r="AR49" s="1"/>
  <c r="AV49" s="1"/>
  <c r="AL49"/>
  <c r="AT49" s="1"/>
  <c r="AX49" s="1"/>
  <c r="AS49"/>
  <c r="V50"/>
  <c r="Y50"/>
  <c r="AC50"/>
  <c r="AF50" s="1"/>
  <c r="AJ50"/>
  <c r="AR50" s="1"/>
  <c r="AV50" s="1"/>
  <c r="AL50"/>
  <c r="AT50" s="1"/>
  <c r="AX50" s="1"/>
  <c r="V51"/>
  <c r="Y51"/>
  <c r="AC51"/>
  <c r="AF51" s="1"/>
  <c r="AJ51"/>
  <c r="AR51" s="1"/>
  <c r="AV51" s="1"/>
  <c r="AL51"/>
  <c r="AT51" s="1"/>
  <c r="AX51" s="1"/>
  <c r="AS51"/>
  <c r="AW51" s="1"/>
  <c r="V52"/>
  <c r="Y52"/>
  <c r="AC52"/>
  <c r="AF52" s="1"/>
  <c r="AJ52"/>
  <c r="AR52" s="1"/>
  <c r="AV52" s="1"/>
  <c r="AL52"/>
  <c r="AT52" s="1"/>
  <c r="AX52" s="1"/>
  <c r="V53"/>
  <c r="Y53"/>
  <c r="AC53"/>
  <c r="AF53" s="1"/>
  <c r="AJ53"/>
  <c r="AL53"/>
  <c r="AT53" s="1"/>
  <c r="AX53" s="1"/>
  <c r="AS53"/>
  <c r="V54"/>
  <c r="Y54"/>
  <c r="AC54"/>
  <c r="AF54" s="1"/>
  <c r="AJ54"/>
  <c r="AL54"/>
  <c r="AT54" s="1"/>
  <c r="AX54" s="1"/>
  <c r="J55"/>
  <c r="V58"/>
  <c r="Y58"/>
  <c r="AC58"/>
  <c r="AF58" s="1"/>
  <c r="AJ58"/>
  <c r="AL58"/>
  <c r="AT58" s="1"/>
  <c r="AX58" s="1"/>
  <c r="V59"/>
  <c r="Y59"/>
  <c r="AC59"/>
  <c r="AF59" s="1"/>
  <c r="AJ59"/>
  <c r="AL59"/>
  <c r="AT59" s="1"/>
  <c r="AX59" s="1"/>
  <c r="AS59"/>
  <c r="AW59" s="1"/>
  <c r="V60"/>
  <c r="Y60"/>
  <c r="AC60"/>
  <c r="AF60" s="1"/>
  <c r="AJ60"/>
  <c r="AL60"/>
  <c r="AT60" s="1"/>
  <c r="AX60" s="1"/>
  <c r="V61"/>
  <c r="Y61"/>
  <c r="AC61"/>
  <c r="AF61" s="1"/>
  <c r="AJ61"/>
  <c r="AL61"/>
  <c r="AT61" s="1"/>
  <c r="AX61" s="1"/>
  <c r="AS61"/>
  <c r="AW61" s="1"/>
  <c r="S62"/>
  <c r="X62" s="1"/>
  <c r="AW33"/>
  <c r="X33"/>
  <c r="AB33"/>
  <c r="AE33" s="1"/>
  <c r="AI33"/>
  <c r="AN33" s="1"/>
  <c r="X34"/>
  <c r="AB34"/>
  <c r="AE34" s="1"/>
  <c r="AI34"/>
  <c r="AN34" s="1"/>
  <c r="X35"/>
  <c r="AB35"/>
  <c r="AE35" s="1"/>
  <c r="AI35"/>
  <c r="AN35" s="1"/>
  <c r="X36"/>
  <c r="AB36"/>
  <c r="AE36" s="1"/>
  <c r="AI36"/>
  <c r="AN36" s="1"/>
  <c r="AW37"/>
  <c r="X37"/>
  <c r="AB37"/>
  <c r="AE37" s="1"/>
  <c r="AI37"/>
  <c r="AN37" s="1"/>
  <c r="X38"/>
  <c r="AB38"/>
  <c r="AE38" s="1"/>
  <c r="AI38"/>
  <c r="AN38" s="1"/>
  <c r="X39"/>
  <c r="AB39"/>
  <c r="AE39" s="1"/>
  <c r="AI39"/>
  <c r="AN39" s="1"/>
  <c r="X40"/>
  <c r="AB40"/>
  <c r="AI40"/>
  <c r="AN40" s="1"/>
  <c r="AW41"/>
  <c r="X41"/>
  <c r="AB41"/>
  <c r="AE41" s="1"/>
  <c r="AI41"/>
  <c r="AN41" s="1"/>
  <c r="X42"/>
  <c r="AB42"/>
  <c r="AE42" s="1"/>
  <c r="AI42"/>
  <c r="AN42" s="1"/>
  <c r="X43"/>
  <c r="AB43"/>
  <c r="AE43" s="1"/>
  <c r="AI43"/>
  <c r="AN43" s="1"/>
  <c r="X44"/>
  <c r="AB44"/>
  <c r="AE44" s="1"/>
  <c r="AI44"/>
  <c r="AN44" s="1"/>
  <c r="AW45"/>
  <c r="X45"/>
  <c r="AB45"/>
  <c r="AE45" s="1"/>
  <c r="AI45"/>
  <c r="AN45" s="1"/>
  <c r="X46"/>
  <c r="AB46"/>
  <c r="AE46" s="1"/>
  <c r="AI46"/>
  <c r="AN46" s="1"/>
  <c r="X47"/>
  <c r="AB47"/>
  <c r="AE47" s="1"/>
  <c r="AI47"/>
  <c r="AN47" s="1"/>
  <c r="X48"/>
  <c r="AB48"/>
  <c r="AE48" s="1"/>
  <c r="AI48"/>
  <c r="AN48" s="1"/>
  <c r="AW49"/>
  <c r="X49"/>
  <c r="AB49"/>
  <c r="AE49" s="1"/>
  <c r="AI49"/>
  <c r="AN49" s="1"/>
  <c r="X50"/>
  <c r="AB50"/>
  <c r="AE50" s="1"/>
  <c r="AI50"/>
  <c r="AN50" s="1"/>
  <c r="X51"/>
  <c r="AB51"/>
  <c r="AE51" s="1"/>
  <c r="AI51"/>
  <c r="AN51" s="1"/>
  <c r="X52"/>
  <c r="AB52"/>
  <c r="AE52" s="1"/>
  <c r="AI52"/>
  <c r="AN52" s="1"/>
  <c r="AW53"/>
  <c r="X53"/>
  <c r="AB53"/>
  <c r="AI53"/>
  <c r="AN53" s="1"/>
  <c r="X54"/>
  <c r="AB54"/>
  <c r="AE54" s="1"/>
  <c r="AI54"/>
  <c r="AN54" s="1"/>
  <c r="K55"/>
  <c r="U58"/>
  <c r="U62" s="1"/>
  <c r="X58"/>
  <c r="AB58"/>
  <c r="AE58" s="1"/>
  <c r="AI58"/>
  <c r="X59"/>
  <c r="AB59"/>
  <c r="AI59"/>
  <c r="AN59" s="1"/>
  <c r="X60"/>
  <c r="AB60"/>
  <c r="AE60" s="1"/>
  <c r="AI60"/>
  <c r="AN60" s="1"/>
  <c r="X61"/>
  <c r="AB61"/>
  <c r="AI61"/>
  <c r="AN61" s="1"/>
  <c r="AO66"/>
  <c r="AH2" i="1"/>
  <c r="AL2" s="1"/>
  <c r="AH3"/>
  <c r="AL3" s="1"/>
  <c r="AK4"/>
  <c r="AO4" s="1"/>
  <c r="AH5"/>
  <c r="AL5" s="1"/>
  <c r="AK6"/>
  <c r="AO6" s="1"/>
  <c r="AK7"/>
  <c r="AO7" s="1"/>
  <c r="AK8"/>
  <c r="AO8" s="1"/>
  <c r="AK10"/>
  <c r="AO10" s="1"/>
  <c r="AO11"/>
  <c r="AJ12"/>
  <c r="AN12" s="1"/>
  <c r="AK13"/>
  <c r="AO13" s="1"/>
  <c r="AJ14"/>
  <c r="AN14" s="1"/>
  <c r="AJ15"/>
  <c r="AN15" s="1"/>
  <c r="AK16"/>
  <c r="AO16" s="1"/>
  <c r="AJ17"/>
  <c r="AN17" s="1"/>
  <c r="AK18"/>
  <c r="AO18" s="1"/>
  <c r="AK19"/>
  <c r="AO19" s="1"/>
  <c r="AK20"/>
  <c r="AO20" s="1"/>
  <c r="AJ21"/>
  <c r="AN21" s="1"/>
  <c r="AK22"/>
  <c r="AO22" s="1"/>
  <c r="AK23"/>
  <c r="AO23" s="1"/>
  <c r="AJ24"/>
  <c r="AN24" s="1"/>
  <c r="AK25"/>
  <c r="AO25" s="1"/>
  <c r="AJ26"/>
  <c r="AN26" s="1"/>
  <c r="AK27"/>
  <c r="AO27" s="1"/>
  <c r="AK28"/>
  <c r="AO28" s="1"/>
  <c r="AK29"/>
  <c r="AO29" s="1"/>
  <c r="AK31"/>
  <c r="AO31" s="1"/>
  <c r="AK33"/>
  <c r="AO33" s="1"/>
  <c r="AH4"/>
  <c r="AL4" s="1"/>
  <c r="AH6"/>
  <c r="AL6" s="1"/>
  <c r="AH8"/>
  <c r="AL8" s="1"/>
  <c r="AX13" i="2"/>
  <c r="AX17"/>
  <c r="AX20"/>
  <c r="AJ35" i="1"/>
  <c r="AN35" s="1"/>
  <c r="AK36"/>
  <c r="AO36" s="1"/>
  <c r="AJ37"/>
  <c r="AN37" s="1"/>
  <c r="AK38"/>
  <c r="AO38" s="1"/>
  <c r="AJ39"/>
  <c r="AN39" s="1"/>
  <c r="AK40"/>
  <c r="AO40" s="1"/>
  <c r="AJ41"/>
  <c r="AN41" s="1"/>
  <c r="AK42"/>
  <c r="AO42" s="1"/>
  <c r="AK43"/>
  <c r="AO43" s="1"/>
  <c r="AJ44"/>
  <c r="AN44" s="1"/>
  <c r="AJ45"/>
  <c r="AN45" s="1"/>
  <c r="AJ47"/>
  <c r="AN47" s="1"/>
  <c r="AI48"/>
  <c r="AM48" s="1"/>
  <c r="AH50"/>
  <c r="AL50" s="1"/>
  <c r="AK51"/>
  <c r="AO51" s="1"/>
  <c r="AH52"/>
  <c r="AL52" s="1"/>
  <c r="AK53"/>
  <c r="AO53" s="1"/>
  <c r="AI54"/>
  <c r="AM54" s="1"/>
  <c r="AK55"/>
  <c r="AO55" s="1"/>
  <c r="AH56"/>
  <c r="AL56" s="1"/>
  <c r="AK60"/>
  <c r="AK61"/>
  <c r="AO61" s="1"/>
  <c r="AK63"/>
  <c r="AO63" s="1"/>
  <c r="AJ65"/>
  <c r="AN65" s="1"/>
  <c r="AK66"/>
  <c r="AO66" s="1"/>
  <c r="AK68"/>
  <c r="AO68" s="1"/>
  <c r="AK69"/>
  <c r="AO69" s="1"/>
  <c r="AJ70"/>
  <c r="AN70" s="1"/>
  <c r="AK72"/>
  <c r="AO72" s="1"/>
  <c r="AF2" i="2"/>
  <c r="AR2"/>
  <c r="AT2"/>
  <c r="AV2"/>
  <c r="AX2"/>
  <c r="AE3"/>
  <c r="AS3"/>
  <c r="AE5"/>
  <c r="AS5"/>
  <c r="AW5" s="1"/>
  <c r="AT6"/>
  <c r="AX6" s="1"/>
  <c r="AS7"/>
  <c r="AW7" s="1"/>
  <c r="AS9"/>
  <c r="AW9" s="1"/>
  <c r="AT10"/>
  <c r="AX10" s="1"/>
  <c r="AS11"/>
  <c r="AW11" s="1"/>
  <c r="AR12"/>
  <c r="AV12" s="1"/>
  <c r="AT12"/>
  <c r="AX12" s="1"/>
  <c r="AF14"/>
  <c r="AR14"/>
  <c r="AT14"/>
  <c r="AX14" s="1"/>
  <c r="AV14"/>
  <c r="AE15"/>
  <c r="AR16"/>
  <c r="AT16"/>
  <c r="AX16" s="1"/>
  <c r="AV16"/>
  <c r="AE18"/>
  <c r="AT19"/>
  <c r="AX19" s="1"/>
  <c r="AE21"/>
  <c r="AS21"/>
  <c r="AW21" s="1"/>
  <c r="AT21"/>
  <c r="AX21" s="1"/>
  <c r="AH46" i="1"/>
  <c r="AL46" s="1"/>
  <c r="AI49"/>
  <c r="AM49" s="1"/>
  <c r="AH51"/>
  <c r="AL51" s="1"/>
  <c r="AH53"/>
  <c r="AL53" s="1"/>
  <c r="AH55"/>
  <c r="AL55" s="1"/>
  <c r="AE2" i="2"/>
  <c r="AQ6"/>
  <c r="AU6" s="1"/>
  <c r="AF7"/>
  <c r="AF9"/>
  <c r="AF13"/>
  <c r="AF17"/>
  <c r="AR21"/>
  <c r="AV21" s="1"/>
  <c r="AX28"/>
  <c r="AG23" i="3"/>
  <c r="AQ22" i="2"/>
  <c r="AS22"/>
  <c r="AW22" s="1"/>
  <c r="AU22"/>
  <c r="AT23"/>
  <c r="AX23" s="1"/>
  <c r="AQ24"/>
  <c r="AS24"/>
  <c r="AW24" s="1"/>
  <c r="AU24"/>
  <c r="AT25"/>
  <c r="AX25" s="1"/>
  <c r="AQ26"/>
  <c r="AS26"/>
  <c r="AW26" s="1"/>
  <c r="AU26"/>
  <c r="AT27"/>
  <c r="AX27" s="1"/>
  <c r="AQ28"/>
  <c r="AS28"/>
  <c r="AW28" s="1"/>
  <c r="AU28"/>
  <c r="AT29"/>
  <c r="AX29" s="1"/>
  <c r="AQ30"/>
  <c r="AU30" s="1"/>
  <c r="AS30"/>
  <c r="AW30" s="1"/>
  <c r="AR31"/>
  <c r="AT31"/>
  <c r="AX31" s="1"/>
  <c r="AV31"/>
  <c r="AQ32"/>
  <c r="AS32"/>
  <c r="AW32" s="1"/>
  <c r="AU32"/>
  <c r="AR33"/>
  <c r="AV33" s="1"/>
  <c r="AS34"/>
  <c r="AW34" s="1"/>
  <c r="AR35"/>
  <c r="AV35" s="1"/>
  <c r="AQ36"/>
  <c r="AS36"/>
  <c r="AW36" s="1"/>
  <c r="AU36"/>
  <c r="AS38"/>
  <c r="AW38" s="1"/>
  <c r="AE40"/>
  <c r="AS40"/>
  <c r="AW40" s="1"/>
  <c r="AR41"/>
  <c r="AV41" s="1"/>
  <c r="AS42"/>
  <c r="AW42" s="1"/>
  <c r="AQ44"/>
  <c r="AS44"/>
  <c r="AW44" s="1"/>
  <c r="AU44"/>
  <c r="AS46"/>
  <c r="AW46" s="1"/>
  <c r="AS48"/>
  <c r="AW48" s="1"/>
  <c r="AS50"/>
  <c r="AW50" s="1"/>
  <c r="AQ52"/>
  <c r="AS52"/>
  <c r="AW52" s="1"/>
  <c r="AU52"/>
  <c r="AR53"/>
  <c r="AV53" s="1"/>
  <c r="AS54"/>
  <c r="AW54" s="1"/>
  <c r="AQ58"/>
  <c r="AS58"/>
  <c r="AU58"/>
  <c r="AW58"/>
  <c r="AQ60"/>
  <c r="AS60"/>
  <c r="AW60" s="1"/>
  <c r="AU60"/>
  <c r="N62"/>
  <c r="AG3" i="3"/>
  <c r="AU3"/>
  <c r="AF4"/>
  <c r="AT4"/>
  <c r="AX4" s="1"/>
  <c r="AU5"/>
  <c r="AY5" s="1"/>
  <c r="AT6"/>
  <c r="AX6" s="1"/>
  <c r="AS7"/>
  <c r="AW7" s="1"/>
  <c r="AU7"/>
  <c r="AY7" s="1"/>
  <c r="AR8"/>
  <c r="AT8"/>
  <c r="AX8" s="1"/>
  <c r="AV8"/>
  <c r="AU9"/>
  <c r="AY9" s="1"/>
  <c r="AT10"/>
  <c r="AX10" s="1"/>
  <c r="AF12"/>
  <c r="AT12"/>
  <c r="AX12" s="1"/>
  <c r="AT15"/>
  <c r="AT16" s="1"/>
  <c r="AT18"/>
  <c r="AX18" s="1"/>
  <c r="AS19"/>
  <c r="AW19" s="1"/>
  <c r="AT20"/>
  <c r="AX20" s="1"/>
  <c r="AG21"/>
  <c r="AS21"/>
  <c r="AU21"/>
  <c r="AY21" s="1"/>
  <c r="AW21"/>
  <c r="AR22"/>
  <c r="AT22"/>
  <c r="AX22" s="1"/>
  <c r="AV22"/>
  <c r="AQ23" i="2"/>
  <c r="AU23" s="1"/>
  <c r="AE25"/>
  <c r="AQ27"/>
  <c r="AU27" s="1"/>
  <c r="AR28"/>
  <c r="AV28" s="1"/>
  <c r="AQ31"/>
  <c r="AU31" s="1"/>
  <c r="AF34"/>
  <c r="AF38"/>
  <c r="AR38"/>
  <c r="AV38" s="1"/>
  <c r="AR40"/>
  <c r="AV40" s="1"/>
  <c r="AR42"/>
  <c r="AV42" s="1"/>
  <c r="AF46"/>
  <c r="AE53"/>
  <c r="AR54"/>
  <c r="AV54" s="1"/>
  <c r="AR58"/>
  <c r="AV58" s="1"/>
  <c r="AE59"/>
  <c r="AQ59"/>
  <c r="AU59" s="1"/>
  <c r="AE61"/>
  <c r="AQ61"/>
  <c r="AU61" s="1"/>
  <c r="AG2" i="3"/>
  <c r="AS2"/>
  <c r="AW2" s="1"/>
  <c r="AF3"/>
  <c r="AG4"/>
  <c r="AS6"/>
  <c r="AW6" s="1"/>
  <c r="AF7"/>
  <c r="AG8"/>
  <c r="AF9"/>
  <c r="AR9"/>
  <c r="AV9" s="1"/>
  <c r="AS10"/>
  <c r="AW10" s="1"/>
  <c r="AR11"/>
  <c r="AV11" s="1"/>
  <c r="AG12"/>
  <c r="AS12"/>
  <c r="AW12" s="1"/>
  <c r="AS15"/>
  <c r="AS16" s="1"/>
  <c r="AF19"/>
  <c r="AR19"/>
  <c r="AV19" s="1"/>
  <c r="AS20"/>
  <c r="AW20" s="1"/>
  <c r="AR21"/>
  <c r="AV21" s="1"/>
  <c r="AF23"/>
  <c r="J12" i="8"/>
  <c r="AT23" i="3"/>
  <c r="AX23" s="1"/>
  <c r="AU24"/>
  <c r="AY24" s="1"/>
  <c r="AF25"/>
  <c r="AR25"/>
  <c r="AV25" s="1"/>
  <c r="AT25"/>
  <c r="AX25" s="1"/>
  <c r="AG26"/>
  <c r="AU26"/>
  <c r="AY26" s="1"/>
  <c r="AF27"/>
  <c r="AT27"/>
  <c r="AX27" s="1"/>
  <c r="I12" i="8"/>
  <c r="G15"/>
  <c r="J15" s="1"/>
  <c r="AF2" i="4"/>
  <c r="AX20"/>
  <c r="AF26" i="3"/>
  <c r="AG27"/>
  <c r="AS27"/>
  <c r="AW27" s="1"/>
  <c r="F15" i="8"/>
  <c r="I15" s="1"/>
  <c r="AS2" i="4"/>
  <c r="AW2" s="1"/>
  <c r="AU3"/>
  <c r="AY3" s="1"/>
  <c r="AF4"/>
  <c r="AT4"/>
  <c r="AX4" s="1"/>
  <c r="AU5"/>
  <c r="AY5" s="1"/>
  <c r="AT6"/>
  <c r="AX6" s="1"/>
  <c r="AU7"/>
  <c r="AY7" s="1"/>
  <c r="AF8"/>
  <c r="AR8"/>
  <c r="AV8" s="1"/>
  <c r="AT8"/>
  <c r="AX8" s="1"/>
  <c r="AU9"/>
  <c r="AY9" s="1"/>
  <c r="AR10"/>
  <c r="AT10"/>
  <c r="AX10" s="1"/>
  <c r="AV10"/>
  <c r="AU11"/>
  <c r="AY11" s="1"/>
  <c r="AF12"/>
  <c r="AT12"/>
  <c r="AX12" s="1"/>
  <c r="AU13"/>
  <c r="AY13" s="1"/>
  <c r="AT14"/>
  <c r="AX14" s="1"/>
  <c r="AU15"/>
  <c r="AY15" s="1"/>
  <c r="AS17"/>
  <c r="AW17" s="1"/>
  <c r="AU17"/>
  <c r="AY17" s="1"/>
  <c r="AT18"/>
  <c r="AX18" s="1"/>
  <c r="AU19"/>
  <c r="AY19" s="1"/>
  <c r="AF20"/>
  <c r="AF21"/>
  <c r="AR21"/>
  <c r="AT21"/>
  <c r="AX21" s="1"/>
  <c r="AV21"/>
  <c r="AU22"/>
  <c r="AY22" s="1"/>
  <c r="AR23"/>
  <c r="AT23"/>
  <c r="AX23" s="1"/>
  <c r="AV23"/>
  <c r="AU24"/>
  <c r="AY24" s="1"/>
  <c r="AF25"/>
  <c r="AT25"/>
  <c r="AX25" s="1"/>
  <c r="AE2" i="6"/>
  <c r="AE3" s="1"/>
  <c r="AE5" s="1"/>
  <c r="AW2"/>
  <c r="AW3" s="1"/>
  <c r="AY2"/>
  <c r="AY3" s="1"/>
  <c r="N3"/>
  <c r="K4" s="1"/>
  <c r="AF4"/>
  <c r="F5" i="10"/>
  <c r="N5"/>
  <c r="AG4" i="4"/>
  <c r="AS4"/>
  <c r="AW4" s="1"/>
  <c r="AR5"/>
  <c r="AV5" s="1"/>
  <c r="AF7"/>
  <c r="AG8"/>
  <c r="AG10"/>
  <c r="AG12"/>
  <c r="AS12"/>
  <c r="AW12" s="1"/>
  <c r="AR13"/>
  <c r="AV13" s="1"/>
  <c r="AF15"/>
  <c r="AG16"/>
  <c r="AG18"/>
  <c r="AG21"/>
  <c r="AS21"/>
  <c r="AW21" s="1"/>
  <c r="AR22"/>
  <c r="AV22" s="1"/>
  <c r="AF24"/>
  <c r="AR24"/>
  <c r="AV24" s="1"/>
  <c r="AS25"/>
  <c r="AW25" s="1"/>
  <c r="AF2" i="6"/>
  <c r="AT2"/>
  <c r="AT3" s="1"/>
  <c r="AX4" s="1"/>
  <c r="E5" i="10"/>
  <c r="M5"/>
  <c r="M13" i="7" l="1"/>
  <c r="E14" i="8" s="1"/>
  <c r="H14" s="1"/>
  <c r="I13" i="7"/>
  <c r="B14" i="8" s="1"/>
  <c r="E13"/>
  <c r="G14"/>
  <c r="D14"/>
  <c r="D13" s="1"/>
  <c r="B13"/>
  <c r="C14"/>
  <c r="C13" s="1"/>
  <c r="AM3" i="6"/>
  <c r="AO2"/>
  <c r="AO3" s="1"/>
  <c r="AZ2"/>
  <c r="AZ3" s="1"/>
  <c r="AP2"/>
  <c r="AJ3"/>
  <c r="AB4"/>
  <c r="AE4" s="1"/>
  <c r="X3"/>
  <c r="X4" s="1"/>
  <c r="AK3"/>
  <c r="AN2"/>
  <c r="AN3" s="1"/>
  <c r="AQ2"/>
  <c r="AX2"/>
  <c r="AR3"/>
  <c r="AU4" s="1"/>
  <c r="AR25" i="4"/>
  <c r="AV25" s="1"/>
  <c r="AR14"/>
  <c r="AV14" s="1"/>
  <c r="AR12"/>
  <c r="AV12" s="1"/>
  <c r="AR6"/>
  <c r="AV6" s="1"/>
  <c r="AR4"/>
  <c r="AV4" s="1"/>
  <c r="AG15" i="3"/>
  <c r="AR3"/>
  <c r="AV3" s="1"/>
  <c r="AR4"/>
  <c r="AV4" s="1"/>
  <c r="L29"/>
  <c r="D30"/>
  <c r="AQ46" i="2"/>
  <c r="AU46" s="1"/>
  <c r="AY46" s="1"/>
  <c r="AQ19"/>
  <c r="AU19" s="1"/>
  <c r="AQ14"/>
  <c r="AU14" s="1"/>
  <c r="AK67"/>
  <c r="AR19" i="4"/>
  <c r="AV19" s="1"/>
  <c r="AR17"/>
  <c r="AV17" s="1"/>
  <c r="AR15"/>
  <c r="AV15" s="1"/>
  <c r="AR11"/>
  <c r="AV11" s="1"/>
  <c r="AR9"/>
  <c r="AV9" s="1"/>
  <c r="AZ9" s="1"/>
  <c r="AR7"/>
  <c r="AV7" s="1"/>
  <c r="AR3"/>
  <c r="AV3" s="1"/>
  <c r="AR18"/>
  <c r="AV18" s="1"/>
  <c r="AT2"/>
  <c r="AX2" s="1"/>
  <c r="AX26" s="1"/>
  <c r="H29" i="3"/>
  <c r="N29"/>
  <c r="K30" s="1"/>
  <c r="AR26"/>
  <c r="AV26" s="1"/>
  <c r="AR23"/>
  <c r="AV23" s="1"/>
  <c r="AR7"/>
  <c r="AV7" s="1"/>
  <c r="AR20"/>
  <c r="AV20" s="1"/>
  <c r="AZ20" s="1"/>
  <c r="AF15"/>
  <c r="AF16" s="1"/>
  <c r="AR10"/>
  <c r="AV10" s="1"/>
  <c r="AR12"/>
  <c r="AV12" s="1"/>
  <c r="AL29"/>
  <c r="I29"/>
  <c r="AM28"/>
  <c r="O29"/>
  <c r="L30" s="1"/>
  <c r="AQ51" i="2"/>
  <c r="AU51" s="1"/>
  <c r="AQ48"/>
  <c r="AU48" s="1"/>
  <c r="AQ40"/>
  <c r="AU40" s="1"/>
  <c r="AQ38"/>
  <c r="AU38" s="1"/>
  <c r="AY38" s="1"/>
  <c r="AQ47"/>
  <c r="AU47" s="1"/>
  <c r="AQ35"/>
  <c r="AU35" s="1"/>
  <c r="N67"/>
  <c r="K68" s="1"/>
  <c r="AQ50"/>
  <c r="AU50" s="1"/>
  <c r="AY50" s="1"/>
  <c r="AQ10"/>
  <c r="AU10" s="1"/>
  <c r="AQ11"/>
  <c r="AU11" s="1"/>
  <c r="AY11" s="1"/>
  <c r="AQ9"/>
  <c r="AU9" s="1"/>
  <c r="AQ5"/>
  <c r="AU5" s="1"/>
  <c r="T67"/>
  <c r="Y67" s="1"/>
  <c r="AQ43"/>
  <c r="AU43" s="1"/>
  <c r="AY43" s="1"/>
  <c r="AQ39"/>
  <c r="AU39" s="1"/>
  <c r="AQ54"/>
  <c r="AU54" s="1"/>
  <c r="AY54" s="1"/>
  <c r="AQ42"/>
  <c r="AU42" s="1"/>
  <c r="AY42" s="1"/>
  <c r="AQ34"/>
  <c r="AU34" s="1"/>
  <c r="AY34" s="1"/>
  <c r="AD61" i="1"/>
  <c r="I76"/>
  <c r="O75"/>
  <c r="R75" s="1"/>
  <c r="AI62"/>
  <c r="AM62" s="1"/>
  <c r="AR62" s="1"/>
  <c r="AH30"/>
  <c r="AL30" s="1"/>
  <c r="AH66"/>
  <c r="AL66" s="1"/>
  <c r="AH48"/>
  <c r="AL48" s="1"/>
  <c r="AP48" s="1"/>
  <c r="AI63"/>
  <c r="AM63" s="1"/>
  <c r="AR63" s="1"/>
  <c r="AQ15"/>
  <c r="X33"/>
  <c r="X31"/>
  <c r="D76"/>
  <c r="AI64"/>
  <c r="AM64" s="1"/>
  <c r="AR64" s="1"/>
  <c r="AH36"/>
  <c r="AL36" s="1"/>
  <c r="AH44"/>
  <c r="AL44" s="1"/>
  <c r="AI24"/>
  <c r="AM24" s="1"/>
  <c r="AH10"/>
  <c r="AL10" s="1"/>
  <c r="AH63"/>
  <c r="AL63" s="1"/>
  <c r="AH60"/>
  <c r="AL60" s="1"/>
  <c r="AP60" s="1"/>
  <c r="AH40"/>
  <c r="AL40" s="1"/>
  <c r="AP40" s="1"/>
  <c r="AH73"/>
  <c r="AL73" s="1"/>
  <c r="AH71"/>
  <c r="AL71" s="1"/>
  <c r="AH62"/>
  <c r="AL62" s="1"/>
  <c r="AH23"/>
  <c r="AL23" s="1"/>
  <c r="AD68"/>
  <c r="AH67"/>
  <c r="AL67" s="1"/>
  <c r="AH42"/>
  <c r="AL42" s="1"/>
  <c r="AP42" s="1"/>
  <c r="AH38"/>
  <c r="AL38" s="1"/>
  <c r="AP38" s="1"/>
  <c r="AH27"/>
  <c r="AL27" s="1"/>
  <c r="AH13"/>
  <c r="AL13" s="1"/>
  <c r="AP13" s="1"/>
  <c r="AQ26"/>
  <c r="AH69"/>
  <c r="AL69" s="1"/>
  <c r="AP69" s="1"/>
  <c r="AH61"/>
  <c r="AL61" s="1"/>
  <c r="AH43"/>
  <c r="AL43" s="1"/>
  <c r="AH70"/>
  <c r="AL70" s="1"/>
  <c r="AP70" s="1"/>
  <c r="AI66"/>
  <c r="AM66" s="1"/>
  <c r="AR66" s="1"/>
  <c r="AH64"/>
  <c r="AL64" s="1"/>
  <c r="AI61"/>
  <c r="AM61" s="1"/>
  <c r="AR61" s="1"/>
  <c r="AI43"/>
  <c r="AM43" s="1"/>
  <c r="AR43" s="1"/>
  <c r="AQ35"/>
  <c r="AI10"/>
  <c r="AM10" s="1"/>
  <c r="AP10" s="1"/>
  <c r="AH49"/>
  <c r="AL49" s="1"/>
  <c r="AP49" s="1"/>
  <c r="AD66"/>
  <c r="AD63"/>
  <c r="I75"/>
  <c r="K6" i="8"/>
  <c r="AQ71" i="1"/>
  <c r="AI44"/>
  <c r="AM44" s="1"/>
  <c r="AR44" s="1"/>
  <c r="AI72"/>
  <c r="AM72" s="1"/>
  <c r="AR72" s="1"/>
  <c r="AI68"/>
  <c r="AM68" s="1"/>
  <c r="AH59"/>
  <c r="AL59" s="1"/>
  <c r="AP59" s="1"/>
  <c r="AI34"/>
  <c r="AM34" s="1"/>
  <c r="AR34" s="1"/>
  <c r="AH25"/>
  <c r="AL25" s="1"/>
  <c r="AH22"/>
  <c r="AL22" s="1"/>
  <c r="AP22" s="1"/>
  <c r="AH20"/>
  <c r="AL20" s="1"/>
  <c r="AP20" s="1"/>
  <c r="AH19"/>
  <c r="AL19" s="1"/>
  <c r="AH18"/>
  <c r="AL18" s="1"/>
  <c r="AP18" s="1"/>
  <c r="AI15"/>
  <c r="AM15" s="1"/>
  <c r="AR15" s="1"/>
  <c r="AH26"/>
  <c r="AL26" s="1"/>
  <c r="AQ24"/>
  <c r="AH15"/>
  <c r="AL15" s="1"/>
  <c r="K5" i="8"/>
  <c r="L5" s="1"/>
  <c r="AH7" i="1"/>
  <c r="AL7" s="1"/>
  <c r="AH34"/>
  <c r="AL34" s="1"/>
  <c r="AH32"/>
  <c r="AL32" s="1"/>
  <c r="AD72"/>
  <c r="AE65"/>
  <c r="T74"/>
  <c r="AK59"/>
  <c r="AO59" s="1"/>
  <c r="AQ59" s="1"/>
  <c r="AD27"/>
  <c r="AD26"/>
  <c r="AF11"/>
  <c r="AQ37"/>
  <c r="AI73"/>
  <c r="AM73" s="1"/>
  <c r="AR73" s="1"/>
  <c r="AH72"/>
  <c r="AL72" s="1"/>
  <c r="AI71"/>
  <c r="AM71" s="1"/>
  <c r="AP71" s="1"/>
  <c r="AH68"/>
  <c r="AL68" s="1"/>
  <c r="AI67"/>
  <c r="AM67" s="1"/>
  <c r="AP67" s="1"/>
  <c r="AH54"/>
  <c r="AL54" s="1"/>
  <c r="AP54" s="1"/>
  <c r="AQ51"/>
  <c r="AH45"/>
  <c r="AL45" s="1"/>
  <c r="AP45" s="1"/>
  <c r="AH41"/>
  <c r="AL41" s="1"/>
  <c r="AP41" s="1"/>
  <c r="AH39"/>
  <c r="AL39" s="1"/>
  <c r="AP39" s="1"/>
  <c r="AH37"/>
  <c r="AL37" s="1"/>
  <c r="AP37" s="1"/>
  <c r="AH35"/>
  <c r="AL35" s="1"/>
  <c r="AP35" s="1"/>
  <c r="AH33"/>
  <c r="AL33" s="1"/>
  <c r="AI32"/>
  <c r="AM32" s="1"/>
  <c r="AP32" s="1"/>
  <c r="AH31"/>
  <c r="AL31" s="1"/>
  <c r="AI30"/>
  <c r="AM30" s="1"/>
  <c r="AP30" s="1"/>
  <c r="AH29"/>
  <c r="AL29" s="1"/>
  <c r="AH28"/>
  <c r="AL28" s="1"/>
  <c r="AP28" s="1"/>
  <c r="AI26"/>
  <c r="AM26" s="1"/>
  <c r="AR26" s="1"/>
  <c r="AI33"/>
  <c r="AM33" s="1"/>
  <c r="AR33" s="1"/>
  <c r="AI31"/>
  <c r="AM31" s="1"/>
  <c r="AP31" s="1"/>
  <c r="AI29"/>
  <c r="AM29" s="1"/>
  <c r="AR29" s="1"/>
  <c r="AI27"/>
  <c r="AM27" s="1"/>
  <c r="AR27" s="1"/>
  <c r="AI25"/>
  <c r="AM25" s="1"/>
  <c r="AP25" s="1"/>
  <c r="AH24"/>
  <c r="AL24" s="1"/>
  <c r="AI23"/>
  <c r="AM23" s="1"/>
  <c r="AR23" s="1"/>
  <c r="AH21"/>
  <c r="AL21" s="1"/>
  <c r="AP21" s="1"/>
  <c r="AI19"/>
  <c r="AM19" s="1"/>
  <c r="AR19" s="1"/>
  <c r="AH17"/>
  <c r="AL17" s="1"/>
  <c r="AP17" s="1"/>
  <c r="AI16"/>
  <c r="AM16" s="1"/>
  <c r="AR16" s="1"/>
  <c r="AH14"/>
  <c r="AL14" s="1"/>
  <c r="AP14" s="1"/>
  <c r="AH12"/>
  <c r="AL12" s="1"/>
  <c r="AP12" s="1"/>
  <c r="AQ11"/>
  <c r="X11"/>
  <c r="AI7"/>
  <c r="AM7" s="1"/>
  <c r="AD73"/>
  <c r="AD71"/>
  <c r="AD67"/>
  <c r="AD64"/>
  <c r="AD62"/>
  <c r="AD48"/>
  <c r="AD19"/>
  <c r="AH16"/>
  <c r="AL16" s="1"/>
  <c r="AD11"/>
  <c r="AD7"/>
  <c r="AC57"/>
  <c r="AQ63"/>
  <c r="AQ22"/>
  <c r="AQ4"/>
  <c r="AB57"/>
  <c r="AD32"/>
  <c r="AD31"/>
  <c r="AD30"/>
  <c r="AD29"/>
  <c r="AD16"/>
  <c r="AD15"/>
  <c r="I77"/>
  <c r="AH47"/>
  <c r="AL47" s="1"/>
  <c r="AP47" s="1"/>
  <c r="AQ68"/>
  <c r="AQ40"/>
  <c r="AB74"/>
  <c r="AD44"/>
  <c r="AD43"/>
  <c r="T57"/>
  <c r="H75"/>
  <c r="J76"/>
  <c r="AF69"/>
  <c r="AD69"/>
  <c r="AF60"/>
  <c r="AD60"/>
  <c r="AA74"/>
  <c r="AF74" s="1"/>
  <c r="AF59"/>
  <c r="AD59"/>
  <c r="AF56"/>
  <c r="AD56"/>
  <c r="AF53"/>
  <c r="AD53"/>
  <c r="AF52"/>
  <c r="AD52"/>
  <c r="AF42"/>
  <c r="AD42"/>
  <c r="AF41"/>
  <c r="AD41"/>
  <c r="AF38"/>
  <c r="AD38"/>
  <c r="AF37"/>
  <c r="AD37"/>
  <c r="AF28"/>
  <c r="AD28"/>
  <c r="AF20"/>
  <c r="AD20"/>
  <c r="AF18"/>
  <c r="AD18"/>
  <c r="AF17"/>
  <c r="AD17"/>
  <c r="AF13"/>
  <c r="AD13"/>
  <c r="AF12"/>
  <c r="AD12"/>
  <c r="AH11"/>
  <c r="AL11" s="1"/>
  <c r="AP11" s="1"/>
  <c r="AE11"/>
  <c r="AF8"/>
  <c r="AD8"/>
  <c r="AF6"/>
  <c r="AD6"/>
  <c r="AF5"/>
  <c r="AD5"/>
  <c r="AA57"/>
  <c r="AF2"/>
  <c r="AD2"/>
  <c r="AD47"/>
  <c r="AF47"/>
  <c r="AQ64"/>
  <c r="AQ62"/>
  <c r="AQ61"/>
  <c r="AQ48"/>
  <c r="AQ47"/>
  <c r="AQ10"/>
  <c r="AD25"/>
  <c r="AD24"/>
  <c r="AD23"/>
  <c r="AD10"/>
  <c r="N75"/>
  <c r="Q75" s="1"/>
  <c r="AF70"/>
  <c r="AD70"/>
  <c r="AF65"/>
  <c r="AD65"/>
  <c r="AF55"/>
  <c r="AD55"/>
  <c r="AF51"/>
  <c r="AD51"/>
  <c r="AF50"/>
  <c r="AD50"/>
  <c r="AF45"/>
  <c r="AD45"/>
  <c r="AF40"/>
  <c r="AD40"/>
  <c r="AF39"/>
  <c r="AD39"/>
  <c r="AF36"/>
  <c r="AD36"/>
  <c r="AF35"/>
  <c r="AD35"/>
  <c r="AF22"/>
  <c r="AD22"/>
  <c r="AF21"/>
  <c r="AD21"/>
  <c r="AF14"/>
  <c r="AD14"/>
  <c r="AF9"/>
  <c r="AD9"/>
  <c r="AF4"/>
  <c r="AD4"/>
  <c r="AF3"/>
  <c r="AD3"/>
  <c r="AD46"/>
  <c r="AF46"/>
  <c r="AQ73"/>
  <c r="AQ72"/>
  <c r="AQ69"/>
  <c r="AQ67"/>
  <c r="AQ66"/>
  <c r="AQ55"/>
  <c r="AQ54"/>
  <c r="AQ53"/>
  <c r="AQ46"/>
  <c r="AQ45"/>
  <c r="AQ43"/>
  <c r="AQ42"/>
  <c r="AQ41"/>
  <c r="AQ39"/>
  <c r="AQ38"/>
  <c r="AQ36"/>
  <c r="AQ33"/>
  <c r="AQ31"/>
  <c r="AQ29"/>
  <c r="AQ28"/>
  <c r="AQ27"/>
  <c r="AQ25"/>
  <c r="AQ23"/>
  <c r="AQ20"/>
  <c r="AQ19"/>
  <c r="AQ18"/>
  <c r="AQ16"/>
  <c r="AQ13"/>
  <c r="AQ8"/>
  <c r="AQ7"/>
  <c r="AQ6"/>
  <c r="AQ5"/>
  <c r="AQ3"/>
  <c r="U74"/>
  <c r="P74"/>
  <c r="Z74"/>
  <c r="AE74" s="1"/>
  <c r="AD34"/>
  <c r="AD33"/>
  <c r="AC75"/>
  <c r="U57"/>
  <c r="U75" s="1"/>
  <c r="R76" s="1"/>
  <c r="P57"/>
  <c r="P75" s="1"/>
  <c r="J75"/>
  <c r="H76" s="1"/>
  <c r="Z57"/>
  <c r="AX15" i="3"/>
  <c r="AX16" s="1"/>
  <c r="AK74" i="1"/>
  <c r="AQ30"/>
  <c r="AQ32"/>
  <c r="M67" i="2"/>
  <c r="J68" s="1"/>
  <c r="V26" i="4"/>
  <c r="AR20"/>
  <c r="AV20" s="1"/>
  <c r="AH20"/>
  <c r="AP19"/>
  <c r="AN19"/>
  <c r="AP17"/>
  <c r="AN17"/>
  <c r="AN25"/>
  <c r="AP25"/>
  <c r="AN23"/>
  <c r="AP23"/>
  <c r="AN21"/>
  <c r="AP21"/>
  <c r="AC26"/>
  <c r="AM26"/>
  <c r="AD26"/>
  <c r="W26"/>
  <c r="AP24"/>
  <c r="AN24"/>
  <c r="AP22"/>
  <c r="AN22"/>
  <c r="AO16"/>
  <c r="AR16"/>
  <c r="AV16" s="1"/>
  <c r="AZ16" s="1"/>
  <c r="AP15"/>
  <c r="AN15"/>
  <c r="AP13"/>
  <c r="AN13"/>
  <c r="AP11"/>
  <c r="AN11"/>
  <c r="AP9"/>
  <c r="AN9"/>
  <c r="AP7"/>
  <c r="AN7"/>
  <c r="AP5"/>
  <c r="AN5"/>
  <c r="AP3"/>
  <c r="AN3"/>
  <c r="AO2"/>
  <c r="AJ26"/>
  <c r="AD27"/>
  <c r="AG27" s="1"/>
  <c r="AI27" s="1"/>
  <c r="Z26"/>
  <c r="AP20"/>
  <c r="AN18"/>
  <c r="AP18"/>
  <c r="AN16"/>
  <c r="AP16"/>
  <c r="AN14"/>
  <c r="AP14"/>
  <c r="AN12"/>
  <c r="AP12"/>
  <c r="AN10"/>
  <c r="AP10"/>
  <c r="AN8"/>
  <c r="AP8"/>
  <c r="AN6"/>
  <c r="AP6"/>
  <c r="AN4"/>
  <c r="AP4"/>
  <c r="AK26"/>
  <c r="AN2"/>
  <c r="AP2"/>
  <c r="Y27"/>
  <c r="AW15" i="3"/>
  <c r="AW16" s="1"/>
  <c r="BB16" s="1"/>
  <c r="T29"/>
  <c r="AP26"/>
  <c r="AN26"/>
  <c r="AP24"/>
  <c r="AN24"/>
  <c r="AP22"/>
  <c r="AN22"/>
  <c r="AO15"/>
  <c r="AJ16"/>
  <c r="AO16" s="1"/>
  <c r="AP8"/>
  <c r="AN8"/>
  <c r="AP5"/>
  <c r="AN5"/>
  <c r="N30"/>
  <c r="K29"/>
  <c r="AN27"/>
  <c r="AP27"/>
  <c r="AN25"/>
  <c r="AP25"/>
  <c r="AN23"/>
  <c r="AP23"/>
  <c r="AN21"/>
  <c r="AP21"/>
  <c r="AN19"/>
  <c r="AP19"/>
  <c r="AJ28"/>
  <c r="AO28" s="1"/>
  <c r="AO18"/>
  <c r="AN9"/>
  <c r="AP9"/>
  <c r="AN2"/>
  <c r="AK13"/>
  <c r="AP2"/>
  <c r="AC30"/>
  <c r="Y29"/>
  <c r="AP20"/>
  <c r="AN20"/>
  <c r="AP18"/>
  <c r="AK28"/>
  <c r="AP28" s="1"/>
  <c r="AN18"/>
  <c r="AP12"/>
  <c r="AN12"/>
  <c r="AP10"/>
  <c r="AN10"/>
  <c r="AP3"/>
  <c r="AN3"/>
  <c r="AJ13"/>
  <c r="AO2"/>
  <c r="AK16"/>
  <c r="AP16" s="1"/>
  <c r="AN15"/>
  <c r="AN16" s="1"/>
  <c r="AP15"/>
  <c r="AN11"/>
  <c r="AP11"/>
  <c r="AN7"/>
  <c r="AP7"/>
  <c r="AN6"/>
  <c r="AP6"/>
  <c r="AN4"/>
  <c r="AP4"/>
  <c r="AU13"/>
  <c r="AD28"/>
  <c r="W28"/>
  <c r="AC13"/>
  <c r="V13"/>
  <c r="AR15"/>
  <c r="AS25"/>
  <c r="AW25" s="1"/>
  <c r="AR24"/>
  <c r="AV24" s="1"/>
  <c r="AS23"/>
  <c r="AW23" s="1"/>
  <c r="BA23" s="1"/>
  <c r="AR27"/>
  <c r="AV27" s="1"/>
  <c r="AZ27" s="1"/>
  <c r="AS26"/>
  <c r="AW26" s="1"/>
  <c r="AS24"/>
  <c r="AW24" s="1"/>
  <c r="AZ24" s="1"/>
  <c r="AS22"/>
  <c r="AW22" s="1"/>
  <c r="BB22" s="1"/>
  <c r="AS8"/>
  <c r="AW8" s="1"/>
  <c r="BA8" s="1"/>
  <c r="AR5"/>
  <c r="AV5" s="1"/>
  <c r="AU28"/>
  <c r="AR18"/>
  <c r="AV18" s="1"/>
  <c r="AS5"/>
  <c r="AW5" s="1"/>
  <c r="AT2"/>
  <c r="AX2" s="1"/>
  <c r="AF2"/>
  <c r="AF13" s="1"/>
  <c r="AU15"/>
  <c r="AC28"/>
  <c r="V28"/>
  <c r="AM13"/>
  <c r="AM29" s="1"/>
  <c r="AD13"/>
  <c r="W13"/>
  <c r="W29" s="1"/>
  <c r="U29"/>
  <c r="AR6"/>
  <c r="AV6" s="1"/>
  <c r="AZ6" s="1"/>
  <c r="S67" i="2"/>
  <c r="X67" s="1"/>
  <c r="AS2"/>
  <c r="AW2" s="1"/>
  <c r="AW66"/>
  <c r="AS66"/>
  <c r="AI62"/>
  <c r="AN62" s="1"/>
  <c r="AN58"/>
  <c r="AT66"/>
  <c r="AX66"/>
  <c r="AO61"/>
  <c r="AM61"/>
  <c r="AO60"/>
  <c r="AM60"/>
  <c r="AO59"/>
  <c r="AM59"/>
  <c r="AJ62"/>
  <c r="AO62" s="1"/>
  <c r="AO58"/>
  <c r="AM58"/>
  <c r="AO32"/>
  <c r="AM32"/>
  <c r="AO30"/>
  <c r="AM30"/>
  <c r="AO28"/>
  <c r="AM28"/>
  <c r="AO26"/>
  <c r="AM26"/>
  <c r="AO24"/>
  <c r="AM24"/>
  <c r="AO22"/>
  <c r="AM22"/>
  <c r="AO20"/>
  <c r="AM20"/>
  <c r="AO18"/>
  <c r="AM18"/>
  <c r="AI55"/>
  <c r="AN2"/>
  <c r="AN20"/>
  <c r="AQ20"/>
  <c r="AU20" s="1"/>
  <c r="AN18"/>
  <c r="AQ18"/>
  <c r="AU18" s="1"/>
  <c r="AY18" s="1"/>
  <c r="AO17"/>
  <c r="AM17"/>
  <c r="AO15"/>
  <c r="AM15"/>
  <c r="AO13"/>
  <c r="AM13"/>
  <c r="AO11"/>
  <c r="AM11"/>
  <c r="AO10"/>
  <c r="AM10"/>
  <c r="AO9"/>
  <c r="AM9"/>
  <c r="AO8"/>
  <c r="AM8"/>
  <c r="AO7"/>
  <c r="AM7"/>
  <c r="AO6"/>
  <c r="AM6"/>
  <c r="AO5"/>
  <c r="AM5"/>
  <c r="AO4"/>
  <c r="AM4"/>
  <c r="AO3"/>
  <c r="AM3"/>
  <c r="AJ55"/>
  <c r="AO2"/>
  <c r="AM2"/>
  <c r="AO54"/>
  <c r="AM54"/>
  <c r="AO53"/>
  <c r="AM53"/>
  <c r="AO52"/>
  <c r="AM52"/>
  <c r="AO51"/>
  <c r="AM51"/>
  <c r="AO50"/>
  <c r="AM50"/>
  <c r="AO49"/>
  <c r="AM49"/>
  <c r="AO48"/>
  <c r="AM48"/>
  <c r="AO47"/>
  <c r="AM47"/>
  <c r="AO46"/>
  <c r="AM46"/>
  <c r="AO45"/>
  <c r="AM45"/>
  <c r="AO44"/>
  <c r="AM44"/>
  <c r="AO43"/>
  <c r="AM43"/>
  <c r="AO42"/>
  <c r="AM42"/>
  <c r="AO41"/>
  <c r="AM41"/>
  <c r="AO40"/>
  <c r="AM40"/>
  <c r="AO39"/>
  <c r="AM39"/>
  <c r="AO38"/>
  <c r="AM38"/>
  <c r="AO37"/>
  <c r="AM37"/>
  <c r="AO36"/>
  <c r="AM36"/>
  <c r="AO35"/>
  <c r="AM35"/>
  <c r="AO34"/>
  <c r="AM34"/>
  <c r="AO33"/>
  <c r="AM33"/>
  <c r="AO31"/>
  <c r="AM31"/>
  <c r="AO29"/>
  <c r="AM29"/>
  <c r="AO27"/>
  <c r="AM27"/>
  <c r="AO25"/>
  <c r="AM25"/>
  <c r="AO23"/>
  <c r="AM23"/>
  <c r="AO19"/>
  <c r="AM19"/>
  <c r="AQ17"/>
  <c r="AU17" s="1"/>
  <c r="AN17"/>
  <c r="AQ15"/>
  <c r="AU15" s="1"/>
  <c r="AY15" s="1"/>
  <c r="AN15"/>
  <c r="AQ13"/>
  <c r="AU13" s="1"/>
  <c r="AN13"/>
  <c r="AO21"/>
  <c r="AM21"/>
  <c r="AO16"/>
  <c r="AM16"/>
  <c r="AO14"/>
  <c r="AM14"/>
  <c r="AO12"/>
  <c r="AM12"/>
  <c r="K67"/>
  <c r="J67"/>
  <c r="AQ21"/>
  <c r="AU21" s="1"/>
  <c r="AR60"/>
  <c r="AV60" s="1"/>
  <c r="BA60" s="1"/>
  <c r="AQ53"/>
  <c r="AU53" s="1"/>
  <c r="AY53" s="1"/>
  <c r="AQ49"/>
  <c r="AU49" s="1"/>
  <c r="AY49" s="1"/>
  <c r="AQ45"/>
  <c r="AU45" s="1"/>
  <c r="AY45" s="1"/>
  <c r="AQ41"/>
  <c r="AU41" s="1"/>
  <c r="AY41" s="1"/>
  <c r="AQ37"/>
  <c r="AU37" s="1"/>
  <c r="AY37" s="1"/>
  <c r="AQ33"/>
  <c r="AU33" s="1"/>
  <c r="AR30"/>
  <c r="AV30" s="1"/>
  <c r="BA30" s="1"/>
  <c r="AQ29"/>
  <c r="AU29" s="1"/>
  <c r="AR26"/>
  <c r="AV26" s="1"/>
  <c r="BA26" s="1"/>
  <c r="AQ25"/>
  <c r="AU25" s="1"/>
  <c r="AR22"/>
  <c r="AV22" s="1"/>
  <c r="BA22" s="1"/>
  <c r="AR61"/>
  <c r="AV61" s="1"/>
  <c r="BA61" s="1"/>
  <c r="AR59"/>
  <c r="AV59" s="1"/>
  <c r="AS62"/>
  <c r="AW63" s="1"/>
  <c r="D8" i="8" s="1"/>
  <c r="AR20" i="2"/>
  <c r="AV20" s="1"/>
  <c r="BA20" s="1"/>
  <c r="AR17"/>
  <c r="AV17" s="1"/>
  <c r="AZ17" s="1"/>
  <c r="AQ16"/>
  <c r="AU16" s="1"/>
  <c r="AY16" s="1"/>
  <c r="AR13"/>
  <c r="AV13" s="1"/>
  <c r="AZ13" s="1"/>
  <c r="AQ12"/>
  <c r="AU12" s="1"/>
  <c r="AY12" s="1"/>
  <c r="AR9"/>
  <c r="AV9" s="1"/>
  <c r="AZ9" s="1"/>
  <c r="AQ8"/>
  <c r="AU8" s="1"/>
  <c r="AR5"/>
  <c r="AV5" s="1"/>
  <c r="AZ5" s="1"/>
  <c r="AQ4"/>
  <c r="AU4" s="1"/>
  <c r="AR10"/>
  <c r="AV10" s="1"/>
  <c r="AZ10" s="1"/>
  <c r="AR8"/>
  <c r="AV8" s="1"/>
  <c r="BA8" s="1"/>
  <c r="AQ7"/>
  <c r="AU7" s="1"/>
  <c r="AR6"/>
  <c r="AV6" s="1"/>
  <c r="AY6" s="1"/>
  <c r="AR4"/>
  <c r="AV4" s="1"/>
  <c r="AQ3"/>
  <c r="AU3" s="1"/>
  <c r="AY3" s="1"/>
  <c r="AB62"/>
  <c r="AL62"/>
  <c r="AC62"/>
  <c r="V62"/>
  <c r="AB55"/>
  <c r="AB67" s="1"/>
  <c r="U55"/>
  <c r="U67" s="1"/>
  <c r="AL55"/>
  <c r="AC55"/>
  <c r="V55"/>
  <c r="BA20" i="3"/>
  <c r="BB20"/>
  <c r="BA10"/>
  <c r="BB10"/>
  <c r="AZ10"/>
  <c r="BA6"/>
  <c r="BB6"/>
  <c r="AZ58" i="2"/>
  <c r="BA58"/>
  <c r="AY58"/>
  <c r="AZ18"/>
  <c r="BA18"/>
  <c r="AR65" i="1"/>
  <c r="AP65"/>
  <c r="AR50"/>
  <c r="AP50"/>
  <c r="AR24"/>
  <c r="AR9"/>
  <c r="AP9"/>
  <c r="BA2" i="4"/>
  <c r="AW26"/>
  <c r="BB2"/>
  <c r="AZ2"/>
  <c r="BB23" i="3"/>
  <c r="BA22"/>
  <c r="AZ22"/>
  <c r="BA12"/>
  <c r="BB12"/>
  <c r="AZ12"/>
  <c r="BB8"/>
  <c r="BA4"/>
  <c r="BB4"/>
  <c r="AZ4"/>
  <c r="AY60" i="2"/>
  <c r="BA21"/>
  <c r="AY21"/>
  <c r="AZ21"/>
  <c r="AZ20"/>
  <c r="AR71" i="1"/>
  <c r="AR56"/>
  <c r="AP56"/>
  <c r="AR52"/>
  <c r="AP52"/>
  <c r="AR30"/>
  <c r="BC4" i="6"/>
  <c r="BA4"/>
  <c r="AH27" i="4"/>
  <c r="AI24"/>
  <c r="AH24"/>
  <c r="AI22"/>
  <c r="AH22"/>
  <c r="BB20"/>
  <c r="AZ20"/>
  <c r="BA20"/>
  <c r="BB19"/>
  <c r="AZ19"/>
  <c r="BA19"/>
  <c r="BB17"/>
  <c r="AZ17"/>
  <c r="BA17"/>
  <c r="BB15"/>
  <c r="AZ15"/>
  <c r="BA15"/>
  <c r="BB13"/>
  <c r="AZ13"/>
  <c r="BA13"/>
  <c r="BB11"/>
  <c r="AZ11"/>
  <c r="BA11"/>
  <c r="BB9"/>
  <c r="BA9"/>
  <c r="BB7"/>
  <c r="AZ7"/>
  <c r="BA7"/>
  <c r="BB5"/>
  <c r="AZ5"/>
  <c r="BA5"/>
  <c r="BB3"/>
  <c r="AZ3"/>
  <c r="BA3"/>
  <c r="AG26"/>
  <c r="AI2"/>
  <c r="AH2"/>
  <c r="AI26" i="3"/>
  <c r="AH26"/>
  <c r="AI24"/>
  <c r="AH24"/>
  <c r="AI22"/>
  <c r="AH22"/>
  <c r="AI20"/>
  <c r="AH20"/>
  <c r="AI12"/>
  <c r="AH12"/>
  <c r="AI10"/>
  <c r="AH10"/>
  <c r="AI8"/>
  <c r="AH8"/>
  <c r="AI6"/>
  <c r="AH6"/>
  <c r="AI4"/>
  <c r="AH4"/>
  <c r="AH60" i="2"/>
  <c r="AG60"/>
  <c r="AF62"/>
  <c r="E8" i="8" s="1"/>
  <c r="AH58" i="2"/>
  <c r="AG58"/>
  <c r="AI21" i="3"/>
  <c r="AH21"/>
  <c r="AI19"/>
  <c r="AH19"/>
  <c r="AI11"/>
  <c r="AH11"/>
  <c r="AI9"/>
  <c r="AH9"/>
  <c r="AI7"/>
  <c r="AH7"/>
  <c r="BB5"/>
  <c r="BA5"/>
  <c r="BB3"/>
  <c r="AZ3"/>
  <c r="BA3"/>
  <c r="AH61" i="2"/>
  <c r="AG61"/>
  <c r="AH59"/>
  <c r="AG59"/>
  <c r="BA53"/>
  <c r="AZ53"/>
  <c r="BA51"/>
  <c r="AY51"/>
  <c r="AZ51"/>
  <c r="BA49"/>
  <c r="AZ49"/>
  <c r="BA47"/>
  <c r="AY47"/>
  <c r="AZ47"/>
  <c r="BA45"/>
  <c r="AZ45"/>
  <c r="BA43"/>
  <c r="AZ43"/>
  <c r="BA41"/>
  <c r="AZ41"/>
  <c r="BA39"/>
  <c r="AY39"/>
  <c r="AZ39"/>
  <c r="BA37"/>
  <c r="AZ37"/>
  <c r="BA35"/>
  <c r="AY35"/>
  <c r="AZ35"/>
  <c r="BA33"/>
  <c r="AY33"/>
  <c r="AZ33"/>
  <c r="BA31"/>
  <c r="AY31"/>
  <c r="AZ31"/>
  <c r="BA29"/>
  <c r="AY29"/>
  <c r="AZ29"/>
  <c r="BA27"/>
  <c r="AY27"/>
  <c r="AZ27"/>
  <c r="BA25"/>
  <c r="AY25"/>
  <c r="AZ25"/>
  <c r="BA23"/>
  <c r="AY23"/>
  <c r="AZ23"/>
  <c r="AI23" i="3"/>
  <c r="AH23"/>
  <c r="AH20" i="2"/>
  <c r="AG20"/>
  <c r="AH18"/>
  <c r="AG18"/>
  <c r="Y73" i="1"/>
  <c r="X73"/>
  <c r="Y71"/>
  <c r="X71"/>
  <c r="Y67"/>
  <c r="X67"/>
  <c r="Y65"/>
  <c r="X65"/>
  <c r="Y56"/>
  <c r="X56"/>
  <c r="Y52"/>
  <c r="X52"/>
  <c r="Y50"/>
  <c r="X50"/>
  <c r="Y44"/>
  <c r="X44"/>
  <c r="AH19" i="2"/>
  <c r="AG19"/>
  <c r="AH16"/>
  <c r="AG16"/>
  <c r="AH14"/>
  <c r="AG14"/>
  <c r="AH12"/>
  <c r="AG12"/>
  <c r="AH10"/>
  <c r="AG10"/>
  <c r="AH8"/>
  <c r="AG8"/>
  <c r="AH6"/>
  <c r="AG6"/>
  <c r="AH4"/>
  <c r="AG4"/>
  <c r="BA2"/>
  <c r="AY2"/>
  <c r="AZ2"/>
  <c r="X72" i="1"/>
  <c r="Y72"/>
  <c r="X69"/>
  <c r="Y69"/>
  <c r="X68"/>
  <c r="Y68"/>
  <c r="X66"/>
  <c r="Y66"/>
  <c r="AP63"/>
  <c r="AR60"/>
  <c r="X55"/>
  <c r="Y55"/>
  <c r="X54"/>
  <c r="Y54"/>
  <c r="X53"/>
  <c r="Y53"/>
  <c r="X51"/>
  <c r="Y51"/>
  <c r="AR48"/>
  <c r="X46"/>
  <c r="Y46"/>
  <c r="X43"/>
  <c r="Y43"/>
  <c r="X42"/>
  <c r="Y42"/>
  <c r="X40"/>
  <c r="Y40"/>
  <c r="X38"/>
  <c r="Y38"/>
  <c r="X36"/>
  <c r="Y36"/>
  <c r="Y32"/>
  <c r="X32"/>
  <c r="Y30"/>
  <c r="X30"/>
  <c r="Y26"/>
  <c r="X26"/>
  <c r="Y24"/>
  <c r="X24"/>
  <c r="Y15"/>
  <c r="X15"/>
  <c r="Y9"/>
  <c r="X9"/>
  <c r="AO57"/>
  <c r="AQ2"/>
  <c r="X29"/>
  <c r="Y29"/>
  <c r="X28"/>
  <c r="Y28"/>
  <c r="X27"/>
  <c r="Y27"/>
  <c r="X25"/>
  <c r="Y25"/>
  <c r="X23"/>
  <c r="Y23"/>
  <c r="X22"/>
  <c r="Y22"/>
  <c r="X20"/>
  <c r="Y20"/>
  <c r="X19"/>
  <c r="Y19"/>
  <c r="X18"/>
  <c r="Y18"/>
  <c r="X16"/>
  <c r="Y16"/>
  <c r="X13"/>
  <c r="Y13"/>
  <c r="AR11"/>
  <c r="X8"/>
  <c r="Y8"/>
  <c r="X7"/>
  <c r="Y7"/>
  <c r="X6"/>
  <c r="Y6"/>
  <c r="X4"/>
  <c r="Y4"/>
  <c r="AF26" i="4"/>
  <c r="AS28" i="3"/>
  <c r="AU26" i="4"/>
  <c r="AY27" s="1"/>
  <c r="AR28" i="3"/>
  <c r="AX13"/>
  <c r="AT13"/>
  <c r="AU62" i="2"/>
  <c r="AQ62"/>
  <c r="AU63" s="1"/>
  <c r="C8" i="8" s="1"/>
  <c r="AY19" i="3"/>
  <c r="AY28" s="1"/>
  <c r="AX62" i="2"/>
  <c r="AY3" i="3"/>
  <c r="AY13" s="1"/>
  <c r="AT62" i="2"/>
  <c r="AX63" s="1"/>
  <c r="G8" i="8" s="1"/>
  <c r="AN74" i="1"/>
  <c r="AJ74"/>
  <c r="V74"/>
  <c r="AQ70"/>
  <c r="AO60"/>
  <c r="AQ60" s="1"/>
  <c r="AQ52"/>
  <c r="AQ50"/>
  <c r="AW3" i="2"/>
  <c r="AQ34" i="1"/>
  <c r="AQ21"/>
  <c r="AQ9"/>
  <c r="BB2" i="6"/>
  <c r="BB3" s="1"/>
  <c r="AX3"/>
  <c r="BC2"/>
  <c r="BA2"/>
  <c r="BA3" s="1"/>
  <c r="AH2"/>
  <c r="AH3" s="1"/>
  <c r="AH4" s="1"/>
  <c r="AF3"/>
  <c r="AI2"/>
  <c r="AG2"/>
  <c r="AG3" s="1"/>
  <c r="BA25" i="4"/>
  <c r="BB25"/>
  <c r="AZ25"/>
  <c r="AI25"/>
  <c r="AH25"/>
  <c r="BA23"/>
  <c r="BB23"/>
  <c r="AZ23"/>
  <c r="AI23"/>
  <c r="AH23"/>
  <c r="BA21"/>
  <c r="BB21"/>
  <c r="AZ21"/>
  <c r="AI21"/>
  <c r="AH21"/>
  <c r="BA18"/>
  <c r="BB18"/>
  <c r="AZ18"/>
  <c r="AI18"/>
  <c r="AH18"/>
  <c r="BA16"/>
  <c r="BB16"/>
  <c r="AI16"/>
  <c r="AH16"/>
  <c r="BA14"/>
  <c r="BB14"/>
  <c r="AZ14"/>
  <c r="AI14"/>
  <c r="AH14"/>
  <c r="BA12"/>
  <c r="BB12"/>
  <c r="AZ12"/>
  <c r="AI12"/>
  <c r="AH12"/>
  <c r="BA10"/>
  <c r="BB10"/>
  <c r="AZ10"/>
  <c r="AI10"/>
  <c r="AH10"/>
  <c r="BA8"/>
  <c r="BB8"/>
  <c r="AZ8"/>
  <c r="AI8"/>
  <c r="AH8"/>
  <c r="BA6"/>
  <c r="BB6"/>
  <c r="AZ6"/>
  <c r="AI6"/>
  <c r="AH6"/>
  <c r="BA4"/>
  <c r="BB4"/>
  <c r="AZ4"/>
  <c r="AI4"/>
  <c r="AH4"/>
  <c r="AI4" i="6"/>
  <c r="AG4"/>
  <c r="BB24" i="4"/>
  <c r="AZ24"/>
  <c r="BA24"/>
  <c r="BB22"/>
  <c r="AZ22"/>
  <c r="BA22"/>
  <c r="AI19"/>
  <c r="AH19"/>
  <c r="AI17"/>
  <c r="AH17"/>
  <c r="AI15"/>
  <c r="AH15"/>
  <c r="AI13"/>
  <c r="AH13"/>
  <c r="AI11"/>
  <c r="AH11"/>
  <c r="AI9"/>
  <c r="AH9"/>
  <c r="AI7"/>
  <c r="AH7"/>
  <c r="AI5"/>
  <c r="AH5"/>
  <c r="AI3"/>
  <c r="AH3"/>
  <c r="BA27" i="3"/>
  <c r="BB27"/>
  <c r="AI27"/>
  <c r="AH27"/>
  <c r="BA25"/>
  <c r="BB25"/>
  <c r="AZ25"/>
  <c r="AI25"/>
  <c r="AH25"/>
  <c r="J14" i="8"/>
  <c r="G13"/>
  <c r="J13" s="1"/>
  <c r="BB26" i="3"/>
  <c r="AZ26"/>
  <c r="BA26"/>
  <c r="BB24"/>
  <c r="BA24"/>
  <c r="BA18"/>
  <c r="BB18"/>
  <c r="AZ18"/>
  <c r="AG28"/>
  <c r="AI28" s="1"/>
  <c r="AI18"/>
  <c r="AH18"/>
  <c r="BA15"/>
  <c r="BA16" s="1"/>
  <c r="BB15"/>
  <c r="AG16"/>
  <c r="AI16" s="1"/>
  <c r="AI15"/>
  <c r="AH15"/>
  <c r="AH16" s="1"/>
  <c r="BA2"/>
  <c r="BB2"/>
  <c r="AZ2"/>
  <c r="AG13"/>
  <c r="AI2"/>
  <c r="AH2"/>
  <c r="AZ54" i="2"/>
  <c r="BA54"/>
  <c r="AH54"/>
  <c r="AG54"/>
  <c r="AZ52"/>
  <c r="BA52"/>
  <c r="AY52"/>
  <c r="AH52"/>
  <c r="AG52"/>
  <c r="AZ50"/>
  <c r="BA50"/>
  <c r="AH50"/>
  <c r="AG50"/>
  <c r="AZ48"/>
  <c r="BA48"/>
  <c r="AY48"/>
  <c r="AH48"/>
  <c r="AG48"/>
  <c r="AZ46"/>
  <c r="BA46"/>
  <c r="AH46"/>
  <c r="AG46"/>
  <c r="AZ44"/>
  <c r="BA44"/>
  <c r="AY44"/>
  <c r="AH44"/>
  <c r="AG44"/>
  <c r="AZ42"/>
  <c r="BA42"/>
  <c r="AH42"/>
  <c r="AG42"/>
  <c r="AZ40"/>
  <c r="BA40"/>
  <c r="AY40"/>
  <c r="AH40"/>
  <c r="AG40"/>
  <c r="AZ38"/>
  <c r="BA38"/>
  <c r="AH38"/>
  <c r="AG38"/>
  <c r="AZ36"/>
  <c r="BA36"/>
  <c r="AY36"/>
  <c r="AH36"/>
  <c r="AG36"/>
  <c r="AZ34"/>
  <c r="BA34"/>
  <c r="AH34"/>
  <c r="AG34"/>
  <c r="AZ32"/>
  <c r="BA32"/>
  <c r="AY32"/>
  <c r="AH32"/>
  <c r="AG32"/>
  <c r="AZ30"/>
  <c r="AH30"/>
  <c r="AG30"/>
  <c r="AZ28"/>
  <c r="BA28"/>
  <c r="AY28"/>
  <c r="AH28"/>
  <c r="AG28"/>
  <c r="AY26"/>
  <c r="AH26"/>
  <c r="AG26"/>
  <c r="AZ24"/>
  <c r="BA24"/>
  <c r="AY24"/>
  <c r="AH24"/>
  <c r="AG24"/>
  <c r="AZ22"/>
  <c r="AH22"/>
  <c r="AG22"/>
  <c r="BB21" i="3"/>
  <c r="AZ21"/>
  <c r="BA21"/>
  <c r="BB19"/>
  <c r="AZ19"/>
  <c r="BA19"/>
  <c r="BB11"/>
  <c r="AZ11"/>
  <c r="BA11"/>
  <c r="BB9"/>
  <c r="AZ9"/>
  <c r="BA9"/>
  <c r="BB7"/>
  <c r="AZ7"/>
  <c r="BA7"/>
  <c r="AI5"/>
  <c r="AH5"/>
  <c r="AI3"/>
  <c r="AH3"/>
  <c r="AY59" i="2"/>
  <c r="AH53"/>
  <c r="AG53"/>
  <c r="AH51"/>
  <c r="AG51"/>
  <c r="AH49"/>
  <c r="AG49"/>
  <c r="AH47"/>
  <c r="AG47"/>
  <c r="AH45"/>
  <c r="AG45"/>
  <c r="AH43"/>
  <c r="AG43"/>
  <c r="AH41"/>
  <c r="AG41"/>
  <c r="AH39"/>
  <c r="AG39"/>
  <c r="AH37"/>
  <c r="AG37"/>
  <c r="AH35"/>
  <c r="AG35"/>
  <c r="AH33"/>
  <c r="AG33"/>
  <c r="AH31"/>
  <c r="AG31"/>
  <c r="AH29"/>
  <c r="AG29"/>
  <c r="AH27"/>
  <c r="AG27"/>
  <c r="AH25"/>
  <c r="AG25"/>
  <c r="AH23"/>
  <c r="AG23"/>
  <c r="AH21"/>
  <c r="AG21"/>
  <c r="AH17"/>
  <c r="AG17"/>
  <c r="AZ15"/>
  <c r="BA15"/>
  <c r="AH15"/>
  <c r="AG15"/>
  <c r="BA13"/>
  <c r="AH13"/>
  <c r="AG13"/>
  <c r="AZ11"/>
  <c r="BA11"/>
  <c r="AH11"/>
  <c r="AG11"/>
  <c r="AH9"/>
  <c r="AG9"/>
  <c r="AZ7"/>
  <c r="BA7"/>
  <c r="AY7"/>
  <c r="AH7"/>
  <c r="AG7"/>
  <c r="AH5"/>
  <c r="AG5"/>
  <c r="AZ3"/>
  <c r="BA3"/>
  <c r="AH3"/>
  <c r="AG3"/>
  <c r="AR70" i="1"/>
  <c r="Y70"/>
  <c r="X70"/>
  <c r="Y64"/>
  <c r="X64"/>
  <c r="Y62"/>
  <c r="X62"/>
  <c r="AR59"/>
  <c r="Y59"/>
  <c r="W74"/>
  <c r="Y74" s="1"/>
  <c r="X59"/>
  <c r="AR49"/>
  <c r="Y49"/>
  <c r="X49"/>
  <c r="AR47"/>
  <c r="Y47"/>
  <c r="X47"/>
  <c r="AR45"/>
  <c r="Y45"/>
  <c r="X45"/>
  <c r="AR41"/>
  <c r="Y41"/>
  <c r="X41"/>
  <c r="AR39"/>
  <c r="Y39"/>
  <c r="X39"/>
  <c r="AR37"/>
  <c r="Y37"/>
  <c r="X37"/>
  <c r="AR35"/>
  <c r="Y35"/>
  <c r="X35"/>
  <c r="BA19" i="2"/>
  <c r="AY19"/>
  <c r="AZ19"/>
  <c r="BA16"/>
  <c r="AZ16"/>
  <c r="BA14"/>
  <c r="AY14"/>
  <c r="AZ14"/>
  <c r="BA12"/>
  <c r="AZ12"/>
  <c r="BA10"/>
  <c r="AY8"/>
  <c r="BA6"/>
  <c r="AZ6"/>
  <c r="AF55"/>
  <c r="E7" i="8" s="1"/>
  <c r="AH2" i="2"/>
  <c r="AG2"/>
  <c r="AR69" i="1"/>
  <c r="AR68"/>
  <c r="X63"/>
  <c r="Y63"/>
  <c r="X61"/>
  <c r="Y61"/>
  <c r="X60"/>
  <c r="Y60"/>
  <c r="AR55"/>
  <c r="AP55"/>
  <c r="AR54"/>
  <c r="AR53"/>
  <c r="AP53"/>
  <c r="AR51"/>
  <c r="AP51"/>
  <c r="X48"/>
  <c r="Y48"/>
  <c r="AR46"/>
  <c r="AP46"/>
  <c r="AR42"/>
  <c r="AR40"/>
  <c r="AR38"/>
  <c r="AR36"/>
  <c r="AP36"/>
  <c r="Y34"/>
  <c r="X34"/>
  <c r="AR21"/>
  <c r="Y21"/>
  <c r="X21"/>
  <c r="AR17"/>
  <c r="Y17"/>
  <c r="X17"/>
  <c r="AR14"/>
  <c r="Y14"/>
  <c r="X14"/>
  <c r="AR12"/>
  <c r="Y12"/>
  <c r="X12"/>
  <c r="AR5"/>
  <c r="AP5"/>
  <c r="Y5"/>
  <c r="X5"/>
  <c r="AR3"/>
  <c r="AP3"/>
  <c r="Y3"/>
  <c r="X3"/>
  <c r="AR2"/>
  <c r="AP2"/>
  <c r="W57"/>
  <c r="Y2"/>
  <c r="X2"/>
  <c r="AR31"/>
  <c r="AR28"/>
  <c r="AR22"/>
  <c r="AR20"/>
  <c r="AR18"/>
  <c r="AR13"/>
  <c r="X10"/>
  <c r="Y10"/>
  <c r="AR8"/>
  <c r="AP8"/>
  <c r="AR6"/>
  <c r="AP6"/>
  <c r="AR4"/>
  <c r="AP4"/>
  <c r="AY26" i="4"/>
  <c r="AS26"/>
  <c r="AW27" s="1"/>
  <c r="AX28" i="3"/>
  <c r="AT28"/>
  <c r="AF28"/>
  <c r="AR13"/>
  <c r="AW62" i="2"/>
  <c r="AE62"/>
  <c r="B8" i="8" s="1"/>
  <c r="AE55" i="2"/>
  <c r="AX55"/>
  <c r="AT55"/>
  <c r="AQ65" i="1"/>
  <c r="AQ56"/>
  <c r="AQ49"/>
  <c r="AQ44"/>
  <c r="AN57"/>
  <c r="AJ57"/>
  <c r="V57"/>
  <c r="AQ17"/>
  <c r="AQ14"/>
  <c r="AQ12"/>
  <c r="AK57"/>
  <c r="AZ23" i="3" l="1"/>
  <c r="AZ5"/>
  <c r="AV13"/>
  <c r="F14" i="8"/>
  <c r="H13"/>
  <c r="AP3" i="6"/>
  <c r="AP4" s="1"/>
  <c r="AS4"/>
  <c r="AV4"/>
  <c r="BB4" s="1"/>
  <c r="AQ3"/>
  <c r="AQ4" s="1"/>
  <c r="AT4"/>
  <c r="AW13" i="3"/>
  <c r="AH28"/>
  <c r="AW28"/>
  <c r="BB28" s="1"/>
  <c r="AV28"/>
  <c r="AS13"/>
  <c r="AS29" s="1"/>
  <c r="AW30" s="1"/>
  <c r="AZ8"/>
  <c r="AD29"/>
  <c r="AN28"/>
  <c r="AU55" i="2"/>
  <c r="AU67" s="1"/>
  <c r="AX67"/>
  <c r="AR62"/>
  <c r="AV63" s="1"/>
  <c r="F8" i="8" s="1"/>
  <c r="AG55" i="2"/>
  <c r="BA5"/>
  <c r="BA9"/>
  <c r="BA17"/>
  <c r="AY61"/>
  <c r="AW55"/>
  <c r="AQ55"/>
  <c r="AU56" s="1"/>
  <c r="C7" i="8" s="1"/>
  <c r="AZ60" i="2"/>
  <c r="AY4"/>
  <c r="AV62"/>
  <c r="AL57" i="1"/>
  <c r="V75"/>
  <c r="B6" i="8" s="1"/>
  <c r="AN75" i="1"/>
  <c r="AR32"/>
  <c r="AR26" i="4"/>
  <c r="AQ26" s="1"/>
  <c r="AT26"/>
  <c r="AX27" s="1"/>
  <c r="AV26"/>
  <c r="AY22" i="2"/>
  <c r="AZ26"/>
  <c r="AY30"/>
  <c r="AY20"/>
  <c r="AY10"/>
  <c r="AZ8"/>
  <c r="AZ59"/>
  <c r="BA59"/>
  <c r="V67"/>
  <c r="AL67"/>
  <c r="Z67"/>
  <c r="Y68" s="1"/>
  <c r="AV55"/>
  <c r="BA55" s="1"/>
  <c r="AZ4"/>
  <c r="BA4"/>
  <c r="AY5"/>
  <c r="AY9"/>
  <c r="AY13"/>
  <c r="AY17"/>
  <c r="AZ61"/>
  <c r="AR55"/>
  <c r="AV56" s="1"/>
  <c r="F7" i="8" s="1"/>
  <c r="AJ75" i="1"/>
  <c r="AN76" s="1"/>
  <c r="D6" i="8" s="1"/>
  <c r="AL74" i="1"/>
  <c r="AR25"/>
  <c r="AP64"/>
  <c r="AK75"/>
  <c r="AO76" s="1"/>
  <c r="G6" i="8" s="1"/>
  <c r="AR10" i="1"/>
  <c r="AM57"/>
  <c r="AR57" s="1"/>
  <c r="AP44"/>
  <c r="AP24"/>
  <c r="AP62"/>
  <c r="AP66"/>
  <c r="AR67"/>
  <c r="H77"/>
  <c r="AP34"/>
  <c r="AR7"/>
  <c r="AI74"/>
  <c r="T75"/>
  <c r="Q76" s="1"/>
  <c r="AP16"/>
  <c r="AP19"/>
  <c r="AP23"/>
  <c r="AP29"/>
  <c r="AP33"/>
  <c r="AP68"/>
  <c r="AP7"/>
  <c r="AP15"/>
  <c r="AP26"/>
  <c r="AM74"/>
  <c r="AR74" s="1"/>
  <c r="AP43"/>
  <c r="AP61"/>
  <c r="AP27"/>
  <c r="AP73"/>
  <c r="AH74"/>
  <c r="AP72"/>
  <c r="AH57"/>
  <c r="AH75" s="1"/>
  <c r="AI57"/>
  <c r="AB75"/>
  <c r="AE57"/>
  <c r="Z75"/>
  <c r="AE75" s="1"/>
  <c r="AA75"/>
  <c r="AF75" s="1"/>
  <c r="AF57"/>
  <c r="AD57"/>
  <c r="AI75"/>
  <c r="AM76" s="1"/>
  <c r="F6" i="8" s="1"/>
  <c r="AD74" i="1"/>
  <c r="AT67" i="2"/>
  <c r="AX68" s="1"/>
  <c r="AX56"/>
  <c r="G7" i="8" s="1"/>
  <c r="AE67" i="2"/>
  <c r="AE69" s="1"/>
  <c r="B7" i="8"/>
  <c r="AV27" i="4"/>
  <c r="X57" i="1"/>
  <c r="AS55" i="2"/>
  <c r="AW56" s="1"/>
  <c r="D7" i="8" s="1"/>
  <c r="Z27" i="4"/>
  <c r="AN26"/>
  <c r="AP26"/>
  <c r="AO26"/>
  <c r="AD30" i="3"/>
  <c r="AG30" s="1"/>
  <c r="AI30" s="1"/>
  <c r="Z29"/>
  <c r="AJ29"/>
  <c r="AO13"/>
  <c r="AK29"/>
  <c r="AP13"/>
  <c r="V29"/>
  <c r="AU16"/>
  <c r="AU29" s="1"/>
  <c r="AY30" s="1"/>
  <c r="AY15"/>
  <c r="AY16" s="1"/>
  <c r="AY29" s="1"/>
  <c r="AR16"/>
  <c r="AR29" s="1"/>
  <c r="AV15"/>
  <c r="Y30"/>
  <c r="AC29"/>
  <c r="AN13"/>
  <c r="AN29" s="1"/>
  <c r="AF30"/>
  <c r="AQ67" i="2"/>
  <c r="AU68" s="1"/>
  <c r="AC67"/>
  <c r="X68"/>
  <c r="AM62"/>
  <c r="AC68"/>
  <c r="AF68" s="1"/>
  <c r="AJ67"/>
  <c r="AO55"/>
  <c r="AN55"/>
  <c r="AI67"/>
  <c r="AW67"/>
  <c r="AM55"/>
  <c r="AM67" s="1"/>
  <c r="Y57" i="1"/>
  <c r="W75"/>
  <c r="E6" i="8" s="1"/>
  <c r="AW29" i="3"/>
  <c r="BB13"/>
  <c r="AI3" i="6"/>
  <c r="AF5"/>
  <c r="BC3"/>
  <c r="AF28" i="4"/>
  <c r="B10" i="8"/>
  <c r="H8"/>
  <c r="AH62" i="2"/>
  <c r="X74" i="1"/>
  <c r="AH13" i="3"/>
  <c r="AZ13"/>
  <c r="AZ28"/>
  <c r="BA28"/>
  <c r="J8" i="8"/>
  <c r="AF29" i="3"/>
  <c r="AX29"/>
  <c r="AO74" i="1"/>
  <c r="AO75" s="1"/>
  <c r="AG62" i="2"/>
  <c r="AH26" i="4"/>
  <c r="BA26"/>
  <c r="AY62" i="2"/>
  <c r="V77" i="1"/>
  <c r="AV32" i="3"/>
  <c r="AF67" i="2"/>
  <c r="AH55"/>
  <c r="AG29" i="3"/>
  <c r="AI13"/>
  <c r="AI26" i="4"/>
  <c r="AG28"/>
  <c r="E10" i="8"/>
  <c r="BB26" i="4"/>
  <c r="I8" i="8"/>
  <c r="BA62" i="2"/>
  <c r="BA13" i="3"/>
  <c r="AL75" i="1"/>
  <c r="AT29" i="3"/>
  <c r="AX30" s="1"/>
  <c r="AQ57" i="1"/>
  <c r="AQ74"/>
  <c r="AZ26" i="4"/>
  <c r="AP57" i="1" l="1"/>
  <c r="F13" i="8"/>
  <c r="I13" s="1"/>
  <c r="I14"/>
  <c r="BA29" i="3"/>
  <c r="AH29"/>
  <c r="AG67" i="2"/>
  <c r="AV67"/>
  <c r="AZ55"/>
  <c r="AZ67" s="1"/>
  <c r="AZ62"/>
  <c r="S75" i="1"/>
  <c r="AS27" i="4"/>
  <c r="AR27"/>
  <c r="AU27"/>
  <c r="AT27"/>
  <c r="D10" i="8" s="1"/>
  <c r="AO27" i="4"/>
  <c r="AQ29" i="3"/>
  <c r="AB68" i="2"/>
  <c r="AE68" s="1"/>
  <c r="AY55"/>
  <c r="AR67"/>
  <c r="AV68" s="1"/>
  <c r="AM75" i="1"/>
  <c r="AP74"/>
  <c r="AP75" s="1"/>
  <c r="X75"/>
  <c r="AD75"/>
  <c r="U76"/>
  <c r="T76"/>
  <c r="AG75"/>
  <c r="AJ76" s="1"/>
  <c r="AL76"/>
  <c r="C6" i="8" s="1"/>
  <c r="AQ75" i="1"/>
  <c r="AS67" i="2"/>
  <c r="AW68" s="1"/>
  <c r="AV30" i="3"/>
  <c r="H10" i="8"/>
  <c r="AP27" i="4"/>
  <c r="AT30" i="3"/>
  <c r="D9" i="8" s="1"/>
  <c r="AU30" i="3"/>
  <c r="G9" i="8" s="1"/>
  <c r="AP29" i="3"/>
  <c r="AO29"/>
  <c r="AV16"/>
  <c r="AV29" s="1"/>
  <c r="AZ15"/>
  <c r="AZ16" s="1"/>
  <c r="AZ29" s="1"/>
  <c r="Z30"/>
  <c r="AS30"/>
  <c r="AR30"/>
  <c r="AH30"/>
  <c r="AY67" i="2"/>
  <c r="AO67"/>
  <c r="AG68"/>
  <c r="AH68"/>
  <c r="AN67"/>
  <c r="AP67"/>
  <c r="J6" i="8"/>
  <c r="E9"/>
  <c r="AG31" i="3"/>
  <c r="AI29"/>
  <c r="H7" i="8"/>
  <c r="AF69" i="2"/>
  <c r="AH67"/>
  <c r="B9" i="8"/>
  <c r="AF31" i="3"/>
  <c r="AW32"/>
  <c r="BB29"/>
  <c r="C10" i="8"/>
  <c r="G10"/>
  <c r="J10" s="1"/>
  <c r="B5"/>
  <c r="B16" s="1"/>
  <c r="AR75" i="1"/>
  <c r="AH76"/>
  <c r="AK76"/>
  <c r="AQ76" s="1"/>
  <c r="AF76"/>
  <c r="BA67" i="2"/>
  <c r="W77" i="1"/>
  <c r="Y75"/>
  <c r="BB27" i="4"/>
  <c r="AZ27"/>
  <c r="BA27" s="1"/>
  <c r="F10" i="8"/>
  <c r="AW33" i="3"/>
  <c r="BB30"/>
  <c r="AZ30"/>
  <c r="BA30" s="1"/>
  <c r="F9" i="8"/>
  <c r="C9" l="1"/>
  <c r="AI76" i="1"/>
  <c r="AE76"/>
  <c r="W76"/>
  <c r="R77"/>
  <c r="V76"/>
  <c r="Q77"/>
  <c r="AP55" i="2"/>
  <c r="AP62"/>
  <c r="J9" i="8"/>
  <c r="I10"/>
  <c r="AV33" i="3"/>
  <c r="D5" i="8"/>
  <c r="D16" s="1"/>
  <c r="AR76" i="1"/>
  <c r="AP76"/>
  <c r="I6" i="8"/>
  <c r="I9"/>
  <c r="H6"/>
  <c r="E5"/>
  <c r="H9"/>
  <c r="Y76" i="1" l="1"/>
  <c r="X76"/>
  <c r="C5" i="8"/>
  <c r="C16" s="1"/>
  <c r="AY68" i="2"/>
  <c r="AZ68" s="1"/>
  <c r="BA68"/>
  <c r="E16" i="8"/>
  <c r="H16" s="1"/>
  <c r="H5"/>
  <c r="F5" l="1"/>
  <c r="I7"/>
  <c r="J7"/>
  <c r="G5"/>
  <c r="J5" l="1"/>
  <c r="G16"/>
  <c r="J16" s="1"/>
  <c r="I5"/>
  <c r="F16"/>
  <c r="I16" s="1"/>
</calcChain>
</file>

<file path=xl/comments1.xml><?xml version="1.0" encoding="utf-8"?>
<comments xmlns="http://schemas.openxmlformats.org/spreadsheetml/2006/main">
  <authors>
    <author>Forfatter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Anvendt 3,54 kr pr km som var gennemsnitsprisen fra 2009</t>
        </r>
      </text>
    </comment>
  </commentList>
</comments>
</file>

<file path=xl/sharedStrings.xml><?xml version="1.0" encoding="utf-8"?>
<sst xmlns="http://schemas.openxmlformats.org/spreadsheetml/2006/main" count="1033" uniqueCount="446">
  <si>
    <t>”Krudtuglen” --&gt; En del af BH Skovtrolden</t>
  </si>
  <si>
    <t>Bislev Børnehave</t>
  </si>
  <si>
    <t>Børnehaven Ane Dam</t>
  </si>
  <si>
    <t>Børnehaven Beatesmindevej</t>
  </si>
  <si>
    <t>Børnehaven Blåhvalen</t>
  </si>
  <si>
    <t>Børnehaven Bulderby</t>
  </si>
  <si>
    <t>Børnehaven Damstræde</t>
  </si>
  <si>
    <t>Børnehaven Danalien</t>
  </si>
  <si>
    <t>Børnehaven Dragehaven</t>
  </si>
  <si>
    <t>Børnehaven Egemarksvej</t>
  </si>
  <si>
    <t>Børnehaven Fasanen</t>
  </si>
  <si>
    <t>Børnehaven Frydendal</t>
  </si>
  <si>
    <t>Børnehaven Gammel Kongevej</t>
  </si>
  <si>
    <t>Børnehaven Hans Egede (+ Vug. Luna)</t>
  </si>
  <si>
    <t>Børnehaven Hvepsereden</t>
  </si>
  <si>
    <t>Børnehaven Kernehuset</t>
  </si>
  <si>
    <t>Børnehaven Kolloparken</t>
  </si>
  <si>
    <t>Børnehaven Lille Tornhøj</t>
  </si>
  <si>
    <t>Børnehaven Lilletoften</t>
  </si>
  <si>
    <t>Børnehaven Marihønen</t>
  </si>
  <si>
    <t>Børnehaven Marte Meo</t>
  </si>
  <si>
    <t>Børnehaven Myretuen</t>
  </si>
  <si>
    <t>Børnehaven Natur og Miljø</t>
  </si>
  <si>
    <t>Børnehaven Nørholmsvej</t>
  </si>
  <si>
    <t>Børnehaven og Specialgruppen Fantasia</t>
  </si>
  <si>
    <t>Børnehaven Rosengården</t>
  </si>
  <si>
    <t>Børnehaven Smedegården</t>
  </si>
  <si>
    <t>Børnehaven Solsiden</t>
  </si>
  <si>
    <t>Børnehaven Solstrejf</t>
  </si>
  <si>
    <t>Børnehaven Stjernehuset</t>
  </si>
  <si>
    <t>Børnehaven Strandparken</t>
  </si>
  <si>
    <t>Børnehaven Strubjerg</t>
  </si>
  <si>
    <t>Børnehaven Sønderholm</t>
  </si>
  <si>
    <t>Børnehaven Thomas Boss</t>
  </si>
  <si>
    <t>Børnehaven Thorsens Alle</t>
  </si>
  <si>
    <t>Børnehaven Troldegården</t>
  </si>
  <si>
    <t>Børnehaven Troldehøj</t>
  </si>
  <si>
    <t>Børnehaven Trylleskoven</t>
  </si>
  <si>
    <t>Børnehaven Venøsundvej (Atlantis)</t>
  </si>
  <si>
    <t>Børnehaven Viaduktvej</t>
  </si>
  <si>
    <t>Børnehaven Vivaldisvej</t>
  </si>
  <si>
    <t>Børnehaven Ygdrasil</t>
  </si>
  <si>
    <t>Børnehaven Østerladen</t>
  </si>
  <si>
    <t>Børnehuset Tiziana</t>
  </si>
  <si>
    <t>Daginstitutionen Eventyrhuset</t>
  </si>
  <si>
    <t>Daginstitutionen Grenen</t>
  </si>
  <si>
    <t>Daginstitutionen Mælkebøtten</t>
  </si>
  <si>
    <t>Daginstitutionen Roden</t>
  </si>
  <si>
    <t>Daginstitutionen Vulkanen</t>
  </si>
  <si>
    <t>Hals Børnehave</t>
  </si>
  <si>
    <t>Vuggestuen Skydebanevej</t>
  </si>
  <si>
    <t>Vuggestuen Smedegården</t>
  </si>
  <si>
    <t>Fritidscentret Smedegården</t>
  </si>
  <si>
    <t>Bislev Skole</t>
  </si>
  <si>
    <t>Byplanvejens Skole</t>
  </si>
  <si>
    <t>Ellidshøj Skole</t>
  </si>
  <si>
    <t>Farstrup Skole</t>
  </si>
  <si>
    <t>Ferslev Skole</t>
  </si>
  <si>
    <t>Filstedvejens Skole</t>
  </si>
  <si>
    <t>Frejlev Skole</t>
  </si>
  <si>
    <t>Gandrup Skole</t>
  </si>
  <si>
    <t>Gistrup Skole</t>
  </si>
  <si>
    <t>Gl. Hasseris Skole</t>
  </si>
  <si>
    <t>Gl. Lindholm Skole</t>
  </si>
  <si>
    <t>Grindsted Skole</t>
  </si>
  <si>
    <t>Gudumholm Skole</t>
  </si>
  <si>
    <t>Gug Skole</t>
  </si>
  <si>
    <t>Hals Skole</t>
  </si>
  <si>
    <t>Hou Skole</t>
  </si>
  <si>
    <t>Højvangskolen</t>
  </si>
  <si>
    <t>Klarup Skole</t>
  </si>
  <si>
    <t>Kongerslev Skole</t>
  </si>
  <si>
    <t>Kærbyskolen</t>
  </si>
  <si>
    <t>Langholt Skole</t>
  </si>
  <si>
    <t>Løvvangskolen</t>
  </si>
  <si>
    <t>Mellervangskolen</t>
  </si>
  <si>
    <t>Mou Skole</t>
  </si>
  <si>
    <t>Nibe Skole</t>
  </si>
  <si>
    <t>Nørholm Skole</t>
  </si>
  <si>
    <t>Nørre Uttrup Skole</t>
  </si>
  <si>
    <t>Nøvling Skole</t>
  </si>
  <si>
    <t>Sebber Skole</t>
  </si>
  <si>
    <t>Seminarieskolen</t>
  </si>
  <si>
    <t>Skansevejens Skole</t>
  </si>
  <si>
    <t>Sofiendalskolen</t>
  </si>
  <si>
    <t>Stolpedalskolen</t>
  </si>
  <si>
    <t>Sulsted Skole</t>
  </si>
  <si>
    <t>Svenstrup Skole</t>
  </si>
  <si>
    <t>Sønderbroskolen</t>
  </si>
  <si>
    <t>Sønderholm Skole</t>
  </si>
  <si>
    <t>Tofthøj Skole</t>
  </si>
  <si>
    <t>Tornhøjskolen</t>
  </si>
  <si>
    <t>Tylstrup Skole</t>
  </si>
  <si>
    <t>Ulsted Skole</t>
  </si>
  <si>
    <t>Vadum Skole</t>
  </si>
  <si>
    <t>Vejgård Østre Skole</t>
  </si>
  <si>
    <t>Vestbjerg Skole</t>
  </si>
  <si>
    <t>Vester Hassing Skole</t>
  </si>
  <si>
    <t>Vester Mariendal Skole</t>
  </si>
  <si>
    <t>Vodskov Skole</t>
  </si>
  <si>
    <t>Vesterkæret Skole</t>
  </si>
  <si>
    <t>Vårst/Fjellerad Skole</t>
  </si>
  <si>
    <t>Frejlev skole</t>
  </si>
  <si>
    <t>Gug Hallen</t>
  </si>
  <si>
    <t>Herningvejens Skole</t>
  </si>
  <si>
    <t>Højvanghallen</t>
  </si>
  <si>
    <t>Kongerslev skole</t>
  </si>
  <si>
    <t>Nr. Uttrup Skole</t>
  </si>
  <si>
    <t>Sebber Landsbyordning</t>
  </si>
  <si>
    <t>Svømmesalen Østre Allé</t>
  </si>
  <si>
    <t>Tofthøjskolen</t>
  </si>
  <si>
    <t>Vaarst/Fjellerad Skole</t>
  </si>
  <si>
    <t>Vejgaard Østre Skole</t>
  </si>
  <si>
    <t>Vesterkærets skole</t>
  </si>
  <si>
    <t>Det Gamle Rådhus</t>
  </si>
  <si>
    <t>Krisecentret</t>
  </si>
  <si>
    <t>Lokalområde Nørresundby</t>
  </si>
  <si>
    <t>Østergade Kollegiet</t>
  </si>
  <si>
    <t>Aalborg Kommune Skoleforvaltningen</t>
  </si>
  <si>
    <t>Familie og beskæftigelsesafdelingen</t>
  </si>
  <si>
    <t>Lokalområde Svenstrup + Børnehaven Bautastenen</t>
  </si>
  <si>
    <t>Administrationsbygningen</t>
  </si>
  <si>
    <t>Familie og beskæftigelsesforvaltningen</t>
  </si>
  <si>
    <t>Borgmesterens Forvaltning</t>
  </si>
  <si>
    <t>Aalborg Kommune Socialkontoret</t>
  </si>
  <si>
    <t>Aktivitetscenter Beltoften</t>
  </si>
  <si>
    <t>Bøgemarkscentret</t>
  </si>
  <si>
    <t>Skipper Clement Centret</t>
  </si>
  <si>
    <t>Toftegårdscentret</t>
  </si>
  <si>
    <t>Aktivitetscenter Omegavej</t>
  </si>
  <si>
    <t>Annebergcentret</t>
  </si>
  <si>
    <t>Fynsgadecentret</t>
  </si>
  <si>
    <t>Hasserishave Plejehjem</t>
  </si>
  <si>
    <t>Hasserishave Ældreboliger</t>
  </si>
  <si>
    <t>Riishøjscentret  </t>
  </si>
  <si>
    <t>Lundbyecentret</t>
  </si>
  <si>
    <t>Plejehjemmet Lundbyesgade</t>
  </si>
  <si>
    <t>Poppelvejcentret</t>
  </si>
  <si>
    <t>Støberiet</t>
  </si>
  <si>
    <t>Vestergaarden</t>
  </si>
  <si>
    <t>Odinsgården</t>
  </si>
  <si>
    <t>Aalborg Forsvars- &amp; Garnisionsmuseum</t>
  </si>
  <si>
    <t>Kulturhuset</t>
  </si>
  <si>
    <t>Gigantium</t>
  </si>
  <si>
    <t>Biblioteksfilial Øst</t>
  </si>
  <si>
    <t>Ældrepleje 2011</t>
  </si>
  <si>
    <t>Torvet 5</t>
  </si>
  <si>
    <t>Østergade 26</t>
  </si>
  <si>
    <t>Sankt Peders Gade 3 A</t>
  </si>
  <si>
    <t>Godthåbsgade 8</t>
  </si>
  <si>
    <t>Stationsvej 5</t>
  </si>
  <si>
    <t>Bautastenen 3</t>
  </si>
  <si>
    <t>Gammeltorv 2</t>
  </si>
  <si>
    <t>Østerbro 7</t>
  </si>
  <si>
    <t>Rendsburggade 2</t>
  </si>
  <si>
    <t>Boulevarden 13</t>
  </si>
  <si>
    <t>Sønderbro 12</t>
  </si>
  <si>
    <t>Europa Plads 2</t>
  </si>
  <si>
    <t>Adresse</t>
  </si>
  <si>
    <t>Administrationscentret Danmarksgade/ Rantzausgade</t>
  </si>
  <si>
    <t>Gammel Torv 2</t>
  </si>
  <si>
    <t>Kommunekontoret</t>
  </si>
  <si>
    <t>Østerbro 7-9</t>
  </si>
  <si>
    <t xml:space="preserve">Sønderbro 12 </t>
  </si>
  <si>
    <t>Tingstedet 10</t>
  </si>
  <si>
    <t>Beltoften</t>
  </si>
  <si>
    <t>Bøgemarksvej</t>
  </si>
  <si>
    <t>Fredericiagade</t>
  </si>
  <si>
    <t>Hasserishave ældreboliger</t>
  </si>
  <si>
    <t>Havrevangen 1</t>
  </si>
  <si>
    <t>Henning Smithsvej 3 - Støberiet</t>
  </si>
  <si>
    <t>Kildehuset</t>
  </si>
  <si>
    <t>Lundbyescentret</t>
  </si>
  <si>
    <t>Lundbyesgade 35-37</t>
  </si>
  <si>
    <t>Odinsgade 4-6</t>
  </si>
  <si>
    <t>Omegavej</t>
  </si>
  <si>
    <t>Poppelvej 14</t>
  </si>
  <si>
    <t>Riishøjscentret</t>
  </si>
  <si>
    <t>Storvorde Plejecenter</t>
  </si>
  <si>
    <t>Svenstrupgaard</t>
  </si>
  <si>
    <t>Ane Dams Gade 6D</t>
  </si>
  <si>
    <t>Bamsebo</t>
  </si>
  <si>
    <t>Børnehaven Mariehønen</t>
  </si>
  <si>
    <t>Børnehaven Møllehuset</t>
  </si>
  <si>
    <t>Brunstedvej 15</t>
  </si>
  <si>
    <t>Daginstitutionen Bornholmsgade</t>
  </si>
  <si>
    <t>Damstræde 46</t>
  </si>
  <si>
    <t>Danalien 5</t>
  </si>
  <si>
    <t>Egemarksvej 4</t>
  </si>
  <si>
    <t>Gadegårdsvej 14</t>
  </si>
  <si>
    <t>Grenen 2</t>
  </si>
  <si>
    <t>Grenen 4</t>
  </si>
  <si>
    <t>Grønlands Torv 2</t>
  </si>
  <si>
    <t>Hellekisten 241</t>
  </si>
  <si>
    <t>Hjørringvej 83</t>
  </si>
  <si>
    <t>Jørgen Horskjærsvej 5</t>
  </si>
  <si>
    <t>Kolloparken 74</t>
  </si>
  <si>
    <t>Kuskgaardsvej 6</t>
  </si>
  <si>
    <t>Las Poulsens vej 50</t>
  </si>
  <si>
    <t>Lilletoften 4</t>
  </si>
  <si>
    <t>Lindholmsvej 45</t>
  </si>
  <si>
    <t>Mylius Erichsensvej 7</t>
  </si>
  <si>
    <t>Nøhr Sørensens Vej 3</t>
  </si>
  <si>
    <t>Nørholmsvej 11</t>
  </si>
  <si>
    <t>Nymøllevej 116</t>
  </si>
  <si>
    <t>Roden 6</t>
  </si>
  <si>
    <t>Sælsager 1</t>
  </si>
  <si>
    <t>Sigrid Undsetsvej 278</t>
  </si>
  <si>
    <t>Skydebanevej 4 A</t>
  </si>
  <si>
    <t>Sonjavej 88-90</t>
  </si>
  <si>
    <t>Stationsmestervej 33</t>
  </si>
  <si>
    <t>Thomas Boss Gade 8</t>
  </si>
  <si>
    <t>Thorsens Allé 25</t>
  </si>
  <si>
    <t>Tornhøjvej 8B</t>
  </si>
  <si>
    <t>Tostrupvej 13</t>
  </si>
  <si>
    <t>Venøsundvej 5</t>
  </si>
  <si>
    <t>Venøsundvej 7</t>
  </si>
  <si>
    <t>Vestervej 36</t>
  </si>
  <si>
    <t>Vivaldisvej 95</t>
  </si>
  <si>
    <t>Ejede</t>
  </si>
  <si>
    <t>Lejede</t>
  </si>
  <si>
    <t>Beatesmindevej 175</t>
  </si>
  <si>
    <t>Børnehuset Engolm Færgevej</t>
  </si>
  <si>
    <t>Daginsitutionen Mælkebøtten</t>
  </si>
  <si>
    <t>Golfparken 3</t>
  </si>
  <si>
    <t>Institutionerne Gammel Kongevej</t>
  </si>
  <si>
    <t>Saltumvej 9</t>
  </si>
  <si>
    <t>Strubjerg 163</t>
  </si>
  <si>
    <t>Svalegårdsvej 82</t>
  </si>
  <si>
    <t>Tranumparken 16</t>
  </si>
  <si>
    <t>Tranumparken 8A</t>
  </si>
  <si>
    <t>Tranumparken 8C</t>
  </si>
  <si>
    <t>Troldelunden 2</t>
  </si>
  <si>
    <t>Viaduktvej 14</t>
  </si>
  <si>
    <t>Skoler - Haller</t>
  </si>
  <si>
    <t>Skoler - Haller 2011</t>
  </si>
  <si>
    <t>Diverse skole og kultur</t>
  </si>
  <si>
    <t>Diverse skole og kultur 2011</t>
  </si>
  <si>
    <t>Tandplejeklinikker</t>
  </si>
  <si>
    <t>Tandplejeklinikker 2011</t>
  </si>
  <si>
    <t>Lejede 2011</t>
  </si>
  <si>
    <t>Ejede 2011</t>
  </si>
  <si>
    <t>Administrationsbygning</t>
  </si>
  <si>
    <t>Biblioteksbygninger</t>
  </si>
  <si>
    <t>Administrationsbygning 2011</t>
  </si>
  <si>
    <t>Biblioteksbygninger 2011</t>
  </si>
  <si>
    <t>Andre bygninger</t>
  </si>
  <si>
    <t>Andre bygninger 2011</t>
  </si>
  <si>
    <t>Ældre- og handicap</t>
  </si>
  <si>
    <t>Enggårdsgade 65</t>
  </si>
  <si>
    <t>Hasserisgade 10</t>
  </si>
  <si>
    <t>Vaarstvej 203</t>
  </si>
  <si>
    <t>Sum</t>
  </si>
  <si>
    <t>Saltumvej 9A</t>
  </si>
  <si>
    <t>Anneberghus - Annebergvej 41</t>
  </si>
  <si>
    <t>Kayerødsgade 16</t>
  </si>
  <si>
    <t>Sankt Pedersgade/Tinghusgade</t>
  </si>
  <si>
    <t>Skydebanevej 22</t>
  </si>
  <si>
    <t>Søvangen 8-26</t>
  </si>
  <si>
    <t>Familie- og beskæftigelse</t>
  </si>
  <si>
    <t>Familie- og beskæftigelse 2011</t>
  </si>
  <si>
    <t>Revalideringscenter Aalborg</t>
  </si>
  <si>
    <t>Børnehaven Ønskehuset + Troldehuset</t>
  </si>
  <si>
    <t>Børnehaven Hellekisten + Fritidscenter</t>
  </si>
  <si>
    <t>Notat</t>
  </si>
  <si>
    <t>Areal</t>
  </si>
  <si>
    <t>Elforbrug [kWh/år] 2010</t>
  </si>
  <si>
    <t>Elforbrug [kWh/år] 2011</t>
  </si>
  <si>
    <t>kWh/m²/år 2010</t>
  </si>
  <si>
    <t>kWh/m²/år 2011</t>
  </si>
  <si>
    <t>CO₂ Udslip (el) [kg/år] 2010</t>
  </si>
  <si>
    <t>CO₂ Udslip (el) [kg/år] 2011</t>
  </si>
  <si>
    <t>Varmeforbrug [kWh/år] 2010</t>
  </si>
  <si>
    <t>Varmeforbrug [kWh/år] 2011</t>
  </si>
  <si>
    <t>CO₂ faktor (varme) [kg/kWh]</t>
  </si>
  <si>
    <t>CO₂ Udslip (varme) [kg/år] 2010</t>
  </si>
  <si>
    <t>CO₂ Udslip (varme) [kg/år] 2011</t>
  </si>
  <si>
    <t>CO₂ Udslip i alt [kg] 2010</t>
  </si>
  <si>
    <t>CO₂ Udslip i alt [kg] 2011</t>
  </si>
  <si>
    <t xml:space="preserve">Udvikling +/- [Kg CO₂] </t>
  </si>
  <si>
    <t>Delsum</t>
  </si>
  <si>
    <t>Sum total</t>
  </si>
  <si>
    <t>Sum Total</t>
  </si>
  <si>
    <t>CO2-emission [tons]</t>
  </si>
  <si>
    <t>CO₂ Udslip pr. m2</t>
  </si>
  <si>
    <t>Opgørelse for transport</t>
  </si>
  <si>
    <t>Forvaltningens køretøjer</t>
  </si>
  <si>
    <t>Brændstofforbrug</t>
  </si>
  <si>
    <t>Diesel</t>
  </si>
  <si>
    <t>Benzin</t>
  </si>
  <si>
    <t>Diesel [liter]</t>
  </si>
  <si>
    <t>Benzin [liter]</t>
  </si>
  <si>
    <t>I alt</t>
  </si>
  <si>
    <t>I alt [liter]</t>
  </si>
  <si>
    <t>Samlet opgørelse</t>
  </si>
  <si>
    <t>Kørsel i private køretøjer</t>
  </si>
  <si>
    <t>Kørsel i privatbiler</t>
  </si>
  <si>
    <t>Kørsel i private køretøjer (benzin eller diesel)</t>
  </si>
  <si>
    <t>Udbetalt refusion [kr.]</t>
  </si>
  <si>
    <t>Kørte km [km/år]</t>
  </si>
  <si>
    <t>Aalborg Kommune</t>
  </si>
  <si>
    <t>Område / delområde</t>
  </si>
  <si>
    <t>Bygningers el og varmeforbrug i alt</t>
  </si>
  <si>
    <t>Transport i alt</t>
  </si>
  <si>
    <t>Energiindhold</t>
  </si>
  <si>
    <t>Kilde</t>
  </si>
  <si>
    <t>Enhed</t>
  </si>
  <si>
    <t>Værdi</t>
  </si>
  <si>
    <t>Fyringsolie</t>
  </si>
  <si>
    <t>Energistyrelsen</t>
  </si>
  <si>
    <t>MJ/liter</t>
  </si>
  <si>
    <t>Naturgas</t>
  </si>
  <si>
    <t>MJ/Nm3</t>
  </si>
  <si>
    <t>CO2-udledninger</t>
  </si>
  <si>
    <t>El, 2009</t>
  </si>
  <si>
    <t>Energinet.dk</t>
  </si>
  <si>
    <t>g/kwh</t>
  </si>
  <si>
    <t>g/liter</t>
  </si>
  <si>
    <t>g/Nm3</t>
  </si>
  <si>
    <t>Gnsn CO2-emission pr. km for benzinbil</t>
  </si>
  <si>
    <t>g/km</t>
  </si>
  <si>
    <t>Gnsn CO2-emission pr. km for dieselbil</t>
  </si>
  <si>
    <t>Gnsn CO2-emission pr. km for alle biler</t>
  </si>
  <si>
    <t>Gnsn CO2-emission pr. km for taxa</t>
  </si>
  <si>
    <t>Miljø og Sundhed</t>
  </si>
  <si>
    <t>CO2-emissionsfaktor for LPG (ukrudtsbrændere)</t>
  </si>
  <si>
    <t>g/kg</t>
  </si>
  <si>
    <t>Anden faktor</t>
  </si>
  <si>
    <t>Sats for kilometergodtgørelse 2009</t>
  </si>
  <si>
    <t>Kommunen</t>
  </si>
  <si>
    <t>kr./km</t>
  </si>
  <si>
    <t>Sats for taxakørsel</t>
  </si>
  <si>
    <t>Taxanævnet</t>
  </si>
  <si>
    <t>Emissionsfaktorer og andre faktorer</t>
  </si>
  <si>
    <t>Shell</t>
  </si>
  <si>
    <t>DCC</t>
  </si>
  <si>
    <t>Leverandør</t>
  </si>
  <si>
    <t>OK</t>
  </si>
  <si>
    <t>El, 2011</t>
  </si>
  <si>
    <t>Varme, 2011</t>
  </si>
  <si>
    <t>El, 2010</t>
  </si>
  <si>
    <t>Varme, 2010</t>
  </si>
  <si>
    <t>Varme, 2009</t>
  </si>
  <si>
    <t>Aalborg forsyning</t>
  </si>
  <si>
    <t>Decentralt fjervarme</t>
  </si>
  <si>
    <t>Svenstrup Skole / Hal</t>
  </si>
  <si>
    <t>Børn og unge</t>
  </si>
  <si>
    <t>Ejendomsadministrationen</t>
  </si>
  <si>
    <t>STATOIL</t>
  </si>
  <si>
    <t>Spec.Børnehaven  Stampe</t>
  </si>
  <si>
    <t>Saturnvej 7 &amp; 9</t>
  </si>
  <si>
    <t>Skansevej 88 A</t>
  </si>
  <si>
    <t>Børnehaven Cirkeline</t>
  </si>
  <si>
    <t>Varmeforbrug Graddagskorrektion [kWh/år] 2010</t>
  </si>
  <si>
    <t>Varmeforbrug Graddagskorrektion [kWh/år] 2011</t>
  </si>
  <si>
    <t>Q8</t>
  </si>
  <si>
    <t>Daginstitutionen Solsikken</t>
  </si>
  <si>
    <t>Kong Hansgade 12</t>
  </si>
  <si>
    <t>Stigsborg Brygge 5</t>
  </si>
  <si>
    <t>Grønnegangen 12</t>
  </si>
  <si>
    <t>Kirkegårdsgade 8A</t>
  </si>
  <si>
    <t>Sankt Peders Gade 3A</t>
  </si>
  <si>
    <t xml:space="preserve">Vuggestuen Hvorup Kirkevej </t>
  </si>
  <si>
    <t>Blåkildevej 55</t>
  </si>
  <si>
    <t>Doravej 99</t>
  </si>
  <si>
    <t>Vodskov</t>
  </si>
  <si>
    <t>Nibe</t>
  </si>
  <si>
    <t>Svenstrup</t>
  </si>
  <si>
    <t>Gistrup</t>
  </si>
  <si>
    <t>Vadum</t>
  </si>
  <si>
    <t>Frejlev</t>
  </si>
  <si>
    <t>Sulsted</t>
  </si>
  <si>
    <t>Gandrup</t>
  </si>
  <si>
    <t>Storvorde(Naturgas)</t>
  </si>
  <si>
    <t>Varmeforbrug [m3/år] 2010</t>
  </si>
  <si>
    <t>Varmeforbrug [m3/år] 2011</t>
  </si>
  <si>
    <t>"Træhuset" --&gt; En del af BH Skovtrolden</t>
  </si>
  <si>
    <t>Hvorup Kirkevej 7</t>
  </si>
  <si>
    <t>Bredgade 15</t>
  </si>
  <si>
    <t>Bredgade 9</t>
  </si>
  <si>
    <t>nr. 48 mangler aflæsning</t>
  </si>
  <si>
    <t>Børnehaven Bautastenen</t>
  </si>
  <si>
    <t>Børnehaven Tusindfryd</t>
  </si>
  <si>
    <t>Bemærkning</t>
  </si>
  <si>
    <t>Udvikling +/- Forbrug (2011-2010)</t>
  </si>
  <si>
    <t>Udvikling +/- Forbrug (2011-basisår)</t>
  </si>
  <si>
    <t>Udvikling +/- [kWh/år] (2011-2010)</t>
  </si>
  <si>
    <t>Udvikling +/- (2011-2010)</t>
  </si>
  <si>
    <t>CO₂ Udslip pr. m2 =</t>
  </si>
  <si>
    <t>DT =</t>
  </si>
  <si>
    <t>Udvikling +/- [Kg CO₂] (2011-2010)</t>
  </si>
  <si>
    <t>Udvikling +/- [Kg CO₂] (2011-basisår)</t>
  </si>
  <si>
    <t>Forbrug</t>
  </si>
  <si>
    <t>antal armature</t>
  </si>
  <si>
    <t>Normalår</t>
  </si>
  <si>
    <t>Driftstimer</t>
  </si>
  <si>
    <t xml:space="preserve">Basisår </t>
  </si>
  <si>
    <t>kWh/armatur/år</t>
  </si>
  <si>
    <t xml:space="preserve">kWh/år korr. </t>
  </si>
  <si>
    <t>kWh/armatur/år korr.</t>
  </si>
  <si>
    <t>Udvikling +/- (2011-basisår)</t>
  </si>
  <si>
    <t>MWh/år</t>
  </si>
  <si>
    <t>CO2 faktor kg/kWh</t>
  </si>
  <si>
    <t>kg/år</t>
  </si>
  <si>
    <t>kg/armatur/år</t>
  </si>
  <si>
    <t>CO2 udslip</t>
  </si>
  <si>
    <t>(Normalår er beregnet som gennemsnittet af 2007-2012)</t>
  </si>
  <si>
    <t>Gadelys i alt</t>
  </si>
  <si>
    <t>Fiktivt</t>
  </si>
  <si>
    <t>Basisår</t>
  </si>
  <si>
    <t>CO2-emission [kg]</t>
  </si>
  <si>
    <t>kg/kWh</t>
  </si>
  <si>
    <t>Naturgas 2009</t>
  </si>
  <si>
    <t>Naturgas 2010</t>
  </si>
  <si>
    <t>Naturgas 2011</t>
  </si>
  <si>
    <t>Fyringsolie 2009</t>
  </si>
  <si>
    <t>Fyringsolie 2010</t>
  </si>
  <si>
    <t>Fyringsolie 2011</t>
  </si>
  <si>
    <t>Fiktiv CO2-emission til sammenligning (460 g CO2/kWh for el)</t>
  </si>
  <si>
    <t>Total CO2 udledning (kg/år)</t>
  </si>
  <si>
    <t>2011-2010</t>
  </si>
  <si>
    <t xml:space="preserve">Ændring [%] </t>
  </si>
  <si>
    <t>2011-2010*</t>
  </si>
  <si>
    <t>Skoler</t>
  </si>
  <si>
    <t>Kultur</t>
  </si>
  <si>
    <t>Gadelys</t>
  </si>
  <si>
    <t>m2</t>
  </si>
  <si>
    <t>2010*</t>
  </si>
  <si>
    <t>2010**</t>
  </si>
  <si>
    <t>2011*</t>
  </si>
  <si>
    <t>2011**</t>
  </si>
  <si>
    <t>2011-2010**</t>
  </si>
  <si>
    <t>Varme GD-korr. 20/80 [kWh/år] 2010</t>
  </si>
  <si>
    <t>Varme GD-korr. 20/80 [kWh/år] 2011</t>
  </si>
  <si>
    <t>Varme GD-korr. 0/100 [kWh/år] 2010</t>
  </si>
  <si>
    <t>Varme GD-korr. 0/100 [kWh/år] 2011</t>
  </si>
  <si>
    <t>0/100  2010</t>
  </si>
  <si>
    <t>0/100 2011</t>
  </si>
  <si>
    <t>0/100 2010</t>
  </si>
  <si>
    <t xml:space="preserve">0/100 2010 </t>
  </si>
  <si>
    <t xml:space="preserve">0/100 2011 </t>
  </si>
  <si>
    <t>**</t>
  </si>
  <si>
    <t>*</t>
  </si>
  <si>
    <t>Total areal</t>
  </si>
  <si>
    <t>** korrigeret for CO2 faktor, brændtimer og graddage (guf/gaf=0/100 gl. praksis)</t>
  </si>
  <si>
    <t>* korrigeret for CO2 faktor, brændtimer og graddage (guf/gaf=20/80 ny praksis)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</si>
</sst>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MS Sans Serif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Tahoma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0D7E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93">
    <xf numFmtId="0" fontId="0" fillId="0" borderId="0" xfId="0"/>
    <xf numFmtId="0" fontId="2" fillId="0" borderId="1" xfId="0" quotePrefix="1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" fillId="3" borderId="3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6" xfId="0" quotePrefix="1" applyNumberFormat="1" applyFont="1" applyBorder="1" applyAlignment="1">
      <alignment vertical="center"/>
    </xf>
    <xf numFmtId="0" fontId="2" fillId="0" borderId="6" xfId="0" applyFont="1" applyFill="1" applyBorder="1" applyAlignment="1" applyProtection="1">
      <alignment vertical="center" wrapText="1"/>
    </xf>
    <xf numFmtId="0" fontId="0" fillId="0" borderId="1" xfId="0" applyFont="1" applyBorder="1"/>
    <xf numFmtId="0" fontId="0" fillId="0" borderId="1" xfId="0" applyBorder="1"/>
    <xf numFmtId="0" fontId="2" fillId="0" borderId="1" xfId="0" quotePrefix="1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/>
    </xf>
    <xf numFmtId="0" fontId="1" fillId="4" borderId="3" xfId="0" applyFont="1" applyFill="1" applyBorder="1"/>
    <xf numFmtId="0" fontId="0" fillId="0" borderId="6" xfId="0" applyBorder="1"/>
    <xf numFmtId="0" fontId="0" fillId="0" borderId="8" xfId="0" applyBorder="1"/>
    <xf numFmtId="0" fontId="2" fillId="0" borderId="1" xfId="0" applyFont="1" applyFill="1" applyBorder="1" applyAlignment="1" applyProtection="1">
      <alignment vertical="center" wrapText="1"/>
    </xf>
    <xf numFmtId="0" fontId="1" fillId="5" borderId="4" xfId="0" applyFont="1" applyFill="1" applyBorder="1"/>
    <xf numFmtId="0" fontId="0" fillId="0" borderId="6" xfId="0" applyFont="1" applyBorder="1"/>
    <xf numFmtId="0" fontId="0" fillId="0" borderId="13" xfId="0" applyBorder="1"/>
    <xf numFmtId="0" fontId="1" fillId="2" borderId="7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6" fillId="0" borderId="14" xfId="0" applyFont="1" applyBorder="1"/>
    <xf numFmtId="0" fontId="6" fillId="0" borderId="10" xfId="0" applyFont="1" applyBorder="1"/>
    <xf numFmtId="0" fontId="6" fillId="0" borderId="15" xfId="0" applyFont="1" applyBorder="1"/>
    <xf numFmtId="0" fontId="1" fillId="6" borderId="3" xfId="0" applyFont="1" applyFill="1" applyBorder="1"/>
    <xf numFmtId="0" fontId="7" fillId="0" borderId="6" xfId="0" quotePrefix="1" applyNumberFormat="1" applyFont="1" applyBorder="1" applyAlignment="1">
      <alignment vertical="center"/>
    </xf>
    <xf numFmtId="0" fontId="7" fillId="0" borderId="1" xfId="0" quotePrefix="1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7" fillId="0" borderId="0" xfId="0" quotePrefix="1" applyNumberFormat="1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12" xfId="0" quotePrefix="1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vertical="center"/>
    </xf>
    <xf numFmtId="0" fontId="1" fillId="4" borderId="0" xfId="0" applyFont="1" applyFill="1" applyBorder="1"/>
    <xf numFmtId="0" fontId="0" fillId="9" borderId="1" xfId="0" applyFill="1" applyBorder="1"/>
    <xf numFmtId="0" fontId="0" fillId="11" borderId="1" xfId="0" applyFill="1" applyBorder="1"/>
    <xf numFmtId="0" fontId="1" fillId="2" borderId="1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7" xfId="0" applyBorder="1"/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0" fillId="0" borderId="16" xfId="0" applyBorder="1"/>
    <xf numFmtId="0" fontId="0" fillId="8" borderId="8" xfId="0" applyFill="1" applyBorder="1"/>
    <xf numFmtId="0" fontId="0" fillId="8" borderId="16" xfId="0" applyFill="1" applyBorder="1"/>
    <xf numFmtId="0" fontId="0" fillId="0" borderId="10" xfId="0" applyBorder="1"/>
    <xf numFmtId="0" fontId="0" fillId="0" borderId="14" xfId="0" applyBorder="1"/>
    <xf numFmtId="0" fontId="6" fillId="8" borderId="16" xfId="0" applyFont="1" applyFill="1" applyBorder="1"/>
    <xf numFmtId="0" fontId="1" fillId="3" borderId="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/>
    </xf>
    <xf numFmtId="0" fontId="6" fillId="0" borderId="0" xfId="0" applyFont="1"/>
    <xf numFmtId="0" fontId="1" fillId="4" borderId="11" xfId="0" applyFont="1" applyFill="1" applyBorder="1"/>
    <xf numFmtId="0" fontId="0" fillId="0" borderId="0" xfId="0" applyFill="1" applyBorder="1"/>
    <xf numFmtId="0" fontId="1" fillId="6" borderId="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7" xfId="0" applyFont="1" applyFill="1" applyBorder="1"/>
    <xf numFmtId="0" fontId="1" fillId="5" borderId="4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1" fillId="5" borderId="7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0" fillId="11" borderId="16" xfId="0" applyFill="1" applyBorder="1"/>
    <xf numFmtId="0" fontId="1" fillId="4" borderId="4" xfId="0" applyFont="1" applyFill="1" applyBorder="1"/>
    <xf numFmtId="0" fontId="2" fillId="0" borderId="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" fillId="4" borderId="6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0" fillId="0" borderId="4" xfId="0" applyBorder="1"/>
    <xf numFmtId="0" fontId="0" fillId="0" borderId="11" xfId="0" applyBorder="1"/>
    <xf numFmtId="0" fontId="1" fillId="3" borderId="11" xfId="0" applyFont="1" applyFill="1" applyBorder="1"/>
    <xf numFmtId="0" fontId="1" fillId="3" borderId="0" xfId="0" applyFont="1" applyFill="1" applyBorder="1"/>
    <xf numFmtId="0" fontId="0" fillId="10" borderId="8" xfId="0" applyFill="1" applyBorder="1"/>
    <xf numFmtId="0" fontId="1" fillId="6" borderId="11" xfId="0" applyFont="1" applyFill="1" applyBorder="1" applyAlignment="1">
      <alignment horizontal="center"/>
    </xf>
    <xf numFmtId="0" fontId="0" fillId="0" borderId="10" xfId="0" applyFont="1" applyBorder="1"/>
    <xf numFmtId="0" fontId="2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" fillId="0" borderId="10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3" xfId="0" applyFont="1" applyBorder="1"/>
    <xf numFmtId="0" fontId="1" fillId="0" borderId="14" xfId="0" applyFont="1" applyBorder="1"/>
    <xf numFmtId="0" fontId="1" fillId="8" borderId="16" xfId="0" applyFont="1" applyFill="1" applyBorder="1"/>
    <xf numFmtId="0" fontId="1" fillId="0" borderId="0" xfId="0" applyFont="1"/>
    <xf numFmtId="0" fontId="1" fillId="0" borderId="2" xfId="0" applyFont="1" applyBorder="1"/>
    <xf numFmtId="0" fontId="1" fillId="11" borderId="9" xfId="0" applyFont="1" applyFill="1" applyBorder="1"/>
    <xf numFmtId="0" fontId="1" fillId="9" borderId="10" xfId="0" applyFont="1" applyFill="1" applyBorder="1"/>
    <xf numFmtId="0" fontId="0" fillId="7" borderId="1" xfId="0" applyFill="1" applyBorder="1"/>
    <xf numFmtId="0" fontId="6" fillId="7" borderId="10" xfId="0" applyFont="1" applyFill="1" applyBorder="1"/>
    <xf numFmtId="0" fontId="1" fillId="5" borderId="7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" fillId="0" borderId="4" xfId="0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2" xfId="0" applyFont="1" applyFill="1" applyBorder="1" applyAlignment="1" applyProtection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165" fontId="0" fillId="0" borderId="0" xfId="0" applyNumberFormat="1" applyBorder="1"/>
    <xf numFmtId="165" fontId="0" fillId="0" borderId="6" xfId="0" applyNumberFormat="1" applyBorder="1"/>
    <xf numFmtId="165" fontId="0" fillId="0" borderId="4" xfId="0" applyNumberFormat="1" applyFont="1" applyFill="1" applyBorder="1"/>
    <xf numFmtId="165" fontId="0" fillId="0" borderId="18" xfId="0" applyNumberFormat="1" applyFont="1" applyFill="1" applyBorder="1"/>
    <xf numFmtId="165" fontId="0" fillId="0" borderId="7" xfId="0" applyNumberFormat="1" applyBorder="1"/>
    <xf numFmtId="0" fontId="0" fillId="0" borderId="0" xfId="0" applyAlignment="1">
      <alignment horizontal="center"/>
    </xf>
    <xf numFmtId="1" fontId="6" fillId="0" borderId="4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0" fillId="0" borderId="1" xfId="0" applyNumberFormat="1" applyBorder="1"/>
    <xf numFmtId="165" fontId="0" fillId="0" borderId="1" xfId="0" applyNumberFormat="1" applyBorder="1"/>
    <xf numFmtId="1" fontId="1" fillId="0" borderId="10" xfId="0" applyNumberFormat="1" applyFont="1" applyBorder="1"/>
    <xf numFmtId="165" fontId="0" fillId="0" borderId="0" xfId="0" applyNumberFormat="1" applyFill="1" applyBorder="1"/>
    <xf numFmtId="1" fontId="1" fillId="2" borderId="11" xfId="0" applyNumberFormat="1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right"/>
    </xf>
    <xf numFmtId="0" fontId="1" fillId="7" borderId="9" xfId="0" applyFont="1" applyFill="1" applyBorder="1"/>
    <xf numFmtId="0" fontId="0" fillId="10" borderId="16" xfId="0" applyFill="1" applyBorder="1"/>
    <xf numFmtId="0" fontId="1" fillId="10" borderId="16" xfId="0" applyFont="1" applyFill="1" applyBorder="1"/>
    <xf numFmtId="0" fontId="0" fillId="0" borderId="17" xfId="0" applyFon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9" borderId="10" xfId="0" applyFill="1" applyBorder="1"/>
    <xf numFmtId="165" fontId="1" fillId="0" borderId="10" xfId="0" applyNumberFormat="1" applyFont="1" applyBorder="1"/>
    <xf numFmtId="1" fontId="1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9" xfId="0" applyFont="1" applyFill="1" applyBorder="1" applyAlignment="1" applyProtection="1">
      <alignment horizontal="right" vertical="center" wrapText="1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Border="1" applyAlignment="1">
      <alignment horizontal="right"/>
    </xf>
    <xf numFmtId="1" fontId="0" fillId="0" borderId="0" xfId="0" applyNumberFormat="1" applyAlignment="1">
      <alignment horizontal="right"/>
    </xf>
    <xf numFmtId="0" fontId="6" fillId="11" borderId="16" xfId="0" applyFont="1" applyFill="1" applyBorder="1"/>
    <xf numFmtId="0" fontId="14" fillId="0" borderId="10" xfId="0" applyFont="1" applyFill="1" applyBorder="1" applyAlignment="1" applyProtection="1">
      <alignment vertical="center" wrapText="1"/>
    </xf>
    <xf numFmtId="0" fontId="0" fillId="0" borderId="0" xfId="0" applyFill="1" applyBorder="1" applyAlignment="1"/>
    <xf numFmtId="0" fontId="0" fillId="14" borderId="0" xfId="0" applyFill="1" applyBorder="1" applyAlignment="1">
      <alignment horizontal="right"/>
    </xf>
    <xf numFmtId="0" fontId="0" fillId="14" borderId="0" xfId="0" applyFill="1" applyAlignment="1">
      <alignment horizontal="right"/>
    </xf>
    <xf numFmtId="0" fontId="0" fillId="14" borderId="0" xfId="0" applyFont="1" applyFill="1" applyBorder="1" applyAlignment="1">
      <alignment horizontal="right"/>
    </xf>
    <xf numFmtId="0" fontId="0" fillId="13" borderId="0" xfId="0" applyFill="1" applyBorder="1" applyAlignment="1"/>
    <xf numFmtId="0" fontId="0" fillId="14" borderId="6" xfId="0" applyFill="1" applyBorder="1"/>
    <xf numFmtId="0" fontId="0" fillId="12" borderId="0" xfId="0" applyFill="1"/>
    <xf numFmtId="3" fontId="0" fillId="0" borderId="4" xfId="0" applyNumberFormat="1" applyBorder="1"/>
    <xf numFmtId="4" fontId="0" fillId="0" borderId="21" xfId="0" applyNumberFormat="1" applyBorder="1"/>
    <xf numFmtId="3" fontId="0" fillId="0" borderId="7" xfId="0" applyNumberFormat="1" applyBorder="1"/>
    <xf numFmtId="1" fontId="1" fillId="0" borderId="16" xfId="0" applyNumberFormat="1" applyFont="1" applyBorder="1"/>
    <xf numFmtId="166" fontId="0" fillId="0" borderId="7" xfId="1" applyNumberFormat="1" applyFont="1" applyBorder="1"/>
    <xf numFmtId="1" fontId="1" fillId="0" borderId="15" xfId="0" applyNumberFormat="1" applyFon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5" xfId="0" applyNumberFormat="1" applyFont="1" applyBorder="1"/>
    <xf numFmtId="1" fontId="0" fillId="0" borderId="14" xfId="0" applyNumberFormat="1" applyFont="1" applyBorder="1"/>
    <xf numFmtId="1" fontId="0" fillId="0" borderId="0" xfId="0" applyNumberFormat="1" applyFill="1" applyBorder="1" applyAlignment="1"/>
    <xf numFmtId="0" fontId="0" fillId="14" borderId="8" xfId="0" applyFill="1" applyBorder="1"/>
    <xf numFmtId="0" fontId="0" fillId="14" borderId="1" xfId="0" applyFill="1" applyBorder="1"/>
    <xf numFmtId="0" fontId="0" fillId="14" borderId="0" xfId="0" applyFill="1" applyBorder="1"/>
    <xf numFmtId="0" fontId="0" fillId="14" borderId="0" xfId="0" applyFill="1"/>
    <xf numFmtId="0" fontId="0" fillId="14" borderId="6" xfId="0" applyFill="1" applyBorder="1" applyAlignment="1">
      <alignment horizontal="right"/>
    </xf>
    <xf numFmtId="0" fontId="0" fillId="14" borderId="6" xfId="0" applyFont="1" applyFill="1" applyBorder="1"/>
    <xf numFmtId="0" fontId="2" fillId="0" borderId="1" xfId="0" quotePrefix="1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8" xfId="0" applyFill="1" applyBorder="1"/>
    <xf numFmtId="1" fontId="0" fillId="0" borderId="0" xfId="0" applyNumberForma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2" fillId="0" borderId="12" xfId="0" quotePrefix="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9" fillId="0" borderId="6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20" fillId="0" borderId="12" xfId="0" applyFont="1" applyFill="1" applyBorder="1" applyAlignment="1" applyProtection="1">
      <alignment horizontal="right" vertical="center" wrapText="1"/>
    </xf>
    <xf numFmtId="1" fontId="0" fillId="0" borderId="8" xfId="0" applyNumberFormat="1" applyFill="1" applyBorder="1" applyAlignment="1"/>
    <xf numFmtId="1" fontId="0" fillId="0" borderId="6" xfId="0" applyNumberFormat="1" applyFill="1" applyBorder="1" applyAlignment="1">
      <alignment vertical="center" wrapText="1"/>
    </xf>
    <xf numFmtId="0" fontId="0" fillId="0" borderId="1" xfId="0" applyFill="1" applyBorder="1" applyAlignment="1"/>
    <xf numFmtId="0" fontId="15" fillId="0" borderId="1" xfId="0" applyFont="1" applyFill="1" applyBorder="1" applyAlignment="1"/>
    <xf numFmtId="0" fontId="2" fillId="0" borderId="6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6" xfId="0" applyFill="1" applyBorder="1"/>
    <xf numFmtId="0" fontId="0" fillId="0" borderId="1" xfId="0" applyFill="1" applyBorder="1" applyAlignment="1">
      <alignment vertical="center" wrapText="1"/>
    </xf>
    <xf numFmtId="0" fontId="6" fillId="0" borderId="14" xfId="0" applyFont="1" applyFill="1" applyBorder="1"/>
    <xf numFmtId="0" fontId="6" fillId="0" borderId="10" xfId="0" applyFont="1" applyFill="1" applyBorder="1"/>
    <xf numFmtId="0" fontId="6" fillId="0" borderId="10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1" fontId="6" fillId="0" borderId="15" xfId="0" applyNumberFormat="1" applyFont="1" applyFill="1" applyBorder="1" applyAlignment="1"/>
    <xf numFmtId="1" fontId="0" fillId="0" borderId="15" xfId="0" applyNumberFormat="1" applyFill="1" applyBorder="1" applyAlignment="1">
      <alignment vertical="center" wrapText="1"/>
    </xf>
    <xf numFmtId="1" fontId="6" fillId="0" borderId="16" xfId="0" applyNumberFormat="1" applyFont="1" applyFill="1" applyBorder="1" applyAlignment="1"/>
    <xf numFmtId="1" fontId="0" fillId="0" borderId="16" xfId="0" applyNumberFormat="1" applyFill="1" applyBorder="1" applyAlignment="1"/>
    <xf numFmtId="0" fontId="6" fillId="0" borderId="15" xfId="0" applyFont="1" applyFill="1" applyBorder="1"/>
    <xf numFmtId="1" fontId="0" fillId="0" borderId="11" xfId="0" applyNumberFormat="1" applyFill="1" applyBorder="1" applyAlignment="1"/>
    <xf numFmtId="1" fontId="6" fillId="0" borderId="11" xfId="0" applyNumberFormat="1" applyFont="1" applyFill="1" applyBorder="1" applyAlignment="1"/>
    <xf numFmtId="1" fontId="6" fillId="0" borderId="15" xfId="0" applyNumberFormat="1" applyFont="1" applyFill="1" applyBorder="1" applyAlignment="1">
      <alignment vertical="center" wrapText="1"/>
    </xf>
    <xf numFmtId="1" fontId="6" fillId="0" borderId="4" xfId="0" applyNumberFormat="1" applyFont="1" applyFill="1" applyBorder="1" applyAlignment="1"/>
    <xf numFmtId="1" fontId="0" fillId="0" borderId="7" xfId="0" applyNumberFormat="1" applyFill="1" applyBorder="1" applyAlignment="1"/>
    <xf numFmtId="0" fontId="1" fillId="0" borderId="10" xfId="0" applyFont="1" applyFill="1" applyBorder="1"/>
    <xf numFmtId="0" fontId="1" fillId="0" borderId="15" xfId="0" applyFont="1" applyFill="1" applyBorder="1"/>
    <xf numFmtId="0" fontId="1" fillId="0" borderId="10" xfId="0" applyFont="1" applyFill="1" applyBorder="1" applyAlignment="1"/>
    <xf numFmtId="0" fontId="1" fillId="0" borderId="13" xfId="0" applyFont="1" applyFill="1" applyBorder="1" applyAlignment="1"/>
    <xf numFmtId="1" fontId="1" fillId="0" borderId="15" xfId="0" applyNumberFormat="1" applyFont="1" applyFill="1" applyBorder="1" applyAlignment="1"/>
    <xf numFmtId="1" fontId="1" fillId="0" borderId="14" xfId="0" applyNumberFormat="1" applyFont="1" applyFill="1" applyBorder="1" applyAlignment="1"/>
    <xf numFmtId="1" fontId="1" fillId="0" borderId="15" xfId="0" applyNumberFormat="1" applyFont="1" applyFill="1" applyBorder="1" applyAlignment="1">
      <alignment vertical="center" wrapText="1"/>
    </xf>
    <xf numFmtId="0" fontId="0" fillId="0" borderId="10" xfId="0" applyFill="1" applyBorder="1"/>
    <xf numFmtId="0" fontId="0" fillId="0" borderId="15" xfId="0" applyFill="1" applyBorder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1" fontId="0" fillId="0" borderId="15" xfId="0" applyNumberFormat="1" applyFill="1" applyBorder="1" applyAlignment="1"/>
    <xf numFmtId="1" fontId="0" fillId="0" borderId="14" xfId="0" applyNumberFormat="1" applyFill="1" applyBorder="1" applyAlignment="1"/>
    <xf numFmtId="1" fontId="0" fillId="0" borderId="9" xfId="0" applyNumberFormat="1" applyFill="1" applyBorder="1" applyAlignment="1"/>
    <xf numFmtId="1" fontId="0" fillId="0" borderId="11" xfId="0" applyNumberFormat="1" applyFill="1" applyBorder="1" applyAlignment="1">
      <alignment vertical="center" wrapText="1"/>
    </xf>
    <xf numFmtId="1" fontId="1" fillId="0" borderId="0" xfId="0" applyNumberFormat="1" applyFont="1"/>
    <xf numFmtId="0" fontId="1" fillId="13" borderId="15" xfId="0" applyFont="1" applyFill="1" applyBorder="1" applyAlignment="1">
      <alignment horizontal="left"/>
    </xf>
    <xf numFmtId="0" fontId="0" fillId="13" borderId="15" xfId="0" applyFill="1" applyBorder="1" applyAlignment="1"/>
    <xf numFmtId="1" fontId="1" fillId="0" borderId="16" xfId="0" applyNumberFormat="1" applyFont="1" applyFill="1" applyBorder="1" applyAlignment="1"/>
    <xf numFmtId="1" fontId="1" fillId="0" borderId="0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0" fontId="1" fillId="13" borderId="13" xfId="0" applyFont="1" applyFill="1" applyBorder="1" applyAlignment="1">
      <alignment horizontal="left"/>
    </xf>
    <xf numFmtId="0" fontId="0" fillId="13" borderId="13" xfId="0" applyFill="1" applyBorder="1" applyAlignment="1"/>
    <xf numFmtId="1" fontId="0" fillId="0" borderId="17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7" borderId="9" xfId="0" applyFont="1" applyFill="1" applyBorder="1"/>
    <xf numFmtId="1" fontId="1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7" borderId="2" xfId="0" applyFont="1" applyFill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" fontId="0" fillId="0" borderId="0" xfId="0" applyNumberFormat="1"/>
    <xf numFmtId="0" fontId="1" fillId="5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0" fillId="0" borderId="29" xfId="0" applyBorder="1"/>
    <xf numFmtId="0" fontId="0" fillId="0" borderId="21" xfId="0" applyBorder="1"/>
    <xf numFmtId="0" fontId="0" fillId="0" borderId="30" xfId="0" applyBorder="1"/>
    <xf numFmtId="1" fontId="0" fillId="0" borderId="29" xfId="0" applyNumberFormat="1" applyBorder="1"/>
    <xf numFmtId="1" fontId="0" fillId="0" borderId="21" xfId="0" applyNumberFormat="1" applyBorder="1"/>
    <xf numFmtId="1" fontId="0" fillId="0" borderId="30" xfId="0" applyNumberFormat="1" applyBorder="1"/>
    <xf numFmtId="0" fontId="0" fillId="0" borderId="31" xfId="0" applyBorder="1"/>
    <xf numFmtId="1" fontId="1" fillId="0" borderId="9" xfId="0" applyNumberFormat="1" applyFont="1" applyBorder="1" applyAlignment="1">
      <alignment horizontal="right"/>
    </xf>
    <xf numFmtId="9" fontId="0" fillId="0" borderId="0" xfId="2" applyFont="1"/>
    <xf numFmtId="1" fontId="0" fillId="0" borderId="4" xfId="0" applyNumberFormat="1" applyFont="1" applyFill="1" applyBorder="1"/>
    <xf numFmtId="1" fontId="0" fillId="0" borderId="18" xfId="0" applyNumberFormat="1" applyFont="1" applyFill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0" xfId="0" applyNumberFormat="1" applyFill="1" applyBorder="1"/>
    <xf numFmtId="0" fontId="21" fillId="0" borderId="0" xfId="0" applyFont="1"/>
    <xf numFmtId="164" fontId="0" fillId="0" borderId="0" xfId="0" applyNumberFormat="1"/>
    <xf numFmtId="1" fontId="0" fillId="0" borderId="8" xfId="0" applyNumberFormat="1" applyBorder="1"/>
    <xf numFmtId="0" fontId="0" fillId="0" borderId="15" xfId="0" applyBorder="1"/>
    <xf numFmtId="0" fontId="0" fillId="0" borderId="3" xfId="0" applyBorder="1"/>
    <xf numFmtId="0" fontId="12" fillId="0" borderId="14" xfId="0" applyFont="1" applyBorder="1"/>
    <xf numFmtId="0" fontId="22" fillId="0" borderId="0" xfId="0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1" fontId="0" fillId="0" borderId="0" xfId="2" applyNumberFormat="1" applyFont="1"/>
    <xf numFmtId="1" fontId="0" fillId="0" borderId="1" xfId="2" applyNumberFormat="1" applyFont="1" applyBorder="1"/>
    <xf numFmtId="1" fontId="1" fillId="0" borderId="0" xfId="0" applyNumberFormat="1" applyFont="1" applyBorder="1"/>
    <xf numFmtId="1" fontId="0" fillId="0" borderId="0" xfId="2" applyNumberFormat="1" applyFont="1" applyBorder="1"/>
    <xf numFmtId="1" fontId="0" fillId="0" borderId="8" xfId="0" applyNumberFormat="1" applyFill="1" applyBorder="1" applyAlignment="1">
      <alignment vertical="center" wrapText="1"/>
    </xf>
    <xf numFmtId="1" fontId="6" fillId="0" borderId="14" xfId="0" applyNumberFormat="1" applyFont="1" applyFill="1" applyBorder="1" applyAlignment="1"/>
    <xf numFmtId="164" fontId="0" fillId="0" borderId="6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/>
    <xf numFmtId="164" fontId="1" fillId="0" borderId="14" xfId="0" applyNumberFormat="1" applyFont="1" applyFill="1" applyBorder="1" applyAlignment="1"/>
    <xf numFmtId="13" fontId="1" fillId="2" borderId="11" xfId="0" applyNumberFormat="1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1" fontId="0" fillId="15" borderId="15" xfId="0" applyNumberFormat="1" applyFill="1" applyBorder="1" applyAlignment="1">
      <alignment horizontal="right"/>
    </xf>
    <xf numFmtId="1" fontId="0" fillId="15" borderId="0" xfId="0" applyNumberFormat="1" applyFill="1" applyBorder="1" applyAlignment="1">
      <alignment horizontal="right"/>
    </xf>
    <xf numFmtId="1" fontId="1" fillId="15" borderId="0" xfId="0" applyNumberFormat="1" applyFont="1" applyFill="1"/>
    <xf numFmtId="1" fontId="1" fillId="15" borderId="15" xfId="0" applyNumberFormat="1" applyFont="1" applyFill="1" applyBorder="1" applyAlignment="1">
      <alignment horizontal="right"/>
    </xf>
    <xf numFmtId="1" fontId="0" fillId="15" borderId="14" xfId="0" applyNumberFormat="1" applyFill="1" applyBorder="1" applyAlignment="1"/>
    <xf numFmtId="1" fontId="0" fillId="15" borderId="15" xfId="0" applyNumberFormat="1" applyFill="1" applyBorder="1" applyAlignment="1"/>
    <xf numFmtId="1" fontId="1" fillId="15" borderId="14" xfId="0" applyNumberFormat="1" applyFont="1" applyFill="1" applyBorder="1" applyAlignment="1"/>
    <xf numFmtId="1" fontId="1" fillId="15" borderId="15" xfId="0" applyNumberFormat="1" applyFont="1" applyFill="1" applyBorder="1" applyAlignment="1"/>
    <xf numFmtId="1" fontId="0" fillId="15" borderId="13" xfId="0" applyNumberFormat="1" applyFont="1" applyFill="1" applyBorder="1" applyAlignment="1">
      <alignment horizontal="right"/>
    </xf>
    <xf numFmtId="1" fontId="1" fillId="15" borderId="13" xfId="0" applyNumberFormat="1" applyFont="1" applyFill="1" applyBorder="1" applyAlignment="1">
      <alignment horizontal="right"/>
    </xf>
    <xf numFmtId="1" fontId="0" fillId="15" borderId="21" xfId="0" applyNumberFormat="1" applyFill="1" applyBorder="1"/>
    <xf numFmtId="1" fontId="0" fillId="15" borderId="30" xfId="0" applyNumberFormat="1" applyFill="1" applyBorder="1"/>
    <xf numFmtId="1" fontId="0" fillId="15" borderId="29" xfId="0" applyNumberFormat="1" applyFill="1" applyBorder="1"/>
    <xf numFmtId="1" fontId="1" fillId="15" borderId="16" xfId="0" applyNumberFormat="1" applyFont="1" applyFill="1" applyBorder="1"/>
    <xf numFmtId="9" fontId="1" fillId="0" borderId="0" xfId="2" applyFont="1" applyBorder="1"/>
    <xf numFmtId="1" fontId="0" fillId="0" borderId="3" xfId="2" applyNumberFormat="1" applyFont="1" applyBorder="1"/>
    <xf numFmtId="1" fontId="0" fillId="0" borderId="2" xfId="2" applyNumberFormat="1" applyFont="1" applyBorder="1"/>
    <xf numFmtId="0" fontId="1" fillId="0" borderId="0" xfId="0" applyFont="1" applyBorder="1"/>
    <xf numFmtId="0" fontId="5" fillId="0" borderId="1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6" fillId="7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" fontId="6" fillId="15" borderId="15" xfId="0" applyNumberFormat="1" applyFont="1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1" fontId="0" fillId="14" borderId="15" xfId="0" applyNumberFormat="1" applyFill="1" applyBorder="1" applyAlignment="1">
      <alignment horizontal="right"/>
    </xf>
    <xf numFmtId="1" fontId="0" fillId="14" borderId="16" xfId="0" applyNumberFormat="1" applyFill="1" applyBorder="1" applyAlignment="1">
      <alignment horizontal="right"/>
    </xf>
    <xf numFmtId="1" fontId="0" fillId="14" borderId="0" xfId="0" applyNumberFormat="1" applyFill="1" applyBorder="1" applyAlignment="1">
      <alignment horizontal="right"/>
    </xf>
    <xf numFmtId="1" fontId="0" fillId="14" borderId="8" xfId="0" applyNumberFormat="1" applyFill="1" applyBorder="1" applyAlignment="1">
      <alignment horizontal="right"/>
    </xf>
    <xf numFmtId="1" fontId="0" fillId="14" borderId="13" xfId="0" applyNumberFormat="1" applyFill="1" applyBorder="1" applyAlignment="1">
      <alignment horizontal="right"/>
    </xf>
    <xf numFmtId="0" fontId="0" fillId="14" borderId="13" xfId="0" applyFill="1" applyBorder="1" applyAlignment="1">
      <alignment horizontal="right"/>
    </xf>
    <xf numFmtId="1" fontId="0" fillId="14" borderId="17" xfId="0" applyNumberFormat="1" applyFill="1" applyBorder="1" applyAlignment="1">
      <alignment horizontal="right"/>
    </xf>
    <xf numFmtId="1" fontId="0" fillId="14" borderId="9" xfId="0" applyNumberFormat="1" applyFill="1" applyBorder="1" applyAlignment="1">
      <alignment horizontal="right"/>
    </xf>
    <xf numFmtId="1" fontId="0" fillId="14" borderId="6" xfId="0" applyNumberFormat="1" applyFill="1" applyBorder="1" applyAlignment="1">
      <alignment horizontal="right"/>
    </xf>
    <xf numFmtId="0" fontId="0" fillId="14" borderId="2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84</xdr:row>
      <xdr:rowOff>0</xdr:rowOff>
    </xdr:from>
    <xdr:to>
      <xdr:col>4</xdr:col>
      <xdr:colOff>66675</xdr:colOff>
      <xdr:row>84</xdr:row>
      <xdr:rowOff>95250</xdr:rowOff>
    </xdr:to>
    <xdr:pic>
      <xdr:nvPicPr>
        <xdr:cNvPr id="10241" name="Picture 1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8605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66675</xdr:colOff>
      <xdr:row>84</xdr:row>
      <xdr:rowOff>95250</xdr:rowOff>
    </xdr:to>
    <xdr:pic>
      <xdr:nvPicPr>
        <xdr:cNvPr id="10242" name="Picture 2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1125" y="268605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66675</xdr:colOff>
      <xdr:row>84</xdr:row>
      <xdr:rowOff>95250</xdr:rowOff>
    </xdr:to>
    <xdr:pic>
      <xdr:nvPicPr>
        <xdr:cNvPr id="10243" name="Picture 3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9125" y="268605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66675</xdr:colOff>
      <xdr:row>84</xdr:row>
      <xdr:rowOff>95250</xdr:rowOff>
    </xdr:to>
    <xdr:pic>
      <xdr:nvPicPr>
        <xdr:cNvPr id="10244" name="Picture 4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01600" y="268605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66675</xdr:colOff>
      <xdr:row>84</xdr:row>
      <xdr:rowOff>95250</xdr:rowOff>
    </xdr:to>
    <xdr:pic>
      <xdr:nvPicPr>
        <xdr:cNvPr id="10245" name="Picture 5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6700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66675</xdr:colOff>
      <xdr:row>84</xdr:row>
      <xdr:rowOff>95250</xdr:rowOff>
    </xdr:to>
    <xdr:pic>
      <xdr:nvPicPr>
        <xdr:cNvPr id="10246" name="Picture 6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1125" y="266700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66675</xdr:colOff>
      <xdr:row>84</xdr:row>
      <xdr:rowOff>95250</xdr:rowOff>
    </xdr:to>
    <xdr:pic>
      <xdr:nvPicPr>
        <xdr:cNvPr id="10247" name="Picture 7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9125" y="266700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66675</xdr:colOff>
      <xdr:row>84</xdr:row>
      <xdr:rowOff>95250</xdr:rowOff>
    </xdr:to>
    <xdr:pic>
      <xdr:nvPicPr>
        <xdr:cNvPr id="10248" name="Picture 8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01600" y="26670000"/>
          <a:ext cx="66675" cy="95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33</xdr:row>
      <xdr:rowOff>0</xdr:rowOff>
    </xdr:from>
    <xdr:to>
      <xdr:col>7</xdr:col>
      <xdr:colOff>66675</xdr:colOff>
      <xdr:row>33</xdr:row>
      <xdr:rowOff>95250</xdr:rowOff>
    </xdr:to>
    <xdr:pic>
      <xdr:nvPicPr>
        <xdr:cNvPr id="9217" name="Picture 1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92964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66675</xdr:colOff>
      <xdr:row>33</xdr:row>
      <xdr:rowOff>95250</xdr:rowOff>
    </xdr:to>
    <xdr:pic>
      <xdr:nvPicPr>
        <xdr:cNvPr id="9218" name="Picture 2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11075" y="92964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66675</xdr:colOff>
      <xdr:row>33</xdr:row>
      <xdr:rowOff>95250</xdr:rowOff>
    </xdr:to>
    <xdr:pic>
      <xdr:nvPicPr>
        <xdr:cNvPr id="9219" name="Picture 3" descr="http://aalborg.energykey.dk/base/images/table/sort-as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9296400"/>
          <a:ext cx="66675" cy="95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33</xdr:row>
      <xdr:rowOff>95250</xdr:rowOff>
    </xdr:to>
    <xdr:pic>
      <xdr:nvPicPr>
        <xdr:cNvPr id="9220" name="Picture 4" descr="http://aalborg.energykey.dk/base/images/table/sort-non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35375" y="9296400"/>
          <a:ext cx="66675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workbookViewId="0">
      <selection activeCell="G36" sqref="G36"/>
    </sheetView>
  </sheetViews>
  <sheetFormatPr defaultRowHeight="15"/>
  <cols>
    <col min="1" max="1" width="32.140625" customWidth="1"/>
    <col min="2" max="2" width="11.42578125" customWidth="1"/>
    <col min="3" max="3" width="12.28515625" customWidth="1"/>
    <col min="4" max="4" width="11.5703125" customWidth="1"/>
    <col min="5" max="5" width="11" customWidth="1"/>
    <col min="6" max="7" width="11.140625" customWidth="1"/>
    <col min="8" max="8" width="13.42578125" customWidth="1"/>
    <col min="9" max="10" width="12.28515625" customWidth="1"/>
    <col min="11" max="11" width="10.7109375" bestFit="1" customWidth="1"/>
    <col min="12" max="12" width="10.7109375" style="5" customWidth="1"/>
  </cols>
  <sheetData>
    <row r="1" spans="1:12" ht="21">
      <c r="A1" s="332" t="s">
        <v>294</v>
      </c>
    </row>
    <row r="2" spans="1:12" ht="18.75">
      <c r="A2" s="326"/>
    </row>
    <row r="3" spans="1:12" ht="15.75">
      <c r="A3" s="114" t="s">
        <v>300</v>
      </c>
      <c r="B3" s="331" t="s">
        <v>419</v>
      </c>
      <c r="C3" s="329"/>
      <c r="D3" s="329"/>
      <c r="E3" s="329"/>
      <c r="F3" s="329"/>
      <c r="G3" s="45"/>
      <c r="H3" s="331" t="s">
        <v>421</v>
      </c>
      <c r="I3" s="329"/>
      <c r="J3" s="329"/>
      <c r="K3" s="330">
        <v>2011</v>
      </c>
      <c r="L3" s="363" t="s">
        <v>443</v>
      </c>
    </row>
    <row r="4" spans="1:12">
      <c r="A4" s="49" t="s">
        <v>301</v>
      </c>
      <c r="B4" s="115">
        <v>2010</v>
      </c>
      <c r="C4" s="115" t="s">
        <v>427</v>
      </c>
      <c r="D4" s="115" t="s">
        <v>428</v>
      </c>
      <c r="E4" s="115">
        <v>2011</v>
      </c>
      <c r="F4" s="115" t="s">
        <v>429</v>
      </c>
      <c r="G4" s="112" t="s">
        <v>430</v>
      </c>
      <c r="H4" s="115" t="s">
        <v>420</v>
      </c>
      <c r="I4" s="115" t="s">
        <v>422</v>
      </c>
      <c r="J4" s="115" t="s">
        <v>431</v>
      </c>
      <c r="K4" s="334" t="s">
        <v>426</v>
      </c>
      <c r="L4" s="158">
        <v>814000</v>
      </c>
    </row>
    <row r="5" spans="1:12">
      <c r="A5" s="100" t="s">
        <v>302</v>
      </c>
      <c r="B5" s="158">
        <f t="shared" ref="B5:G5" si="0">SUM(B6:B10)</f>
        <v>20652378.953686997</v>
      </c>
      <c r="C5" s="158">
        <f t="shared" si="0"/>
        <v>19271211.825125225</v>
      </c>
      <c r="D5" s="158">
        <f t="shared" si="0"/>
        <v>18914306.442247003</v>
      </c>
      <c r="E5" s="158">
        <f t="shared" si="0"/>
        <v>16542421.985341402</v>
      </c>
      <c r="F5" s="158">
        <f t="shared" si="0"/>
        <v>19030462.124676589</v>
      </c>
      <c r="G5" s="213">
        <f t="shared" si="0"/>
        <v>19104194.434422735</v>
      </c>
      <c r="H5" s="169">
        <f t="shared" ref="H5:H16" si="1">(E5-B5)/B5*100</f>
        <v>-19.900646688510719</v>
      </c>
      <c r="I5" s="169">
        <f t="shared" ref="I5:I16" si="2">(F5-C5)/C5*100</f>
        <v>-1.2492712063636484</v>
      </c>
      <c r="J5" s="169">
        <f t="shared" ref="J5:J16" si="3">(G5-D5)/D5*100</f>
        <v>1.0039384354670171</v>
      </c>
      <c r="K5" s="158">
        <f>SUM(K6:K10)</f>
        <v>599181</v>
      </c>
      <c r="L5" s="360">
        <f>K5/L4</f>
        <v>0.73609459459459459</v>
      </c>
    </row>
    <row r="6" spans="1:12">
      <c r="A6" t="s">
        <v>346</v>
      </c>
      <c r="B6" s="156">
        <f>'Børn og unge'!V75+'Familie- og beskæftigelse'!AE3</f>
        <v>1290723.4289029997</v>
      </c>
      <c r="C6" s="156">
        <f>'Børn og unge'!AL76+'Familie- og beskæftigelse'!AW3</f>
        <v>1187922.4096216569</v>
      </c>
      <c r="D6" s="156">
        <f>'Børn og unge'!AN76+'Familie- og beskæftigelse'!AY3</f>
        <v>1166082.7374865464</v>
      </c>
      <c r="E6" s="156">
        <f>'Børn og unge'!W75+'Familie- og beskæftigelse'!AF3</f>
        <v>1050286.1476772998</v>
      </c>
      <c r="F6" s="156">
        <f>'Børn og unge'!AM76+'Familie- og beskæftigelse'!AX3</f>
        <v>1180847.4337103525</v>
      </c>
      <c r="G6" s="328">
        <f>'Børn og unge'!AO76+'Familie- og beskæftigelse'!AZ3</f>
        <v>1185552.1956174904</v>
      </c>
      <c r="H6" s="157">
        <f t="shared" si="1"/>
        <v>-18.628102337156012</v>
      </c>
      <c r="I6" s="157">
        <f t="shared" si="2"/>
        <v>-0.59557559096453727</v>
      </c>
      <c r="J6" s="157">
        <f t="shared" si="3"/>
        <v>1.6696463728559985</v>
      </c>
      <c r="K6" s="361">
        <f>'Børn og unge'!D75+'Familie- og beskæftigelse'!C3</f>
        <v>35484</v>
      </c>
      <c r="L6" s="338"/>
    </row>
    <row r="7" spans="1:12">
      <c r="A7" t="s">
        <v>423</v>
      </c>
      <c r="B7" s="156">
        <f>'Skole og Kulturforvaltningen'!AE55</f>
        <v>11689602.564935999</v>
      </c>
      <c r="C7" s="156">
        <f>'Skole og Kulturforvaltningen'!AU56</f>
        <v>10943821.722540749</v>
      </c>
      <c r="D7" s="156">
        <f>'Skole og Kulturforvaltningen'!AW56</f>
        <v>10692240.259235438</v>
      </c>
      <c r="E7" s="156">
        <f>'Skole og Kulturforvaltningen'!AF55</f>
        <v>9165893.7389210016</v>
      </c>
      <c r="F7" s="156">
        <f>'Skole og Kulturforvaltningen'!AV56</f>
        <v>10690763.967083305</v>
      </c>
      <c r="G7" s="328">
        <f>'Skole og Kulturforvaltningen'!AX56</f>
        <v>10741284.299181383</v>
      </c>
      <c r="H7" s="157">
        <f t="shared" si="1"/>
        <v>-21.589346703583288</v>
      </c>
      <c r="I7" s="157">
        <f t="shared" si="2"/>
        <v>-2.3123344099824528</v>
      </c>
      <c r="J7" s="157">
        <f t="shared" si="3"/>
        <v>0.45868815848562028</v>
      </c>
      <c r="K7" s="336">
        <f>'Skole og Kulturforvaltningen'!C55</f>
        <v>403590</v>
      </c>
      <c r="L7" s="338"/>
    </row>
    <row r="8" spans="1:12">
      <c r="A8" t="s">
        <v>424</v>
      </c>
      <c r="B8" s="156">
        <f>'Skole og Kulturforvaltningen'!AE62</f>
        <v>1442961.8794000002</v>
      </c>
      <c r="C8" s="156">
        <f>'Skole og Kulturforvaltningen'!AU63</f>
        <v>1380876.7671873101</v>
      </c>
      <c r="D8" s="156">
        <f>'Skole og Kulturforvaltningen'!AW63</f>
        <v>1370164.2553281377</v>
      </c>
      <c r="E8" s="156">
        <f>'Skole og Kulturforvaltningen'!AF62</f>
        <v>1246526.3472630002</v>
      </c>
      <c r="F8" s="156">
        <f>'Skole og Kulturforvaltningen'!AV63</f>
        <v>1433459.353038392</v>
      </c>
      <c r="G8" s="300">
        <f>'Skole og Kulturforvaltningen'!AX63</f>
        <v>1436208.2599414899</v>
      </c>
      <c r="H8" s="157">
        <f t="shared" si="1"/>
        <v>-13.613355622303766</v>
      </c>
      <c r="I8" s="157">
        <f t="shared" si="2"/>
        <v>3.8079129941614309</v>
      </c>
      <c r="J8" s="157">
        <f t="shared" si="3"/>
        <v>4.8201523544734055</v>
      </c>
      <c r="K8" s="156">
        <f>'Skole og Kulturforvaltningen'!C62</f>
        <v>29646</v>
      </c>
      <c r="L8" s="323"/>
    </row>
    <row r="9" spans="1:12">
      <c r="A9" t="s">
        <v>347</v>
      </c>
      <c r="B9" s="156">
        <f>Ejendomsadministrationen!AF29</f>
        <v>3730162.9862560001</v>
      </c>
      <c r="C9" s="156">
        <f>Ejendomsadministrationen!AV30</f>
        <v>3523696.49773663</v>
      </c>
      <c r="D9" s="156">
        <f>Ejendomsadministrationen!AX30</f>
        <v>3490247.3191607874</v>
      </c>
      <c r="E9" s="156">
        <f>Ejendomsadministrationen!AG29</f>
        <v>3003790.5801569996</v>
      </c>
      <c r="F9" s="156">
        <f>Ejendomsadministrationen!AW30</f>
        <v>3446530.5147671765</v>
      </c>
      <c r="G9" s="328">
        <f>Ejendomsadministrationen!AY30</f>
        <v>3453657.9187487201</v>
      </c>
      <c r="H9" s="157">
        <f t="shared" si="1"/>
        <v>-19.472940157718615</v>
      </c>
      <c r="I9" s="157">
        <f t="shared" si="2"/>
        <v>-2.1899157041197914</v>
      </c>
      <c r="J9" s="157">
        <f t="shared" si="3"/>
        <v>-1.0483325984149754</v>
      </c>
      <c r="K9" s="336">
        <f>Ejendomsadministrationen!D29</f>
        <v>69072</v>
      </c>
      <c r="L9" s="338"/>
    </row>
    <row r="10" spans="1:12">
      <c r="A10" t="s">
        <v>248</v>
      </c>
      <c r="B10" s="156">
        <f>'Ældre- og handicap'!AF26</f>
        <v>2498928.0941920001</v>
      </c>
      <c r="C10" s="156">
        <f>'Ældre- og handicap'!AV27</f>
        <v>2234894.428038876</v>
      </c>
      <c r="D10" s="156">
        <f>'Ældre- og handicap'!AX27</f>
        <v>2195571.8710360951</v>
      </c>
      <c r="E10" s="156">
        <f>'Ældre- og handicap'!AG26</f>
        <v>2075925.1713230999</v>
      </c>
      <c r="F10" s="156">
        <f>'Ældre- og handicap'!AW27</f>
        <v>2278860.8560773628</v>
      </c>
      <c r="G10" s="328">
        <f>'Ældre- og handicap'!AY27</f>
        <v>2287491.7609336539</v>
      </c>
      <c r="H10" s="157">
        <f t="shared" si="1"/>
        <v>-16.927374735273183</v>
      </c>
      <c r="I10" s="157">
        <f t="shared" si="2"/>
        <v>1.9672709138689546</v>
      </c>
      <c r="J10" s="157">
        <f t="shared" si="3"/>
        <v>4.1866035500892824</v>
      </c>
      <c r="K10" s="362">
        <f>'Ældre- og handicap'!D26</f>
        <v>61389</v>
      </c>
      <c r="L10" s="338"/>
    </row>
    <row r="11" spans="1:12">
      <c r="A11" s="100" t="s">
        <v>407</v>
      </c>
      <c r="B11" s="158">
        <f t="shared" ref="B11:G11" si="4">SUM(B12:B12)</f>
        <v>5358815</v>
      </c>
      <c r="C11" s="158">
        <f t="shared" si="4"/>
        <v>5586248.861646235</v>
      </c>
      <c r="D11" s="158">
        <f t="shared" si="4"/>
        <v>5586248.861646235</v>
      </c>
      <c r="E11" s="158">
        <f t="shared" si="4"/>
        <v>4509162</v>
      </c>
      <c r="F11" s="158">
        <f t="shared" si="4"/>
        <v>5399712.5042342125</v>
      </c>
      <c r="G11" s="213">
        <f t="shared" si="4"/>
        <v>5399712.5042342125</v>
      </c>
      <c r="H11" s="169">
        <f t="shared" si="1"/>
        <v>-15.85524038430138</v>
      </c>
      <c r="I11" s="169">
        <f t="shared" si="2"/>
        <v>-3.3392060044573695</v>
      </c>
      <c r="J11" s="169">
        <f t="shared" si="3"/>
        <v>-3.3392060044573695</v>
      </c>
      <c r="L11" s="337"/>
    </row>
    <row r="12" spans="1:12">
      <c r="A12" t="s">
        <v>425</v>
      </c>
      <c r="B12" s="156">
        <f>Gadelys!C5</f>
        <v>5358815</v>
      </c>
      <c r="C12" s="156">
        <f>Gadelys!K6</f>
        <v>5586248.861646235</v>
      </c>
      <c r="D12" s="156">
        <f>C12</f>
        <v>5586248.861646235</v>
      </c>
      <c r="E12" s="156">
        <f>Gadelys!D5</f>
        <v>4509162</v>
      </c>
      <c r="F12" s="156">
        <f>Gadelys!L6</f>
        <v>5399712.5042342125</v>
      </c>
      <c r="G12" s="328">
        <f>F12</f>
        <v>5399712.5042342125</v>
      </c>
      <c r="H12" s="157">
        <f t="shared" si="1"/>
        <v>-15.85524038430138</v>
      </c>
      <c r="I12" s="157">
        <f t="shared" si="2"/>
        <v>-3.3392060044573695</v>
      </c>
      <c r="J12" s="157">
        <f t="shared" si="3"/>
        <v>-3.3392060044573695</v>
      </c>
      <c r="K12" s="335"/>
      <c r="L12" s="338"/>
    </row>
    <row r="13" spans="1:12">
      <c r="A13" s="100" t="s">
        <v>303</v>
      </c>
      <c r="B13" s="158">
        <f t="shared" ref="B13:G13" si="5">SUM(B14:B15)</f>
        <v>11304559.446446331</v>
      </c>
      <c r="C13" s="158">
        <f t="shared" si="5"/>
        <v>11304559.446446331</v>
      </c>
      <c r="D13" s="158">
        <f t="shared" si="5"/>
        <v>11304559.446446331</v>
      </c>
      <c r="E13" s="158">
        <f t="shared" si="5"/>
        <v>10775797.431672316</v>
      </c>
      <c r="F13" s="158">
        <f t="shared" si="5"/>
        <v>10775797.431672316</v>
      </c>
      <c r="G13" s="213">
        <f t="shared" si="5"/>
        <v>10775797.431672316</v>
      </c>
      <c r="H13" s="169">
        <f t="shared" si="1"/>
        <v>-4.6774225681146318</v>
      </c>
      <c r="I13" s="169">
        <f t="shared" si="2"/>
        <v>-4.6774225681146318</v>
      </c>
      <c r="J13" s="169">
        <f t="shared" si="3"/>
        <v>-4.6774225681146318</v>
      </c>
      <c r="K13" s="335"/>
      <c r="L13" s="338"/>
    </row>
    <row r="14" spans="1:12">
      <c r="A14" t="s">
        <v>286</v>
      </c>
      <c r="B14" s="156">
        <f>Transport!I13</f>
        <v>10526028.373000003</v>
      </c>
      <c r="C14" s="156">
        <f>B14</f>
        <v>10526028.373000003</v>
      </c>
      <c r="D14" s="156">
        <f>B14</f>
        <v>10526028.373000003</v>
      </c>
      <c r="E14" s="156">
        <f>Transport!M13</f>
        <v>9896303.8779999986</v>
      </c>
      <c r="F14" s="156">
        <f>E14</f>
        <v>9896303.8779999986</v>
      </c>
      <c r="G14" s="328">
        <f>E14</f>
        <v>9896303.8779999986</v>
      </c>
      <c r="H14" s="157">
        <f t="shared" si="1"/>
        <v>-5.9825460533176216</v>
      </c>
      <c r="I14" s="157">
        <f t="shared" si="2"/>
        <v>-5.9825460533176216</v>
      </c>
      <c r="J14" s="157">
        <f t="shared" si="3"/>
        <v>-5.9825460533176216</v>
      </c>
      <c r="K14" s="335"/>
      <c r="L14" s="338"/>
    </row>
    <row r="15" spans="1:12">
      <c r="A15" t="s">
        <v>296</v>
      </c>
      <c r="B15" s="156">
        <f>Transport!E20</f>
        <v>778531.0734463277</v>
      </c>
      <c r="C15" s="156">
        <f>B15</f>
        <v>778531.0734463277</v>
      </c>
      <c r="D15" s="156">
        <f>B15</f>
        <v>778531.0734463277</v>
      </c>
      <c r="E15" s="156">
        <f>Transport!G20</f>
        <v>879493.55367231648</v>
      </c>
      <c r="F15" s="156">
        <f>E15</f>
        <v>879493.55367231648</v>
      </c>
      <c r="G15" s="328">
        <f>E15</f>
        <v>879493.55367231648</v>
      </c>
      <c r="H15" s="157">
        <f t="shared" si="1"/>
        <v>12.968330188679255</v>
      </c>
      <c r="I15" s="157">
        <f t="shared" si="2"/>
        <v>12.968330188679255</v>
      </c>
      <c r="J15" s="157">
        <f t="shared" si="3"/>
        <v>12.968330188679255</v>
      </c>
      <c r="K15" s="335"/>
      <c r="L15" s="338"/>
    </row>
    <row r="16" spans="1:12">
      <c r="A16" s="100" t="s">
        <v>292</v>
      </c>
      <c r="B16" s="158">
        <f t="shared" ref="B16:G16" si="6">B5+B11+B13</f>
        <v>37315753.400133327</v>
      </c>
      <c r="C16" s="158">
        <f t="shared" si="6"/>
        <v>36162020.133217789</v>
      </c>
      <c r="D16" s="158">
        <f t="shared" si="6"/>
        <v>35805114.750339568</v>
      </c>
      <c r="E16" s="158">
        <f t="shared" si="6"/>
        <v>31827381.417013716</v>
      </c>
      <c r="F16" s="158">
        <f t="shared" si="6"/>
        <v>35205972.060583115</v>
      </c>
      <c r="G16" s="213">
        <f t="shared" si="6"/>
        <v>35279704.370329261</v>
      </c>
      <c r="H16" s="169">
        <f t="shared" si="1"/>
        <v>-14.707922212552733</v>
      </c>
      <c r="I16" s="169">
        <f t="shared" si="2"/>
        <v>-2.6437905546003106</v>
      </c>
      <c r="J16" s="169">
        <f t="shared" si="3"/>
        <v>-1.4674171097449813</v>
      </c>
      <c r="K16" s="300"/>
      <c r="L16" s="323"/>
    </row>
    <row r="17" spans="1:1">
      <c r="A17" t="s">
        <v>444</v>
      </c>
    </row>
    <row r="18" spans="1:1">
      <c r="A18" t="s">
        <v>445</v>
      </c>
    </row>
  </sheetData>
  <pageMargins left="0.31496062992125984" right="0.31496062992125984" top="0.31496062992125984" bottom="0.31496062992125984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opLeftCell="A37" zoomScale="70" zoomScaleNormal="70" workbookViewId="0">
      <pane xSplit="3" topLeftCell="D1" activePane="topRight" state="frozen"/>
      <selection pane="topRight" activeCell="D18" sqref="D18"/>
    </sheetView>
  </sheetViews>
  <sheetFormatPr defaultRowHeight="15"/>
  <cols>
    <col min="1" max="1" width="57" customWidth="1"/>
    <col min="2" max="2" width="32.7109375" customWidth="1"/>
    <col min="3" max="3" width="21.7109375" customWidth="1"/>
    <col min="4" max="5" width="11.85546875" customWidth="1"/>
    <col min="6" max="6" width="12.5703125" customWidth="1"/>
    <col min="7" max="9" width="11.28515625" customWidth="1"/>
    <col min="10" max="10" width="12.7109375" customWidth="1"/>
    <col min="11" max="11" width="12.42578125" customWidth="1"/>
    <col min="12" max="12" width="15.7109375" customWidth="1"/>
    <col min="13" max="13" width="15.85546875" customWidth="1"/>
    <col min="14" max="14" width="12.85546875" customWidth="1"/>
    <col min="15" max="15" width="13" customWidth="1"/>
    <col min="16" max="16" width="12.42578125" customWidth="1"/>
    <col min="17" max="17" width="17.28515625" customWidth="1"/>
    <col min="18" max="18" width="17.7109375" customWidth="1"/>
    <col min="19" max="21" width="12.42578125" customWidth="1"/>
    <col min="22" max="22" width="12.42578125" style="153" customWidth="1"/>
    <col min="23" max="24" width="14.28515625" customWidth="1"/>
    <col min="25" max="25" width="12.140625" customWidth="1"/>
    <col min="26" max="26" width="15" customWidth="1"/>
    <col min="27" max="29" width="14.140625" customWidth="1"/>
    <col min="30" max="30" width="12.42578125" customWidth="1"/>
    <col min="31" max="31" width="12.7109375" customWidth="1"/>
    <col min="32" max="32" width="12.42578125" customWidth="1"/>
    <col min="33" max="33" width="10.85546875" customWidth="1"/>
    <col min="34" max="34" width="10.140625" customWidth="1"/>
    <col min="35" max="37" width="10" customWidth="1"/>
    <col min="38" max="38" width="11.42578125" customWidth="1"/>
    <col min="39" max="41" width="11.85546875" customWidth="1"/>
    <col min="42" max="43" width="11.140625" customWidth="1"/>
  </cols>
  <sheetData>
    <row r="1" spans="1:48" ht="44.25" customHeight="1">
      <c r="A1" s="39" t="s">
        <v>219</v>
      </c>
      <c r="B1" s="40" t="s">
        <v>241</v>
      </c>
      <c r="C1" s="39"/>
      <c r="D1" s="40" t="s">
        <v>265</v>
      </c>
      <c r="E1" s="38" t="s">
        <v>266</v>
      </c>
      <c r="F1" s="38" t="s">
        <v>267</v>
      </c>
      <c r="G1" s="44" t="s">
        <v>384</v>
      </c>
      <c r="H1" s="38" t="s">
        <v>268</v>
      </c>
      <c r="I1" s="38" t="s">
        <v>269</v>
      </c>
      <c r="J1" s="43" t="s">
        <v>270</v>
      </c>
      <c r="K1" s="136" t="s">
        <v>271</v>
      </c>
      <c r="L1" s="38" t="s">
        <v>374</v>
      </c>
      <c r="M1" s="38" t="s">
        <v>375</v>
      </c>
      <c r="N1" s="38" t="s">
        <v>272</v>
      </c>
      <c r="O1" s="38" t="s">
        <v>273</v>
      </c>
      <c r="P1" s="44" t="s">
        <v>386</v>
      </c>
      <c r="Q1" s="38" t="s">
        <v>268</v>
      </c>
      <c r="R1" s="38" t="s">
        <v>269</v>
      </c>
      <c r="S1" s="43" t="s">
        <v>274</v>
      </c>
      <c r="T1" s="38" t="s">
        <v>275</v>
      </c>
      <c r="U1" s="136" t="s">
        <v>276</v>
      </c>
      <c r="V1" s="43" t="s">
        <v>277</v>
      </c>
      <c r="W1" s="38" t="s">
        <v>278</v>
      </c>
      <c r="X1" s="44" t="s">
        <v>387</v>
      </c>
      <c r="Y1" s="136" t="s">
        <v>284</v>
      </c>
      <c r="Z1" s="38" t="s">
        <v>432</v>
      </c>
      <c r="AA1" s="38" t="s">
        <v>433</v>
      </c>
      <c r="AB1" s="38" t="s">
        <v>434</v>
      </c>
      <c r="AC1" s="38" t="s">
        <v>435</v>
      </c>
      <c r="AD1" s="44" t="s">
        <v>386</v>
      </c>
      <c r="AE1" s="38" t="s">
        <v>268</v>
      </c>
      <c r="AF1" s="38" t="s">
        <v>269</v>
      </c>
      <c r="AG1" s="43" t="s">
        <v>274</v>
      </c>
      <c r="AH1" s="38" t="s">
        <v>275</v>
      </c>
      <c r="AI1" s="136" t="s">
        <v>276</v>
      </c>
      <c r="AJ1" s="344" t="s">
        <v>436</v>
      </c>
      <c r="AK1" s="38" t="s">
        <v>437</v>
      </c>
      <c r="AL1" s="43" t="s">
        <v>277</v>
      </c>
      <c r="AM1" s="38" t="s">
        <v>278</v>
      </c>
      <c r="AN1" s="344" t="s">
        <v>436</v>
      </c>
      <c r="AO1" s="38" t="s">
        <v>437</v>
      </c>
      <c r="AP1" s="44" t="s">
        <v>387</v>
      </c>
      <c r="AQ1" s="44"/>
      <c r="AR1" s="136" t="s">
        <v>284</v>
      </c>
      <c r="AS1" s="20" t="s">
        <v>264</v>
      </c>
      <c r="AT1" s="42" t="s">
        <v>383</v>
      </c>
      <c r="AU1" s="5"/>
      <c r="AV1" s="5"/>
    </row>
    <row r="2" spans="1:48" ht="15.75" customHeight="1">
      <c r="A2" s="247" t="s">
        <v>2</v>
      </c>
      <c r="B2" s="228" t="s">
        <v>180</v>
      </c>
      <c r="C2" s="64"/>
      <c r="D2" s="248">
        <v>457</v>
      </c>
      <c r="E2" s="203">
        <v>11772</v>
      </c>
      <c r="F2" s="203">
        <v>10963</v>
      </c>
      <c r="G2" s="203">
        <f t="shared" ref="G2:G22" si="0">F2-E2</f>
        <v>-809</v>
      </c>
      <c r="H2" s="220">
        <f t="shared" ref="H2:H7" si="1">E2/D2</f>
        <v>25.759299781181618</v>
      </c>
      <c r="I2" s="220">
        <f t="shared" ref="I2:I7" si="2">F2/D2</f>
        <v>23.9890590809628</v>
      </c>
      <c r="J2" s="244">
        <f>E2*Emissionsfaktorer!E$11</f>
        <v>5285.6279999999997</v>
      </c>
      <c r="K2" s="339">
        <f>F2*Emissionsfaktorer!E$12</f>
        <v>4144.0140000000001</v>
      </c>
      <c r="L2" s="203">
        <v>1619</v>
      </c>
      <c r="M2" s="203">
        <v>1793</v>
      </c>
      <c r="N2" s="220">
        <f t="shared" ref="N2:N33" si="3">L2*N$76*1.163</f>
        <v>69667.188999999998</v>
      </c>
      <c r="O2" s="220">
        <f t="shared" ref="O2:O33" si="4">M2*O$76*1.163</f>
        <v>77154.582999999999</v>
      </c>
      <c r="P2" s="230">
        <f t="shared" ref="P2:P8" si="5">O2-N2</f>
        <v>7487.3940000000002</v>
      </c>
      <c r="Q2" s="230">
        <f t="shared" ref="Q2:Q7" si="6">N2/D2</f>
        <v>152.44461487964989</v>
      </c>
      <c r="R2" s="230">
        <f t="shared" ref="R2:R7" si="7">O2/D2</f>
        <v>168.82840919037199</v>
      </c>
      <c r="S2" s="341"/>
      <c r="T2" s="220">
        <f>Emissionsfaktorer!E$17*N2</f>
        <v>6966.7188999999998</v>
      </c>
      <c r="U2" s="243">
        <f>Emissionsfaktorer!E$18*O2</f>
        <v>7175.3762189999998</v>
      </c>
      <c r="V2" s="244">
        <f>J2+T2</f>
        <v>12252.3469</v>
      </c>
      <c r="W2" s="220">
        <f>K2+U2</f>
        <v>11319.390219000001</v>
      </c>
      <c r="X2" s="220">
        <f>W2-V2</f>
        <v>-932.95668099999966</v>
      </c>
      <c r="Y2" s="243">
        <f t="shared" ref="Y2:Y7" si="8">W2/D2</f>
        <v>24.768906387308537</v>
      </c>
      <c r="Z2" s="220">
        <f t="shared" ref="Z2:Z7" si="9">((N2*0.8)/(1.219))+(N2*0.2)</f>
        <v>59654.316553076285</v>
      </c>
      <c r="AA2" s="220">
        <f t="shared" ref="AA2:AA7" si="10">((O2*0.8)/(0.9571))+(O2*0.2)</f>
        <v>79921.216882102191</v>
      </c>
      <c r="AB2" s="220">
        <f t="shared" ref="AB2:AB21" si="11">N2/1.219</f>
        <v>57151.098441345363</v>
      </c>
      <c r="AC2" s="220">
        <f>O2/0.9571</f>
        <v>80612.875352627729</v>
      </c>
      <c r="AD2" s="230">
        <f t="shared" ref="AD2:AD7" si="12">AA2-Z2</f>
        <v>20266.900329025906</v>
      </c>
      <c r="AE2" s="230">
        <f t="shared" ref="AE2:AE7" si="13">Z2/D2</f>
        <v>130.53460952533104</v>
      </c>
      <c r="AF2" s="230">
        <f t="shared" ref="AF2:AF7" si="14">AA2/D2</f>
        <v>174.88231265230237</v>
      </c>
      <c r="AG2" s="341">
        <f>Emissionsfaktorer!E$16</f>
        <v>8.5999999999999993E-2</v>
      </c>
      <c r="AH2" s="220">
        <f t="shared" ref="AH2:AH7" si="15">AG2*Z2</f>
        <v>5130.2712235645604</v>
      </c>
      <c r="AI2" s="243">
        <f t="shared" ref="AI2:AI7" si="16">AG2*AA2</f>
        <v>6873.2246518607881</v>
      </c>
      <c r="AJ2" s="220">
        <f>AB2*AG2</f>
        <v>4914.9944659557004</v>
      </c>
      <c r="AK2" s="220">
        <f>AC2*AG2</f>
        <v>6932.7072803259844</v>
      </c>
      <c r="AL2" s="244">
        <f>J2+AH2</f>
        <v>10415.89922356456</v>
      </c>
      <c r="AM2" s="220">
        <f>K2+AI2</f>
        <v>11017.238651860789</v>
      </c>
      <c r="AN2" s="220">
        <f>J2+AJ2</f>
        <v>10200.622465955701</v>
      </c>
      <c r="AO2" s="220">
        <f>K2+AK2</f>
        <v>11076.721280325984</v>
      </c>
      <c r="AP2" s="220">
        <f>AM2-AL2</f>
        <v>601.33942829622902</v>
      </c>
      <c r="AQ2" s="220">
        <f>AO2-AN2</f>
        <v>876.09881437028343</v>
      </c>
      <c r="AR2" s="243">
        <f t="shared" ref="AR2:AR7" si="17">AM2/D2</f>
        <v>24.107743220701945</v>
      </c>
      <c r="AS2" s="46"/>
    </row>
    <row r="3" spans="1:48" ht="15" customHeight="1">
      <c r="A3" s="249"/>
      <c r="B3" s="228" t="s">
        <v>181</v>
      </c>
      <c r="C3" s="249"/>
      <c r="D3" s="245">
        <v>238</v>
      </c>
      <c r="E3" s="203">
        <v>2459</v>
      </c>
      <c r="F3" s="203">
        <v>3641</v>
      </c>
      <c r="G3" s="203">
        <f t="shared" si="0"/>
        <v>1182</v>
      </c>
      <c r="H3" s="220">
        <f t="shared" si="1"/>
        <v>10.331932773109244</v>
      </c>
      <c r="I3" s="220">
        <f t="shared" si="2"/>
        <v>15.298319327731093</v>
      </c>
      <c r="J3" s="244">
        <f>E3*Emissionsfaktorer!E$11</f>
        <v>1104.0910000000001</v>
      </c>
      <c r="K3" s="339">
        <f>F3*Emissionsfaktorer!E$12</f>
        <v>1376.298</v>
      </c>
      <c r="L3" s="203">
        <v>1227</v>
      </c>
      <c r="M3" s="203">
        <v>2026</v>
      </c>
      <c r="N3" s="220">
        <f t="shared" si="3"/>
        <v>52799.037000000004</v>
      </c>
      <c r="O3" s="220">
        <f t="shared" si="4"/>
        <v>87180.805999999997</v>
      </c>
      <c r="P3" s="230">
        <f t="shared" si="5"/>
        <v>34381.768999999993</v>
      </c>
      <c r="Q3" s="230">
        <f t="shared" si="6"/>
        <v>221.84469327731094</v>
      </c>
      <c r="R3" s="230">
        <f t="shared" si="7"/>
        <v>366.30590756302519</v>
      </c>
      <c r="S3" s="341"/>
      <c r="T3" s="220">
        <f>Emissionsfaktorer!E$17*N3</f>
        <v>5279.9037000000008</v>
      </c>
      <c r="U3" s="243">
        <f>Emissionsfaktorer!E$18*O3</f>
        <v>8107.8149579999999</v>
      </c>
      <c r="V3" s="244">
        <f t="shared" ref="V3:W6" si="18">J3+T3</f>
        <v>6383.9947000000011</v>
      </c>
      <c r="W3" s="220">
        <f t="shared" si="18"/>
        <v>9484.1129579999997</v>
      </c>
      <c r="X3" s="220">
        <f t="shared" ref="X3:X39" si="19">W3-V3</f>
        <v>3100.1182579999986</v>
      </c>
      <c r="Y3" s="243">
        <f t="shared" si="8"/>
        <v>39.849214109243697</v>
      </c>
      <c r="Z3" s="220">
        <f t="shared" si="9"/>
        <v>45210.528975061534</v>
      </c>
      <c r="AA3" s="220">
        <f t="shared" si="10"/>
        <v>90306.963415024555</v>
      </c>
      <c r="AB3" s="220">
        <f t="shared" si="11"/>
        <v>43313.401968826911</v>
      </c>
      <c r="AC3" s="220">
        <f t="shared" ref="AC3:AC39" si="20">O3/0.9571</f>
        <v>91088.502768780687</v>
      </c>
      <c r="AD3" s="230">
        <f t="shared" si="12"/>
        <v>45096.434439963021</v>
      </c>
      <c r="AE3" s="230">
        <f t="shared" si="13"/>
        <v>189.96020577756946</v>
      </c>
      <c r="AF3" s="230">
        <f t="shared" si="14"/>
        <v>379.44102275220399</v>
      </c>
      <c r="AG3" s="341">
        <f>Emissionsfaktorer!E$16</f>
        <v>8.5999999999999993E-2</v>
      </c>
      <c r="AH3" s="220">
        <f t="shared" si="15"/>
        <v>3888.1054918552918</v>
      </c>
      <c r="AI3" s="243">
        <f t="shared" si="16"/>
        <v>7766.3988536921115</v>
      </c>
      <c r="AJ3" s="220">
        <f t="shared" ref="AJ3:AJ39" si="21">AB3*AG3</f>
        <v>3724.952569319114</v>
      </c>
      <c r="AK3" s="220">
        <f t="shared" ref="AK3:AK39" si="22">AC3*AG3</f>
        <v>7833.6112381151388</v>
      </c>
      <c r="AL3" s="244">
        <f t="shared" ref="AL3:AM6" si="23">J3+AH3</f>
        <v>4992.1964918552922</v>
      </c>
      <c r="AM3" s="220">
        <f t="shared" si="23"/>
        <v>9142.6968536921122</v>
      </c>
      <c r="AN3" s="220">
        <f t="shared" ref="AN3:AN39" si="24">J3+AJ3</f>
        <v>4829.0435693191139</v>
      </c>
      <c r="AO3" s="220">
        <f t="shared" ref="AO3:AO39" si="25">K3+AK3</f>
        <v>9209.9092381151386</v>
      </c>
      <c r="AP3" s="220">
        <f t="shared" ref="AP3:AP22" si="26">AM3-AL3</f>
        <v>4150.50036183682</v>
      </c>
      <c r="AQ3" s="220">
        <f t="shared" ref="AQ3:AQ39" si="27">AO3-AN3</f>
        <v>4380.8656687960247</v>
      </c>
      <c r="AR3" s="243">
        <f t="shared" si="17"/>
        <v>38.414692662571902</v>
      </c>
      <c r="AS3" s="46"/>
    </row>
    <row r="4" spans="1:48">
      <c r="A4" s="249" t="s">
        <v>381</v>
      </c>
      <c r="B4" s="228" t="s">
        <v>151</v>
      </c>
      <c r="C4" s="249"/>
      <c r="D4" s="245">
        <v>175</v>
      </c>
      <c r="E4" s="203">
        <v>8658</v>
      </c>
      <c r="F4" s="203">
        <v>8230</v>
      </c>
      <c r="G4" s="203">
        <f t="shared" si="0"/>
        <v>-428</v>
      </c>
      <c r="H4" s="220">
        <f t="shared" si="1"/>
        <v>49.474285714285713</v>
      </c>
      <c r="I4" s="220">
        <f t="shared" si="2"/>
        <v>47.028571428571432</v>
      </c>
      <c r="J4" s="244">
        <f>E4*Emissionsfaktorer!E$11</f>
        <v>3887.442</v>
      </c>
      <c r="K4" s="339">
        <f>F4*Emissionsfaktorer!E$12</f>
        <v>3110.94</v>
      </c>
      <c r="L4" s="203">
        <v>465</v>
      </c>
      <c r="M4" s="203">
        <v>393</v>
      </c>
      <c r="N4" s="220">
        <f t="shared" si="3"/>
        <v>20009.415000000001</v>
      </c>
      <c r="O4" s="220">
        <f t="shared" si="4"/>
        <v>16911.183000000001</v>
      </c>
      <c r="P4" s="230">
        <f t="shared" si="5"/>
        <v>-3098.232</v>
      </c>
      <c r="Q4" s="230">
        <f t="shared" si="6"/>
        <v>114.33951428571429</v>
      </c>
      <c r="R4" s="230">
        <f t="shared" si="7"/>
        <v>96.635331428571433</v>
      </c>
      <c r="S4" s="341"/>
      <c r="T4" s="220">
        <f>Emissionsfaktorer!E$17*N4</f>
        <v>2000.9415000000001</v>
      </c>
      <c r="U4" s="243">
        <f>Emissionsfaktorer!E$18*O4</f>
        <v>1572.7400190000001</v>
      </c>
      <c r="V4" s="244">
        <f t="shared" si="18"/>
        <v>5888.3834999999999</v>
      </c>
      <c r="W4" s="220">
        <f t="shared" si="18"/>
        <v>4683.6800190000004</v>
      </c>
      <c r="X4" s="220">
        <f t="shared" si="19"/>
        <v>-1204.7034809999996</v>
      </c>
      <c r="Y4" s="243">
        <f t="shared" si="8"/>
        <v>26.763885822857144</v>
      </c>
      <c r="Z4" s="220">
        <f t="shared" si="9"/>
        <v>17133.574550451191</v>
      </c>
      <c r="AA4" s="220">
        <f t="shared" si="10"/>
        <v>17517.589645658765</v>
      </c>
      <c r="AB4" s="220">
        <f t="shared" si="11"/>
        <v>16414.614438063985</v>
      </c>
      <c r="AC4" s="220">
        <f t="shared" si="20"/>
        <v>17669.191307073452</v>
      </c>
      <c r="AD4" s="230">
        <f t="shared" si="12"/>
        <v>384.01509520757463</v>
      </c>
      <c r="AE4" s="230">
        <f t="shared" si="13"/>
        <v>97.906140288292519</v>
      </c>
      <c r="AF4" s="230">
        <f t="shared" si="14"/>
        <v>100.10051226090722</v>
      </c>
      <c r="AG4" s="341">
        <f>Emissionsfaktorer!E$16</f>
        <v>8.5999999999999993E-2</v>
      </c>
      <c r="AH4" s="220">
        <f t="shared" si="15"/>
        <v>1473.4874113388023</v>
      </c>
      <c r="AI4" s="243">
        <f t="shared" si="16"/>
        <v>1506.5127095266537</v>
      </c>
      <c r="AJ4" s="220">
        <f t="shared" si="21"/>
        <v>1411.6568416735026</v>
      </c>
      <c r="AK4" s="220">
        <f t="shared" si="22"/>
        <v>1519.5504524083167</v>
      </c>
      <c r="AL4" s="244">
        <f t="shared" si="23"/>
        <v>5360.9294113388023</v>
      </c>
      <c r="AM4" s="220">
        <f t="shared" si="23"/>
        <v>4617.452709526654</v>
      </c>
      <c r="AN4" s="220">
        <f t="shared" si="24"/>
        <v>5299.0988416735026</v>
      </c>
      <c r="AO4" s="220">
        <f t="shared" si="25"/>
        <v>4630.4904524083167</v>
      </c>
      <c r="AP4" s="220">
        <f t="shared" si="26"/>
        <v>-743.47670181214835</v>
      </c>
      <c r="AQ4" s="220">
        <f t="shared" si="27"/>
        <v>-668.60838926518591</v>
      </c>
      <c r="AR4" s="243">
        <f t="shared" si="17"/>
        <v>26.385444054438022</v>
      </c>
      <c r="AS4" s="46"/>
    </row>
    <row r="5" spans="1:48">
      <c r="A5" s="8" t="s">
        <v>1</v>
      </c>
      <c r="B5" s="228" t="s">
        <v>1</v>
      </c>
      <c r="C5" s="64"/>
      <c r="D5" s="248">
        <v>264</v>
      </c>
      <c r="E5" s="203">
        <v>8013</v>
      </c>
      <c r="F5" s="203">
        <v>8859</v>
      </c>
      <c r="G5" s="203">
        <f t="shared" si="0"/>
        <v>846</v>
      </c>
      <c r="H5" s="220">
        <f t="shared" si="1"/>
        <v>30.352272727272727</v>
      </c>
      <c r="I5" s="220">
        <f t="shared" si="2"/>
        <v>33.55681818181818</v>
      </c>
      <c r="J5" s="244">
        <f>E5*Emissionsfaktorer!E$11</f>
        <v>3597.837</v>
      </c>
      <c r="K5" s="339">
        <f>F5*Emissionsfaktorer!E$12</f>
        <v>3348.7020000000002</v>
      </c>
      <c r="L5" s="203">
        <v>1417</v>
      </c>
      <c r="M5" s="203">
        <v>718.2</v>
      </c>
      <c r="N5" s="220">
        <f t="shared" si="3"/>
        <v>60974.927000000003</v>
      </c>
      <c r="O5" s="220">
        <f t="shared" si="4"/>
        <v>30904.864200000004</v>
      </c>
      <c r="P5" s="230">
        <f t="shared" si="5"/>
        <v>-30070.0628</v>
      </c>
      <c r="Q5" s="230">
        <f t="shared" si="6"/>
        <v>230.96563257575758</v>
      </c>
      <c r="R5" s="230">
        <f t="shared" si="7"/>
        <v>117.06387954545455</v>
      </c>
      <c r="S5" s="341"/>
      <c r="T5" s="220">
        <f>Emissionsfaktorer!E$25*N5</f>
        <v>12438.885108</v>
      </c>
      <c r="U5" s="243">
        <f>Emissionsfaktorer!E$26*O5</f>
        <v>6304.5922968000004</v>
      </c>
      <c r="V5" s="244">
        <f t="shared" si="18"/>
        <v>16036.722108</v>
      </c>
      <c r="W5" s="220">
        <f t="shared" si="18"/>
        <v>9653.2942968000007</v>
      </c>
      <c r="X5" s="220">
        <f t="shared" si="19"/>
        <v>-6383.4278111999993</v>
      </c>
      <c r="Y5" s="243">
        <f t="shared" si="8"/>
        <v>36.565508700000002</v>
      </c>
      <c r="Z5" s="220">
        <f t="shared" si="9"/>
        <v>52211.344382772761</v>
      </c>
      <c r="AA5" s="220">
        <f t="shared" si="10"/>
        <v>32013.060772295485</v>
      </c>
      <c r="AB5" s="220">
        <f t="shared" si="11"/>
        <v>50020.448728465955</v>
      </c>
      <c r="AC5" s="220">
        <f t="shared" si="20"/>
        <v>32290.10991536935</v>
      </c>
      <c r="AD5" s="230">
        <f t="shared" si="12"/>
        <v>-20198.283610477276</v>
      </c>
      <c r="AE5" s="230">
        <f t="shared" si="13"/>
        <v>197.77024387413925</v>
      </c>
      <c r="AF5" s="230">
        <f t="shared" si="14"/>
        <v>121.2615938344526</v>
      </c>
      <c r="AG5" s="341">
        <f>Emissionsfaktorer!E$24</f>
        <v>0.20399999999999999</v>
      </c>
      <c r="AH5" s="220">
        <f t="shared" si="15"/>
        <v>10651.114254085642</v>
      </c>
      <c r="AI5" s="243">
        <f t="shared" si="16"/>
        <v>6530.6643975482784</v>
      </c>
      <c r="AJ5" s="220">
        <f t="shared" si="21"/>
        <v>10204.171540607054</v>
      </c>
      <c r="AK5" s="220">
        <f t="shared" si="22"/>
        <v>6587.1824227353472</v>
      </c>
      <c r="AL5" s="244">
        <f t="shared" si="23"/>
        <v>14248.951254085641</v>
      </c>
      <c r="AM5" s="220">
        <f t="shared" si="23"/>
        <v>9879.3663975482777</v>
      </c>
      <c r="AN5" s="220">
        <f t="shared" si="24"/>
        <v>13802.008540607054</v>
      </c>
      <c r="AO5" s="220">
        <f t="shared" si="25"/>
        <v>9935.8844227353475</v>
      </c>
      <c r="AP5" s="220">
        <f t="shared" si="26"/>
        <v>-4369.5848565373635</v>
      </c>
      <c r="AQ5" s="220">
        <f t="shared" si="27"/>
        <v>-3866.1241178717064</v>
      </c>
      <c r="AR5" s="243">
        <f t="shared" si="17"/>
        <v>37.421842414955599</v>
      </c>
      <c r="AS5" s="46"/>
    </row>
    <row r="6" spans="1:48">
      <c r="A6" s="8" t="s">
        <v>8</v>
      </c>
      <c r="B6" s="228" t="s">
        <v>8</v>
      </c>
      <c r="C6" s="64"/>
      <c r="D6" s="86">
        <v>295</v>
      </c>
      <c r="E6" s="203">
        <v>10113</v>
      </c>
      <c r="F6" s="203">
        <v>9605</v>
      </c>
      <c r="G6" s="203">
        <f t="shared" si="0"/>
        <v>-508</v>
      </c>
      <c r="H6" s="220">
        <f t="shared" si="1"/>
        <v>34.28135593220339</v>
      </c>
      <c r="I6" s="220">
        <f t="shared" si="2"/>
        <v>32.559322033898304</v>
      </c>
      <c r="J6" s="244">
        <f>E6*Emissionsfaktorer!E$11</f>
        <v>4540.7370000000001</v>
      </c>
      <c r="K6" s="339">
        <f>F6*Emissionsfaktorer!E$12</f>
        <v>3630.69</v>
      </c>
      <c r="L6" s="203">
        <v>717.5</v>
      </c>
      <c r="M6" s="203">
        <v>514.70000000000005</v>
      </c>
      <c r="N6" s="220">
        <f t="shared" si="3"/>
        <v>30874.7425</v>
      </c>
      <c r="O6" s="220">
        <f t="shared" si="4"/>
        <v>22148.055700000001</v>
      </c>
      <c r="P6" s="230">
        <f t="shared" si="5"/>
        <v>-8726.6867999999995</v>
      </c>
      <c r="Q6" s="230">
        <f t="shared" si="6"/>
        <v>104.66014406779661</v>
      </c>
      <c r="R6" s="230">
        <f t="shared" si="7"/>
        <v>75.078154915254245</v>
      </c>
      <c r="S6" s="341"/>
      <c r="T6" s="220">
        <f>Emissionsfaktorer!E$14*N6</f>
        <v>8089.1825350000008</v>
      </c>
      <c r="U6" s="243">
        <f>Emissionsfaktorer!E$15*O6</f>
        <v>5315.5333680000003</v>
      </c>
      <c r="V6" s="244">
        <f t="shared" si="18"/>
        <v>12629.919535000001</v>
      </c>
      <c r="W6" s="220">
        <f t="shared" si="18"/>
        <v>8946.2233680000008</v>
      </c>
      <c r="X6" s="220">
        <f t="shared" si="19"/>
        <v>-3683.6961670000001</v>
      </c>
      <c r="Y6" s="243">
        <f t="shared" si="8"/>
        <v>30.32618090847458</v>
      </c>
      <c r="Z6" s="220">
        <f t="shared" si="9"/>
        <v>26437.289763330598</v>
      </c>
      <c r="AA6" s="220">
        <f t="shared" si="10"/>
        <v>22942.247813283881</v>
      </c>
      <c r="AB6" s="220">
        <f t="shared" si="11"/>
        <v>25327.926579163246</v>
      </c>
      <c r="AC6" s="220">
        <f t="shared" si="20"/>
        <v>23140.79584160485</v>
      </c>
      <c r="AD6" s="230">
        <f t="shared" si="12"/>
        <v>-3495.0419500467178</v>
      </c>
      <c r="AE6" s="230">
        <f t="shared" si="13"/>
        <v>89.617931401120671</v>
      </c>
      <c r="AF6" s="230">
        <f t="shared" si="14"/>
        <v>77.770331570453834</v>
      </c>
      <c r="AG6" s="341">
        <f>Emissionsfaktorer!E$13</f>
        <v>0.34699999999999998</v>
      </c>
      <c r="AH6" s="220">
        <f t="shared" si="15"/>
        <v>9173.7395478757171</v>
      </c>
      <c r="AI6" s="243">
        <f t="shared" si="16"/>
        <v>7960.9599912095064</v>
      </c>
      <c r="AJ6" s="220">
        <f t="shared" si="21"/>
        <v>8788.7905229696462</v>
      </c>
      <c r="AK6" s="220">
        <f t="shared" si="22"/>
        <v>8029.856157036882</v>
      </c>
      <c r="AL6" s="244">
        <f t="shared" si="23"/>
        <v>13714.476547875718</v>
      </c>
      <c r="AM6" s="220">
        <f t="shared" si="23"/>
        <v>11591.649991209506</v>
      </c>
      <c r="AN6" s="220">
        <f t="shared" si="24"/>
        <v>13329.527522969645</v>
      </c>
      <c r="AO6" s="220">
        <f t="shared" si="25"/>
        <v>11660.546157036883</v>
      </c>
      <c r="AP6" s="220">
        <f t="shared" si="26"/>
        <v>-2122.8265566662121</v>
      </c>
      <c r="AQ6" s="220">
        <f t="shared" si="27"/>
        <v>-1668.9813659327629</v>
      </c>
      <c r="AR6" s="243">
        <f t="shared" si="17"/>
        <v>39.29372878376104</v>
      </c>
      <c r="AS6" s="46"/>
    </row>
    <row r="7" spans="1:48">
      <c r="A7" s="249"/>
      <c r="B7" s="228" t="s">
        <v>14</v>
      </c>
      <c r="C7" s="249"/>
      <c r="D7" s="245">
        <v>834</v>
      </c>
      <c r="E7" s="203">
        <v>9451</v>
      </c>
      <c r="F7" s="203">
        <v>8884</v>
      </c>
      <c r="G7" s="203">
        <f t="shared" si="0"/>
        <v>-567</v>
      </c>
      <c r="H7" s="220">
        <f t="shared" si="1"/>
        <v>11.332134292565947</v>
      </c>
      <c r="I7" s="220">
        <f t="shared" si="2"/>
        <v>10.652278177458033</v>
      </c>
      <c r="J7" s="244">
        <f>E7*Emissionsfaktorer!E$11</f>
        <v>4243.4989999999998</v>
      </c>
      <c r="K7" s="339">
        <f>F7*Emissionsfaktorer!E$12</f>
        <v>3358.152</v>
      </c>
      <c r="L7" s="203">
        <v>1001</v>
      </c>
      <c r="M7" s="203">
        <v>846.9</v>
      </c>
      <c r="N7" s="220">
        <f t="shared" si="3"/>
        <v>43074.031000000003</v>
      </c>
      <c r="O7" s="220">
        <f t="shared" si="4"/>
        <v>36442.9539</v>
      </c>
      <c r="P7" s="230">
        <f t="shared" si="5"/>
        <v>-6631.0771000000022</v>
      </c>
      <c r="Q7" s="230">
        <f t="shared" si="6"/>
        <v>51.647519184652282</v>
      </c>
      <c r="R7" s="230">
        <f t="shared" si="7"/>
        <v>43.696587410071942</v>
      </c>
      <c r="S7" s="341"/>
      <c r="T7" s="220">
        <f>Emissionsfaktorer!E$14*N7</f>
        <v>11285.396122000002</v>
      </c>
      <c r="U7" s="243">
        <f>Emissionsfaktorer!E$15*O7</f>
        <v>8746.3089359999994</v>
      </c>
      <c r="V7" s="244">
        <f>J7+T7</f>
        <v>15528.895122000002</v>
      </c>
      <c r="W7" s="220">
        <f>K7+U7</f>
        <v>12104.460935999999</v>
      </c>
      <c r="X7" s="220">
        <f t="shared" si="19"/>
        <v>-3424.4341860000022</v>
      </c>
      <c r="Y7" s="243">
        <f t="shared" si="8"/>
        <v>14.513742129496402</v>
      </c>
      <c r="Z7" s="220">
        <f t="shared" si="9"/>
        <v>36883.24327957342</v>
      </c>
      <c r="AA7" s="220">
        <f t="shared" si="10"/>
        <v>37749.737076102814</v>
      </c>
      <c r="AB7" s="220">
        <f t="shared" si="11"/>
        <v>35335.546349466778</v>
      </c>
      <c r="AC7" s="220">
        <f t="shared" si="20"/>
        <v>38076.432870128512</v>
      </c>
      <c r="AD7" s="230">
        <f t="shared" si="12"/>
        <v>866.49379652939388</v>
      </c>
      <c r="AE7" s="230">
        <f t="shared" si="13"/>
        <v>44.2245123256276</v>
      </c>
      <c r="AF7" s="230">
        <f t="shared" si="14"/>
        <v>45.263473712353495</v>
      </c>
      <c r="AG7" s="341">
        <f>Emissionsfaktorer!E$13</f>
        <v>0.34699999999999998</v>
      </c>
      <c r="AH7" s="220">
        <f t="shared" si="15"/>
        <v>12798.485418011976</v>
      </c>
      <c r="AI7" s="243">
        <f t="shared" si="16"/>
        <v>13099.158765407676</v>
      </c>
      <c r="AJ7" s="220">
        <f t="shared" si="21"/>
        <v>12261.434583264971</v>
      </c>
      <c r="AK7" s="220">
        <f t="shared" si="22"/>
        <v>13212.522205934592</v>
      </c>
      <c r="AL7" s="244">
        <f>J7+AH7</f>
        <v>17041.984418011976</v>
      </c>
      <c r="AM7" s="220">
        <f>K7+AI7</f>
        <v>16457.310765407674</v>
      </c>
      <c r="AN7" s="220">
        <f t="shared" si="24"/>
        <v>16504.93358326497</v>
      </c>
      <c r="AO7" s="220">
        <f t="shared" si="25"/>
        <v>16570.674205934592</v>
      </c>
      <c r="AP7" s="220">
        <f t="shared" si="26"/>
        <v>-584.67365260430233</v>
      </c>
      <c r="AQ7" s="220">
        <f t="shared" si="27"/>
        <v>65.740622669622098</v>
      </c>
      <c r="AR7" s="243">
        <f t="shared" si="17"/>
        <v>19.732986529265798</v>
      </c>
      <c r="AS7" s="46"/>
    </row>
    <row r="8" spans="1:48">
      <c r="A8" s="16" t="s">
        <v>0</v>
      </c>
      <c r="B8" s="228" t="s">
        <v>378</v>
      </c>
      <c r="C8" s="64" t="s">
        <v>372</v>
      </c>
      <c r="D8" s="245">
        <v>287</v>
      </c>
      <c r="E8" s="203">
        <v>12691</v>
      </c>
      <c r="F8" s="203">
        <v>6263</v>
      </c>
      <c r="G8" s="203">
        <f t="shared" si="0"/>
        <v>-6428</v>
      </c>
      <c r="H8" s="220">
        <f t="shared" ref="H8:H14" si="28">E8/D8</f>
        <v>44.219512195121951</v>
      </c>
      <c r="I8" s="220">
        <f t="shared" ref="I8:I14" si="29">F8/D8</f>
        <v>21.822299651567945</v>
      </c>
      <c r="J8" s="244">
        <f>E8*Emissionsfaktorer!E$11</f>
        <v>5698.259</v>
      </c>
      <c r="K8" s="339">
        <f>F8*Emissionsfaktorer!E$12</f>
        <v>2367.4140000000002</v>
      </c>
      <c r="L8" s="203">
        <v>1181</v>
      </c>
      <c r="M8" s="203">
        <v>577.79999999999995</v>
      </c>
      <c r="N8" s="220">
        <f t="shared" si="3"/>
        <v>50819.611000000004</v>
      </c>
      <c r="O8" s="220">
        <f t="shared" si="4"/>
        <v>24863.311799999999</v>
      </c>
      <c r="P8" s="230">
        <f t="shared" si="5"/>
        <v>-25956.299200000005</v>
      </c>
      <c r="Q8" s="230">
        <f t="shared" ref="Q8:Q14" si="30">N8/D8</f>
        <v>177.07181533101047</v>
      </c>
      <c r="R8" s="230">
        <f t="shared" ref="R8:R14" si="31">O8/D8</f>
        <v>86.631748432055744</v>
      </c>
      <c r="S8" s="341"/>
      <c r="T8" s="220">
        <f>Emissionsfaktorer!E$14*N8</f>
        <v>13314.738082000002</v>
      </c>
      <c r="U8" s="243">
        <f>Emissionsfaktorer!E$15*O8</f>
        <v>5967.1948319999992</v>
      </c>
      <c r="V8" s="244">
        <f t="shared" ref="V8:W14" si="32">J8+T8</f>
        <v>19012.997082000002</v>
      </c>
      <c r="W8" s="220">
        <f t="shared" si="32"/>
        <v>8334.6088319999999</v>
      </c>
      <c r="X8" s="220">
        <f t="shared" si="19"/>
        <v>-10678.388250000002</v>
      </c>
      <c r="Y8" s="243">
        <f t="shared" ref="Y8:Y14" si="33">W8/D8</f>
        <v>29.040448891986063</v>
      </c>
      <c r="Z8" s="220">
        <f t="shared" ref="Z8:Z14" si="34">((N8*0.8)/(1.219))+(N8*0.2)</f>
        <v>43515.594718457753</v>
      </c>
      <c r="AA8" s="220">
        <f t="shared" ref="AA8:AA14" si="35">((O8*0.8)/(0.9571))+(O8*0.2)</f>
        <v>25754.868440869293</v>
      </c>
      <c r="AB8" s="220">
        <f t="shared" si="11"/>
        <v>41689.59064807219</v>
      </c>
      <c r="AC8" s="220">
        <f t="shared" si="20"/>
        <v>25977.757601086618</v>
      </c>
      <c r="AD8" s="230">
        <f t="shared" ref="AD8:AD14" si="36">AA8-Z8</f>
        <v>-17760.726277588459</v>
      </c>
      <c r="AE8" s="230">
        <f t="shared" ref="AE8:AE14" si="37">Z8/D8</f>
        <v>151.62228124898172</v>
      </c>
      <c r="AF8" s="230">
        <f t="shared" ref="AF8:AF14" si="38">AA8/D8</f>
        <v>89.738217564004501</v>
      </c>
      <c r="AG8" s="341">
        <f>Emissionsfaktorer!E$13</f>
        <v>0.34699999999999998</v>
      </c>
      <c r="AH8" s="220">
        <f t="shared" ref="AH8:AH14" si="39">AG8*Z8</f>
        <v>15099.91136730484</v>
      </c>
      <c r="AI8" s="243">
        <f t="shared" ref="AI8:AI14" si="40">AG8*AA8</f>
        <v>8936.9393489816448</v>
      </c>
      <c r="AJ8" s="220">
        <f t="shared" si="21"/>
        <v>14466.287954881049</v>
      </c>
      <c r="AK8" s="220">
        <f t="shared" si="22"/>
        <v>9014.2818875770554</v>
      </c>
      <c r="AL8" s="244">
        <f t="shared" ref="AL8:AM14" si="41">J8+AH8</f>
        <v>20798.17036730484</v>
      </c>
      <c r="AM8" s="220">
        <f t="shared" si="41"/>
        <v>11304.353348981645</v>
      </c>
      <c r="AN8" s="220">
        <f t="shared" si="24"/>
        <v>20164.546954881051</v>
      </c>
      <c r="AO8" s="220">
        <f t="shared" si="25"/>
        <v>11381.695887577056</v>
      </c>
      <c r="AP8" s="220">
        <f t="shared" si="26"/>
        <v>-9493.8170183231941</v>
      </c>
      <c r="AQ8" s="220">
        <f t="shared" si="27"/>
        <v>-8782.8510673039946</v>
      </c>
      <c r="AR8" s="243">
        <f t="shared" ref="AR8:AR14" si="42">AM8/D8</f>
        <v>39.38799076300225</v>
      </c>
      <c r="AS8" s="46"/>
    </row>
    <row r="9" spans="1:48">
      <c r="A9" s="228" t="s">
        <v>376</v>
      </c>
      <c r="B9" s="228" t="s">
        <v>379</v>
      </c>
      <c r="C9" s="64"/>
      <c r="D9" s="245">
        <v>266</v>
      </c>
      <c r="E9" s="203">
        <v>10244</v>
      </c>
      <c r="F9" s="203">
        <v>10322</v>
      </c>
      <c r="G9" s="203">
        <f>F9-E9</f>
        <v>78</v>
      </c>
      <c r="H9" s="220">
        <f t="shared" si="28"/>
        <v>38.511278195488721</v>
      </c>
      <c r="I9" s="220">
        <f t="shared" si="29"/>
        <v>38.804511278195491</v>
      </c>
      <c r="J9" s="244">
        <f>E9*Emissionsfaktorer!E$11</f>
        <v>4599.5560000000005</v>
      </c>
      <c r="K9" s="339">
        <f>F9*Emissionsfaktorer!E$12</f>
        <v>3901.7159999999999</v>
      </c>
      <c r="L9" s="203">
        <v>721</v>
      </c>
      <c r="M9" s="203">
        <v>673.4</v>
      </c>
      <c r="N9" s="220">
        <f t="shared" si="3"/>
        <v>31025.351000000002</v>
      </c>
      <c r="O9" s="220">
        <f t="shared" si="4"/>
        <v>28977.075400000002</v>
      </c>
      <c r="P9" s="230">
        <f>O9-N9</f>
        <v>-2048.2756000000008</v>
      </c>
      <c r="Q9" s="230">
        <f t="shared" si="30"/>
        <v>116.63665789473686</v>
      </c>
      <c r="R9" s="230">
        <f t="shared" si="31"/>
        <v>108.93637368421054</v>
      </c>
      <c r="S9" s="341"/>
      <c r="T9" s="220">
        <f>Emissionsfaktorer!E$14*N9</f>
        <v>8128.6419620000006</v>
      </c>
      <c r="U9" s="243">
        <f>Emissionsfaktorer!E$15*O9</f>
        <v>6954.4980960000003</v>
      </c>
      <c r="V9" s="244">
        <f t="shared" si="32"/>
        <v>12728.197962000002</v>
      </c>
      <c r="W9" s="220">
        <f t="shared" si="32"/>
        <v>10856.214096</v>
      </c>
      <c r="X9" s="220">
        <f t="shared" si="19"/>
        <v>-1871.9838660000023</v>
      </c>
      <c r="Y9" s="243">
        <f t="shared" si="33"/>
        <v>40.812834947368422</v>
      </c>
      <c r="Z9" s="220">
        <f t="shared" si="34"/>
        <v>26566.25215242002</v>
      </c>
      <c r="AA9" s="220">
        <f t="shared" si="35"/>
        <v>30016.144700729288</v>
      </c>
      <c r="AB9" s="220">
        <f t="shared" si="11"/>
        <v>25451.477440525021</v>
      </c>
      <c r="AC9" s="220">
        <f t="shared" si="20"/>
        <v>30275.91202591161</v>
      </c>
      <c r="AD9" s="230">
        <f t="shared" si="36"/>
        <v>3449.892548309268</v>
      </c>
      <c r="AE9" s="230">
        <f t="shared" si="37"/>
        <v>99.873128392556467</v>
      </c>
      <c r="AF9" s="230">
        <f t="shared" si="38"/>
        <v>112.84264925086198</v>
      </c>
      <c r="AG9" s="341">
        <f>Emissionsfaktorer!E$13</f>
        <v>0.34699999999999998</v>
      </c>
      <c r="AH9" s="220">
        <f t="shared" si="39"/>
        <v>9218.4894968897461</v>
      </c>
      <c r="AI9" s="243">
        <f t="shared" si="40"/>
        <v>10415.602211153062</v>
      </c>
      <c r="AJ9" s="220">
        <f t="shared" si="21"/>
        <v>8831.662671862181</v>
      </c>
      <c r="AK9" s="220">
        <f t="shared" si="22"/>
        <v>10505.741472991327</v>
      </c>
      <c r="AL9" s="244">
        <f t="shared" si="41"/>
        <v>13818.045496889747</v>
      </c>
      <c r="AM9" s="220">
        <f t="shared" si="41"/>
        <v>14317.318211153062</v>
      </c>
      <c r="AN9" s="220">
        <f t="shared" si="24"/>
        <v>13431.218671862182</v>
      </c>
      <c r="AO9" s="220">
        <f t="shared" si="25"/>
        <v>14407.457472991327</v>
      </c>
      <c r="AP9" s="220">
        <f>AM9-AL9</f>
        <v>499.27271426331572</v>
      </c>
      <c r="AQ9" s="220">
        <f t="shared" si="27"/>
        <v>976.23880112914594</v>
      </c>
      <c r="AR9" s="243">
        <f t="shared" si="42"/>
        <v>53.824504553206999</v>
      </c>
      <c r="AS9" s="46"/>
    </row>
    <row r="10" spans="1:48">
      <c r="A10" s="3" t="s">
        <v>19</v>
      </c>
      <c r="B10" s="228" t="s">
        <v>182</v>
      </c>
      <c r="C10" s="249"/>
      <c r="D10" s="245">
        <v>466</v>
      </c>
      <c r="E10" s="203">
        <v>14423</v>
      </c>
      <c r="F10" s="203">
        <v>13794</v>
      </c>
      <c r="G10" s="203">
        <f t="shared" si="0"/>
        <v>-629</v>
      </c>
      <c r="H10" s="220">
        <f t="shared" si="28"/>
        <v>30.950643776824034</v>
      </c>
      <c r="I10" s="220">
        <f t="shared" si="29"/>
        <v>29.600858369098713</v>
      </c>
      <c r="J10" s="244">
        <f>E10*Emissionsfaktorer!E$11</f>
        <v>6475.9270000000006</v>
      </c>
      <c r="K10" s="339">
        <f>F10*Emissionsfaktorer!E$12</f>
        <v>5214.1319999999996</v>
      </c>
      <c r="L10" s="203">
        <v>1195</v>
      </c>
      <c r="M10" s="203">
        <v>1711</v>
      </c>
      <c r="N10" s="220">
        <f t="shared" si="3"/>
        <v>51422.044999999998</v>
      </c>
      <c r="O10" s="220">
        <f t="shared" si="4"/>
        <v>73626.040999999997</v>
      </c>
      <c r="P10" s="230">
        <f t="shared" ref="P10:P15" si="43">O10-N10</f>
        <v>22203.995999999999</v>
      </c>
      <c r="Q10" s="230">
        <f t="shared" si="30"/>
        <v>110.34773605150214</v>
      </c>
      <c r="R10" s="230">
        <f t="shared" si="31"/>
        <v>157.99579613733906</v>
      </c>
      <c r="S10" s="341"/>
      <c r="T10" s="220">
        <f>Emissionsfaktorer!E$14*N10</f>
        <v>13472.575790000001</v>
      </c>
      <c r="U10" s="243">
        <f>Emissionsfaktorer!E$15*O10</f>
        <v>17670.24984</v>
      </c>
      <c r="V10" s="244">
        <f t="shared" si="32"/>
        <v>19948.502790000002</v>
      </c>
      <c r="W10" s="220">
        <f t="shared" si="32"/>
        <v>22884.381840000002</v>
      </c>
      <c r="X10" s="220">
        <f t="shared" si="19"/>
        <v>2935.8790499999996</v>
      </c>
      <c r="Y10" s="243">
        <f t="shared" si="33"/>
        <v>49.108115536480689</v>
      </c>
      <c r="Z10" s="220">
        <f t="shared" si="34"/>
        <v>44031.444274815418</v>
      </c>
      <c r="AA10" s="220">
        <f t="shared" si="35"/>
        <v>76266.147286824795</v>
      </c>
      <c r="AB10" s="220">
        <f t="shared" si="11"/>
        <v>42183.794093519275</v>
      </c>
      <c r="AC10" s="220">
        <f t="shared" si="20"/>
        <v>76926.173858530979</v>
      </c>
      <c r="AD10" s="230">
        <f t="shared" si="36"/>
        <v>32234.703012009377</v>
      </c>
      <c r="AE10" s="230">
        <f t="shared" si="37"/>
        <v>94.48807784295154</v>
      </c>
      <c r="AF10" s="230">
        <f t="shared" si="38"/>
        <v>163.6612602721562</v>
      </c>
      <c r="AG10" s="341">
        <f>Emissionsfaktorer!E$13</f>
        <v>0.34699999999999998</v>
      </c>
      <c r="AH10" s="220">
        <f t="shared" si="39"/>
        <v>15278.911163360948</v>
      </c>
      <c r="AI10" s="243">
        <f t="shared" si="40"/>
        <v>26464.353108528201</v>
      </c>
      <c r="AJ10" s="220">
        <f t="shared" si="21"/>
        <v>14637.776550451188</v>
      </c>
      <c r="AK10" s="220">
        <f t="shared" si="22"/>
        <v>26693.382328910247</v>
      </c>
      <c r="AL10" s="244">
        <f t="shared" si="41"/>
        <v>21754.83816336095</v>
      </c>
      <c r="AM10" s="220">
        <f t="shared" si="41"/>
        <v>31678.485108528199</v>
      </c>
      <c r="AN10" s="220">
        <f t="shared" si="24"/>
        <v>21113.703550451188</v>
      </c>
      <c r="AO10" s="220">
        <f t="shared" si="25"/>
        <v>31907.514328910249</v>
      </c>
      <c r="AP10" s="220">
        <f t="shared" si="26"/>
        <v>9923.6469451672492</v>
      </c>
      <c r="AQ10" s="220">
        <f t="shared" si="27"/>
        <v>10793.810778459061</v>
      </c>
      <c r="AR10" s="243">
        <f t="shared" si="42"/>
        <v>67.979581777957506</v>
      </c>
      <c r="AS10" s="46"/>
    </row>
    <row r="11" spans="1:48">
      <c r="A11" s="249"/>
      <c r="B11" s="228" t="s">
        <v>183</v>
      </c>
      <c r="C11" s="249"/>
      <c r="D11" s="245">
        <v>163</v>
      </c>
      <c r="E11" s="203">
        <v>12073</v>
      </c>
      <c r="F11" s="203">
        <v>12390</v>
      </c>
      <c r="G11" s="203">
        <f t="shared" si="0"/>
        <v>317</v>
      </c>
      <c r="H11" s="220">
        <f t="shared" si="28"/>
        <v>74.067484662576689</v>
      </c>
      <c r="I11" s="220">
        <f t="shared" si="29"/>
        <v>76.012269938650306</v>
      </c>
      <c r="J11" s="244">
        <f>E11*Emissionsfaktorer!E$11</f>
        <v>5420.777</v>
      </c>
      <c r="K11" s="339">
        <f>F11*Emissionsfaktorer!E$12</f>
        <v>4683.42</v>
      </c>
      <c r="L11" s="203">
        <v>762.1</v>
      </c>
      <c r="M11" s="203">
        <v>448.2</v>
      </c>
      <c r="N11" s="220">
        <f t="shared" si="3"/>
        <v>32793.9251</v>
      </c>
      <c r="O11" s="220">
        <f t="shared" si="4"/>
        <v>19286.494199999997</v>
      </c>
      <c r="P11" s="230">
        <f t="shared" si="43"/>
        <v>-13507.430900000003</v>
      </c>
      <c r="Q11" s="230">
        <f t="shared" si="30"/>
        <v>201.18972453987729</v>
      </c>
      <c r="R11" s="230">
        <f t="shared" si="31"/>
        <v>118.32205030674845</v>
      </c>
      <c r="S11" s="341"/>
      <c r="T11" s="220">
        <f>Emissionsfaktorer!E$17*N11</f>
        <v>3279.3925100000001</v>
      </c>
      <c r="U11" s="243">
        <f>Emissionsfaktorer!E$18*O11</f>
        <v>1793.6439605999997</v>
      </c>
      <c r="V11" s="244">
        <f t="shared" si="32"/>
        <v>8700.1695099999997</v>
      </c>
      <c r="W11" s="220">
        <f t="shared" si="32"/>
        <v>6477.0639605999995</v>
      </c>
      <c r="X11" s="220">
        <f t="shared" si="19"/>
        <v>-2223.1055494000002</v>
      </c>
      <c r="Y11" s="243">
        <f t="shared" si="33"/>
        <v>39.736588715337419</v>
      </c>
      <c r="Z11" s="220">
        <f t="shared" si="34"/>
        <v>28080.639064298604</v>
      </c>
      <c r="AA11" s="220">
        <f t="shared" si="35"/>
        <v>19978.075519552815</v>
      </c>
      <c r="AB11" s="220">
        <f t="shared" si="11"/>
        <v>26902.317555373254</v>
      </c>
      <c r="AC11" s="220">
        <f t="shared" si="20"/>
        <v>20150.970849441019</v>
      </c>
      <c r="AD11" s="230">
        <f t="shared" si="36"/>
        <v>-8102.5635447457898</v>
      </c>
      <c r="AE11" s="230">
        <f t="shared" si="37"/>
        <v>172.27385929017549</v>
      </c>
      <c r="AF11" s="230">
        <f t="shared" si="38"/>
        <v>122.56488048805407</v>
      </c>
      <c r="AG11" s="341">
        <v>0</v>
      </c>
      <c r="AH11" s="220">
        <f t="shared" si="39"/>
        <v>0</v>
      </c>
      <c r="AI11" s="243">
        <f t="shared" si="40"/>
        <v>0</v>
      </c>
      <c r="AJ11" s="220">
        <f t="shared" si="21"/>
        <v>0</v>
      </c>
      <c r="AK11" s="220">
        <f t="shared" si="22"/>
        <v>0</v>
      </c>
      <c r="AL11" s="244">
        <f t="shared" si="41"/>
        <v>5420.777</v>
      </c>
      <c r="AM11" s="220">
        <f t="shared" si="41"/>
        <v>4683.42</v>
      </c>
      <c r="AN11" s="220">
        <f t="shared" si="24"/>
        <v>5420.777</v>
      </c>
      <c r="AO11" s="220">
        <f t="shared" si="25"/>
        <v>4683.42</v>
      </c>
      <c r="AP11" s="220">
        <f t="shared" si="26"/>
        <v>-737.35699999999997</v>
      </c>
      <c r="AQ11" s="220">
        <f t="shared" si="27"/>
        <v>-737.35699999999997</v>
      </c>
      <c r="AR11" s="243">
        <f t="shared" si="42"/>
        <v>28.732638036809817</v>
      </c>
      <c r="AS11" s="46"/>
    </row>
    <row r="12" spans="1:48">
      <c r="A12" s="3" t="s">
        <v>21</v>
      </c>
      <c r="B12" s="228" t="s">
        <v>21</v>
      </c>
      <c r="C12" s="64"/>
      <c r="D12" s="245">
        <v>466</v>
      </c>
      <c r="E12" s="203">
        <v>10535</v>
      </c>
      <c r="F12" s="203">
        <v>9265</v>
      </c>
      <c r="G12" s="203">
        <f t="shared" si="0"/>
        <v>-1270</v>
      </c>
      <c r="H12" s="220">
        <f t="shared" si="28"/>
        <v>22.607296137339056</v>
      </c>
      <c r="I12" s="220">
        <f t="shared" si="29"/>
        <v>19.88197424892704</v>
      </c>
      <c r="J12" s="244">
        <f>E12*Emissionsfaktorer!E$11</f>
        <v>4730.2150000000001</v>
      </c>
      <c r="K12" s="339">
        <f>F12*Emissionsfaktorer!E$12</f>
        <v>3502.17</v>
      </c>
      <c r="L12" s="203">
        <v>1354</v>
      </c>
      <c r="M12" s="203">
        <v>1219</v>
      </c>
      <c r="N12" s="220">
        <f t="shared" si="3"/>
        <v>58263.974000000002</v>
      </c>
      <c r="O12" s="220">
        <f t="shared" si="4"/>
        <v>52454.789000000004</v>
      </c>
      <c r="P12" s="230">
        <f t="shared" si="43"/>
        <v>-5809.1849999999977</v>
      </c>
      <c r="Q12" s="230">
        <f t="shared" si="30"/>
        <v>125.02998712446352</v>
      </c>
      <c r="R12" s="230">
        <f t="shared" si="31"/>
        <v>112.56392489270387</v>
      </c>
      <c r="S12" s="341"/>
      <c r="T12" s="220">
        <f>Emissionsfaktorer!E$14*N12</f>
        <v>15265.161188000002</v>
      </c>
      <c r="U12" s="243">
        <f>Emissionsfaktorer!E$15*O12</f>
        <v>12589.149360000001</v>
      </c>
      <c r="V12" s="244">
        <f t="shared" si="32"/>
        <v>19995.376188000002</v>
      </c>
      <c r="W12" s="220">
        <f t="shared" si="32"/>
        <v>16091.319360000001</v>
      </c>
      <c r="X12" s="220">
        <f t="shared" si="19"/>
        <v>-3904.0568280000007</v>
      </c>
      <c r="Y12" s="243">
        <f t="shared" si="33"/>
        <v>34.53072824034335</v>
      </c>
      <c r="Z12" s="220">
        <f t="shared" si="34"/>
        <v>49890.021379163256</v>
      </c>
      <c r="AA12" s="220">
        <f t="shared" si="35"/>
        <v>54335.729715160393</v>
      </c>
      <c r="AB12" s="220">
        <f t="shared" si="11"/>
        <v>47796.533223954058</v>
      </c>
      <c r="AC12" s="220">
        <f t="shared" si="20"/>
        <v>54805.964893950484</v>
      </c>
      <c r="AD12" s="230">
        <f t="shared" si="36"/>
        <v>4445.7083359971366</v>
      </c>
      <c r="AE12" s="230">
        <f t="shared" si="37"/>
        <v>107.06013171494261</v>
      </c>
      <c r="AF12" s="230">
        <f t="shared" si="38"/>
        <v>116.60027835871328</v>
      </c>
      <c r="AG12" s="341">
        <f>Emissionsfaktorer!E$13</f>
        <v>0.34699999999999998</v>
      </c>
      <c r="AH12" s="220">
        <f t="shared" si="39"/>
        <v>17311.837418569648</v>
      </c>
      <c r="AI12" s="243">
        <f t="shared" si="40"/>
        <v>18854.498211160655</v>
      </c>
      <c r="AJ12" s="220">
        <f t="shared" si="21"/>
        <v>16585.397028712057</v>
      </c>
      <c r="AK12" s="220">
        <f t="shared" si="22"/>
        <v>19017.669818200815</v>
      </c>
      <c r="AL12" s="244">
        <f t="shared" si="41"/>
        <v>22042.052418569649</v>
      </c>
      <c r="AM12" s="220">
        <f t="shared" si="41"/>
        <v>22356.668211160657</v>
      </c>
      <c r="AN12" s="220">
        <f t="shared" si="24"/>
        <v>21315.612028712058</v>
      </c>
      <c r="AO12" s="220">
        <f t="shared" si="25"/>
        <v>22519.839818200817</v>
      </c>
      <c r="AP12" s="220">
        <f t="shared" si="26"/>
        <v>314.61579259100836</v>
      </c>
      <c r="AQ12" s="220">
        <f t="shared" si="27"/>
        <v>1204.2277894887593</v>
      </c>
      <c r="AR12" s="243">
        <f t="shared" si="42"/>
        <v>47.975682856567936</v>
      </c>
      <c r="AS12" s="46"/>
    </row>
    <row r="13" spans="1:48" ht="15" customHeight="1">
      <c r="A13" s="227" t="s">
        <v>22</v>
      </c>
      <c r="B13" s="228" t="s">
        <v>22</v>
      </c>
      <c r="C13" s="64" t="s">
        <v>367</v>
      </c>
      <c r="D13" s="245">
        <v>479</v>
      </c>
      <c r="E13" s="203">
        <v>10848</v>
      </c>
      <c r="F13" s="203">
        <v>11325</v>
      </c>
      <c r="G13" s="203">
        <f t="shared" si="0"/>
        <v>477</v>
      </c>
      <c r="H13" s="220">
        <f t="shared" si="28"/>
        <v>22.647181628392484</v>
      </c>
      <c r="I13" s="220">
        <f t="shared" si="29"/>
        <v>23.643006263048015</v>
      </c>
      <c r="J13" s="244">
        <f>E13*Emissionsfaktorer!E$11</f>
        <v>4870.7520000000004</v>
      </c>
      <c r="K13" s="339">
        <f>F13*Emissionsfaktorer!E$12</f>
        <v>4280.8500000000004</v>
      </c>
      <c r="L13" s="203">
        <v>2599</v>
      </c>
      <c r="M13" s="203">
        <v>3194</v>
      </c>
      <c r="N13" s="220">
        <f t="shared" si="3"/>
        <v>111837.569</v>
      </c>
      <c r="O13" s="220">
        <f t="shared" si="4"/>
        <v>137441.014</v>
      </c>
      <c r="P13" s="230">
        <f t="shared" si="43"/>
        <v>25603.444999999992</v>
      </c>
      <c r="Q13" s="230">
        <f t="shared" si="30"/>
        <v>233.48135490605429</v>
      </c>
      <c r="R13" s="230">
        <f t="shared" si="31"/>
        <v>286.93322338204592</v>
      </c>
      <c r="S13" s="341"/>
      <c r="T13" s="220">
        <f>Emissionsfaktorer!E$17*N13</f>
        <v>11183.7569</v>
      </c>
      <c r="U13" s="243">
        <f>Emissionsfaktorer!E$18*O13</f>
        <v>12782.014302</v>
      </c>
      <c r="V13" s="244">
        <f t="shared" si="32"/>
        <v>16054.508900000001</v>
      </c>
      <c r="W13" s="220">
        <f t="shared" si="32"/>
        <v>17062.864302000002</v>
      </c>
      <c r="X13" s="220">
        <f t="shared" si="19"/>
        <v>1008.355402000001</v>
      </c>
      <c r="Y13" s="243">
        <f t="shared" si="33"/>
        <v>35.621846141962422</v>
      </c>
      <c r="Z13" s="220">
        <f t="shared" si="34"/>
        <v>95763.785498113211</v>
      </c>
      <c r="AA13" s="220">
        <f t="shared" si="35"/>
        <v>142369.41813800021</v>
      </c>
      <c r="AB13" s="220">
        <f t="shared" si="11"/>
        <v>91745.339622641506</v>
      </c>
      <c r="AC13" s="220">
        <f t="shared" si="20"/>
        <v>143601.51917250027</v>
      </c>
      <c r="AD13" s="230">
        <f t="shared" si="36"/>
        <v>46605.632639887001</v>
      </c>
      <c r="AE13" s="230">
        <f t="shared" si="37"/>
        <v>199.92439561192737</v>
      </c>
      <c r="AF13" s="230">
        <f t="shared" si="38"/>
        <v>297.22216730271441</v>
      </c>
      <c r="AG13" s="341">
        <f>Emissionsfaktorer!E$16</f>
        <v>8.5999999999999993E-2</v>
      </c>
      <c r="AH13" s="220">
        <f t="shared" si="39"/>
        <v>8235.6855528377364</v>
      </c>
      <c r="AI13" s="243">
        <f t="shared" si="40"/>
        <v>12243.769959868017</v>
      </c>
      <c r="AJ13" s="220">
        <f t="shared" si="21"/>
        <v>7890.0992075471686</v>
      </c>
      <c r="AK13" s="220">
        <f t="shared" si="22"/>
        <v>12349.730648835022</v>
      </c>
      <c r="AL13" s="244">
        <f t="shared" si="41"/>
        <v>13106.437552837737</v>
      </c>
      <c r="AM13" s="220">
        <f t="shared" si="41"/>
        <v>16524.619959868018</v>
      </c>
      <c r="AN13" s="220">
        <f t="shared" si="24"/>
        <v>12760.85120754717</v>
      </c>
      <c r="AO13" s="220">
        <f t="shared" si="25"/>
        <v>16630.580648835021</v>
      </c>
      <c r="AP13" s="220">
        <f t="shared" si="26"/>
        <v>3418.182407030281</v>
      </c>
      <c r="AQ13" s="220">
        <f t="shared" si="27"/>
        <v>3869.7294412878509</v>
      </c>
      <c r="AR13" s="243">
        <f t="shared" si="42"/>
        <v>34.498162755465593</v>
      </c>
      <c r="AS13" s="46"/>
    </row>
    <row r="14" spans="1:48">
      <c r="A14" s="16" t="s">
        <v>42</v>
      </c>
      <c r="B14" s="228" t="s">
        <v>42</v>
      </c>
      <c r="C14" s="64" t="s">
        <v>366</v>
      </c>
      <c r="D14" s="86">
        <v>624</v>
      </c>
      <c r="E14" s="203">
        <v>11128</v>
      </c>
      <c r="F14" s="203">
        <v>11737</v>
      </c>
      <c r="G14" s="203">
        <f t="shared" si="0"/>
        <v>609</v>
      </c>
      <c r="H14" s="220">
        <f t="shared" si="28"/>
        <v>17.833333333333332</v>
      </c>
      <c r="I14" s="220">
        <f t="shared" si="29"/>
        <v>18.809294871794872</v>
      </c>
      <c r="J14" s="244">
        <f>E14*Emissionsfaktorer!E$11</f>
        <v>4996.4719999999998</v>
      </c>
      <c r="K14" s="339">
        <f>F14*Emissionsfaktorer!E$12</f>
        <v>4436.5860000000002</v>
      </c>
      <c r="L14" s="203">
        <v>2282</v>
      </c>
      <c r="M14" s="203">
        <v>1476</v>
      </c>
      <c r="N14" s="220">
        <f t="shared" si="3"/>
        <v>98196.741999999998</v>
      </c>
      <c r="O14" s="220">
        <f t="shared" si="4"/>
        <v>63513.756000000001</v>
      </c>
      <c r="P14" s="230">
        <f t="shared" si="43"/>
        <v>-34682.985999999997</v>
      </c>
      <c r="Q14" s="230">
        <f t="shared" si="30"/>
        <v>157.36657371794871</v>
      </c>
      <c r="R14" s="230">
        <f t="shared" si="31"/>
        <v>101.78486538461539</v>
      </c>
      <c r="S14" s="341"/>
      <c r="T14" s="220">
        <f>Emissionsfaktorer!E$14*N14</f>
        <v>25727.546404000001</v>
      </c>
      <c r="U14" s="243">
        <f>Emissionsfaktorer!E$15*O14</f>
        <v>15243.301439999999</v>
      </c>
      <c r="V14" s="244">
        <f t="shared" si="32"/>
        <v>30724.018404000002</v>
      </c>
      <c r="W14" s="220">
        <f t="shared" si="32"/>
        <v>19679.887439999999</v>
      </c>
      <c r="X14" s="220">
        <f t="shared" si="19"/>
        <v>-11044.130964000004</v>
      </c>
      <c r="Y14" s="243">
        <f t="shared" si="33"/>
        <v>31.538281153846153</v>
      </c>
      <c r="Z14" s="220">
        <f t="shared" si="34"/>
        <v>84083.477686300233</v>
      </c>
      <c r="AA14" s="220">
        <f t="shared" si="35"/>
        <v>65791.252714993214</v>
      </c>
      <c r="AB14" s="220">
        <f t="shared" si="11"/>
        <v>80555.1616078753</v>
      </c>
      <c r="AC14" s="220">
        <f t="shared" si="20"/>
        <v>66360.626893741515</v>
      </c>
      <c r="AD14" s="230">
        <f t="shared" si="36"/>
        <v>-18292.22497130702</v>
      </c>
      <c r="AE14" s="230">
        <f t="shared" si="37"/>
        <v>134.74916295881448</v>
      </c>
      <c r="AF14" s="230">
        <f t="shared" si="38"/>
        <v>105.43469986377117</v>
      </c>
      <c r="AG14" s="341">
        <f>Emissionsfaktorer!E$13</f>
        <v>0.34699999999999998</v>
      </c>
      <c r="AH14" s="220">
        <f t="shared" si="39"/>
        <v>29176.96675714618</v>
      </c>
      <c r="AI14" s="243">
        <f t="shared" si="40"/>
        <v>22829.564692102642</v>
      </c>
      <c r="AJ14" s="220">
        <f t="shared" si="21"/>
        <v>27952.641077932727</v>
      </c>
      <c r="AK14" s="220">
        <f t="shared" si="22"/>
        <v>23027.137532128305</v>
      </c>
      <c r="AL14" s="244">
        <f t="shared" si="41"/>
        <v>34173.438757146178</v>
      </c>
      <c r="AM14" s="220">
        <f t="shared" si="41"/>
        <v>27266.150692102641</v>
      </c>
      <c r="AN14" s="220">
        <f t="shared" si="24"/>
        <v>32949.113077932729</v>
      </c>
      <c r="AO14" s="220">
        <f t="shared" si="25"/>
        <v>27463.723532128304</v>
      </c>
      <c r="AP14" s="220">
        <f t="shared" si="26"/>
        <v>-6907.2880650435363</v>
      </c>
      <c r="AQ14" s="220">
        <f t="shared" si="27"/>
        <v>-5485.3895458044244</v>
      </c>
      <c r="AR14" s="243">
        <f t="shared" si="42"/>
        <v>43.695754314267056</v>
      </c>
      <c r="AS14" s="46"/>
    </row>
    <row r="15" spans="1:48">
      <c r="A15" s="227" t="s">
        <v>37</v>
      </c>
      <c r="B15" s="228" t="s">
        <v>37</v>
      </c>
      <c r="C15" s="64" t="s">
        <v>365</v>
      </c>
      <c r="D15" s="250">
        <v>290</v>
      </c>
      <c r="E15" s="203">
        <v>13517</v>
      </c>
      <c r="F15" s="203">
        <v>15829</v>
      </c>
      <c r="G15" s="203">
        <f t="shared" si="0"/>
        <v>2312</v>
      </c>
      <c r="H15" s="220">
        <f t="shared" ref="H15:H29" si="44">E15/D15</f>
        <v>46.610344827586204</v>
      </c>
      <c r="I15" s="220">
        <f t="shared" ref="I15:I29" si="45">F15/D15</f>
        <v>54.582758620689653</v>
      </c>
      <c r="J15" s="244">
        <f>E15*Emissionsfaktorer!E$11</f>
        <v>6069.1329999999998</v>
      </c>
      <c r="K15" s="339">
        <f>F15*Emissionsfaktorer!E$12</f>
        <v>5983.3620000000001</v>
      </c>
      <c r="L15" s="203">
        <v>3074</v>
      </c>
      <c r="M15" s="203">
        <v>1349</v>
      </c>
      <c r="N15" s="220">
        <f t="shared" si="3"/>
        <v>132277.29399999999</v>
      </c>
      <c r="O15" s="220">
        <f t="shared" si="4"/>
        <v>58048.819000000003</v>
      </c>
      <c r="P15" s="230">
        <f t="shared" si="43"/>
        <v>-74228.474999999991</v>
      </c>
      <c r="Q15" s="230">
        <f t="shared" ref="Q15:Q29" si="46">N15/D15</f>
        <v>456.12860000000001</v>
      </c>
      <c r="R15" s="230">
        <f t="shared" ref="R15:R29" si="47">O15/D15</f>
        <v>200.16834137931036</v>
      </c>
      <c r="S15" s="341"/>
      <c r="T15" s="220">
        <f>Emissionsfaktorer!E$17*N15</f>
        <v>13227.7294</v>
      </c>
      <c r="U15" s="243">
        <f>Emissionsfaktorer!E$18*O15</f>
        <v>5398.5401670000001</v>
      </c>
      <c r="V15" s="244">
        <f>J15+T15</f>
        <v>19296.862399999998</v>
      </c>
      <c r="W15" s="220">
        <f>K15+U15</f>
        <v>11381.902167</v>
      </c>
      <c r="X15" s="220">
        <f t="shared" si="19"/>
        <v>-7914.960232999998</v>
      </c>
      <c r="Y15" s="243">
        <f t="shared" ref="Y15:Y29" si="48">W15/D15</f>
        <v>39.247938506896553</v>
      </c>
      <c r="Z15" s="220">
        <f t="shared" ref="Z15:Z29" si="49">((N15*0.8)/(1.219))+(N15*0.2)</f>
        <v>113265.82401739131</v>
      </c>
      <c r="AA15" s="220">
        <f t="shared" ref="AA15:AA29" si="50">((O15*0.8)/(0.9571))+(O15*0.2)</f>
        <v>60130.352244258705</v>
      </c>
      <c r="AB15" s="220">
        <f t="shared" si="11"/>
        <v>108512.95652173912</v>
      </c>
      <c r="AC15" s="220">
        <f t="shared" si="20"/>
        <v>60650.735555323379</v>
      </c>
      <c r="AD15" s="230">
        <f t="shared" ref="AD15:AD29" si="51">AA15-Z15</f>
        <v>-53135.471773132602</v>
      </c>
      <c r="AE15" s="230">
        <f t="shared" ref="AE15:AE29" si="52">Z15/D15</f>
        <v>390.57180695652175</v>
      </c>
      <c r="AF15" s="230">
        <f t="shared" ref="AF15:AF29" si="53">AA15/D15</f>
        <v>207.34604222158174</v>
      </c>
      <c r="AG15" s="341">
        <f>Emissionsfaktorer!E$16</f>
        <v>8.5999999999999993E-2</v>
      </c>
      <c r="AH15" s="220">
        <f t="shared" ref="AH15:AH29" si="54">AG15*Z15</f>
        <v>9740.8608654956515</v>
      </c>
      <c r="AI15" s="243">
        <f t="shared" ref="AI15:AI29" si="55">AG15*AA15</f>
        <v>5171.2102930062483</v>
      </c>
      <c r="AJ15" s="220">
        <f t="shared" si="21"/>
        <v>9332.1142608695645</v>
      </c>
      <c r="AK15" s="220">
        <f t="shared" si="22"/>
        <v>5215.9632577578104</v>
      </c>
      <c r="AL15" s="244">
        <f>J15+AH15</f>
        <v>15809.993865495651</v>
      </c>
      <c r="AM15" s="220">
        <f>K15+AI15</f>
        <v>11154.572293006247</v>
      </c>
      <c r="AN15" s="220">
        <f t="shared" si="24"/>
        <v>15401.247260869564</v>
      </c>
      <c r="AO15" s="220">
        <f t="shared" si="25"/>
        <v>11199.32525775781</v>
      </c>
      <c r="AP15" s="220">
        <f t="shared" si="26"/>
        <v>-4655.4215724894038</v>
      </c>
      <c r="AQ15" s="220">
        <f t="shared" si="27"/>
        <v>-4201.9220031117547</v>
      </c>
      <c r="AR15" s="243">
        <f t="shared" ref="AR15:AR29" si="56">AM15/D15</f>
        <v>38.464042389676713</v>
      </c>
      <c r="AS15" s="46"/>
    </row>
    <row r="16" spans="1:48">
      <c r="A16" s="227" t="s">
        <v>41</v>
      </c>
      <c r="B16" s="228" t="s">
        <v>184</v>
      </c>
      <c r="C16" s="64" t="s">
        <v>368</v>
      </c>
      <c r="D16" s="245">
        <v>404</v>
      </c>
      <c r="E16" s="203">
        <v>9177</v>
      </c>
      <c r="F16" s="203">
        <v>10879</v>
      </c>
      <c r="G16" s="203">
        <f t="shared" si="0"/>
        <v>1702</v>
      </c>
      <c r="H16" s="220">
        <f t="shared" si="44"/>
        <v>22.715346534653467</v>
      </c>
      <c r="I16" s="220">
        <f t="shared" si="45"/>
        <v>26.928217821782177</v>
      </c>
      <c r="J16" s="244">
        <f>E16*Emissionsfaktorer!E$11</f>
        <v>4120.473</v>
      </c>
      <c r="K16" s="339">
        <f>F16*Emissionsfaktorer!E$12</f>
        <v>4112.2619999999997</v>
      </c>
      <c r="L16" s="203">
        <v>1667</v>
      </c>
      <c r="M16" s="203">
        <v>1401</v>
      </c>
      <c r="N16" s="220">
        <f t="shared" si="3"/>
        <v>71732.676999999996</v>
      </c>
      <c r="O16" s="220">
        <f t="shared" si="4"/>
        <v>60286.431000000004</v>
      </c>
      <c r="P16" s="230">
        <f t="shared" ref="P16:P52" si="57">O16-N16</f>
        <v>-11446.245999999992</v>
      </c>
      <c r="Q16" s="230">
        <f t="shared" si="46"/>
        <v>177.5561311881188</v>
      </c>
      <c r="R16" s="230">
        <f t="shared" si="47"/>
        <v>149.22383910891091</v>
      </c>
      <c r="S16" s="341"/>
      <c r="T16" s="220">
        <f>Emissionsfaktorer!E$17*N16</f>
        <v>7173.2677000000003</v>
      </c>
      <c r="U16" s="243">
        <f>Emissionsfaktorer!E$18*O16</f>
        <v>5606.6380830000007</v>
      </c>
      <c r="V16" s="244">
        <f t="shared" ref="V16:W18" si="58">J16+T16</f>
        <v>11293.7407</v>
      </c>
      <c r="W16" s="220">
        <f t="shared" si="58"/>
        <v>9718.9000830000004</v>
      </c>
      <c r="X16" s="220">
        <f t="shared" si="19"/>
        <v>-1574.8406169999998</v>
      </c>
      <c r="Y16" s="243">
        <f t="shared" si="48"/>
        <v>24.056683373762379</v>
      </c>
      <c r="Z16" s="220">
        <f t="shared" si="49"/>
        <v>61422.943603445448</v>
      </c>
      <c r="AA16" s="220">
        <f t="shared" si="50"/>
        <v>62448.201255898042</v>
      </c>
      <c r="AB16" s="220">
        <f t="shared" si="11"/>
        <v>58845.510254306799</v>
      </c>
      <c r="AC16" s="220">
        <f t="shared" si="20"/>
        <v>62988.643819872537</v>
      </c>
      <c r="AD16" s="230">
        <f t="shared" si="51"/>
        <v>1025.2576524525939</v>
      </c>
      <c r="AE16" s="230">
        <f t="shared" si="52"/>
        <v>152.03698911743922</v>
      </c>
      <c r="AF16" s="230">
        <f t="shared" si="53"/>
        <v>154.57475558390604</v>
      </c>
      <c r="AG16" s="341">
        <f>Emissionsfaktorer!E$16</f>
        <v>8.5999999999999993E-2</v>
      </c>
      <c r="AH16" s="220">
        <f t="shared" si="54"/>
        <v>5282.373149896308</v>
      </c>
      <c r="AI16" s="243">
        <f t="shared" si="55"/>
        <v>5370.5453080072311</v>
      </c>
      <c r="AJ16" s="220">
        <f t="shared" si="21"/>
        <v>5060.7138818703843</v>
      </c>
      <c r="AK16" s="220">
        <f t="shared" si="22"/>
        <v>5417.0233685090379</v>
      </c>
      <c r="AL16" s="244">
        <f t="shared" ref="AL16:AM18" si="59">J16+AH16</f>
        <v>9402.8461498963079</v>
      </c>
      <c r="AM16" s="220">
        <f t="shared" si="59"/>
        <v>9482.8073080072318</v>
      </c>
      <c r="AN16" s="220">
        <f t="shared" si="24"/>
        <v>9181.1868818703842</v>
      </c>
      <c r="AO16" s="220">
        <f t="shared" si="25"/>
        <v>9529.2853685090377</v>
      </c>
      <c r="AP16" s="220">
        <f t="shared" si="26"/>
        <v>79.961158110923861</v>
      </c>
      <c r="AQ16" s="220">
        <f t="shared" si="27"/>
        <v>348.09848663865341</v>
      </c>
      <c r="AR16" s="243">
        <f t="shared" si="56"/>
        <v>23.472295316849582</v>
      </c>
      <c r="AS16" s="46"/>
    </row>
    <row r="17" spans="1:45">
      <c r="A17" s="249"/>
      <c r="B17" s="228" t="s">
        <v>185</v>
      </c>
      <c r="C17" s="249"/>
      <c r="D17" s="245">
        <v>400</v>
      </c>
      <c r="E17" s="203">
        <v>56683</v>
      </c>
      <c r="F17" s="203">
        <v>53052</v>
      </c>
      <c r="G17" s="203">
        <f t="shared" si="0"/>
        <v>-3631</v>
      </c>
      <c r="H17" s="220">
        <f t="shared" si="44"/>
        <v>141.70750000000001</v>
      </c>
      <c r="I17" s="220">
        <f t="shared" si="45"/>
        <v>132.63</v>
      </c>
      <c r="J17" s="244">
        <f>E17*Emissionsfaktorer!E$11</f>
        <v>25450.667000000001</v>
      </c>
      <c r="K17" s="339">
        <f>F17*Emissionsfaktorer!E$12</f>
        <v>20053.655999999999</v>
      </c>
      <c r="L17" s="203">
        <v>1882</v>
      </c>
      <c r="M17" s="203">
        <v>1793</v>
      </c>
      <c r="N17" s="220">
        <f t="shared" si="3"/>
        <v>80984.342000000004</v>
      </c>
      <c r="O17" s="220">
        <f t="shared" si="4"/>
        <v>77154.582999999999</v>
      </c>
      <c r="P17" s="230">
        <f t="shared" si="57"/>
        <v>-3829.7590000000055</v>
      </c>
      <c r="Q17" s="230">
        <f t="shared" si="46"/>
        <v>202.46085500000001</v>
      </c>
      <c r="R17" s="230">
        <f t="shared" si="47"/>
        <v>192.88645750000001</v>
      </c>
      <c r="S17" s="341"/>
      <c r="T17" s="220">
        <f>Emissionsfaktorer!E$17*N17</f>
        <v>8098.4342000000006</v>
      </c>
      <c r="U17" s="243">
        <f>Emissionsfaktorer!E$18*O17</f>
        <v>7175.3762189999998</v>
      </c>
      <c r="V17" s="244">
        <f t="shared" si="58"/>
        <v>33549.101200000005</v>
      </c>
      <c r="W17" s="220">
        <f t="shared" si="58"/>
        <v>27229.032219000001</v>
      </c>
      <c r="X17" s="220">
        <f t="shared" si="19"/>
        <v>-6320.068981000004</v>
      </c>
      <c r="Y17" s="243">
        <f t="shared" si="48"/>
        <v>68.072580547499996</v>
      </c>
      <c r="Z17" s="220">
        <f t="shared" si="49"/>
        <v>69344.918933223962</v>
      </c>
      <c r="AA17" s="220">
        <f t="shared" si="50"/>
        <v>79921.216882102191</v>
      </c>
      <c r="AB17" s="220">
        <f t="shared" si="11"/>
        <v>66435.063166529944</v>
      </c>
      <c r="AC17" s="220">
        <f t="shared" si="20"/>
        <v>80612.875352627729</v>
      </c>
      <c r="AD17" s="230">
        <f t="shared" si="51"/>
        <v>10576.297948878229</v>
      </c>
      <c r="AE17" s="230">
        <f t="shared" si="52"/>
        <v>173.3622973330599</v>
      </c>
      <c r="AF17" s="230">
        <f t="shared" si="53"/>
        <v>199.80304220525548</v>
      </c>
      <c r="AG17" s="341">
        <f>Emissionsfaktorer!E$16</f>
        <v>8.5999999999999993E-2</v>
      </c>
      <c r="AH17" s="220">
        <f t="shared" si="54"/>
        <v>5963.6630282572605</v>
      </c>
      <c r="AI17" s="243">
        <f t="shared" si="55"/>
        <v>6873.2246518607881</v>
      </c>
      <c r="AJ17" s="220">
        <f t="shared" si="21"/>
        <v>5713.4154323215744</v>
      </c>
      <c r="AK17" s="220">
        <f t="shared" si="22"/>
        <v>6932.7072803259844</v>
      </c>
      <c r="AL17" s="244">
        <f t="shared" si="59"/>
        <v>31414.33002825726</v>
      </c>
      <c r="AM17" s="220">
        <f t="shared" si="59"/>
        <v>26926.880651860789</v>
      </c>
      <c r="AN17" s="220">
        <f t="shared" si="24"/>
        <v>31164.082432321575</v>
      </c>
      <c r="AO17" s="220">
        <f t="shared" si="25"/>
        <v>26986.363280325982</v>
      </c>
      <c r="AP17" s="220">
        <f t="shared" si="26"/>
        <v>-4487.4493763964711</v>
      </c>
      <c r="AQ17" s="220">
        <f t="shared" si="27"/>
        <v>-4177.7191519955923</v>
      </c>
      <c r="AR17" s="243">
        <f t="shared" si="56"/>
        <v>67.317201629651976</v>
      </c>
      <c r="AS17" s="46"/>
    </row>
    <row r="18" spans="1:45">
      <c r="A18" s="249"/>
      <c r="B18" s="228" t="s">
        <v>356</v>
      </c>
      <c r="C18" s="64"/>
      <c r="D18" s="246">
        <v>263</v>
      </c>
      <c r="E18" s="203">
        <v>24887</v>
      </c>
      <c r="F18" s="203">
        <v>32772</v>
      </c>
      <c r="G18" s="203">
        <f t="shared" si="0"/>
        <v>7885</v>
      </c>
      <c r="H18" s="220">
        <f t="shared" si="44"/>
        <v>94.627376425855516</v>
      </c>
      <c r="I18" s="220">
        <f t="shared" si="45"/>
        <v>124.6083650190114</v>
      </c>
      <c r="J18" s="244">
        <f>E18*Emissionsfaktorer!E$11</f>
        <v>11174.263000000001</v>
      </c>
      <c r="K18" s="339">
        <f>F18*Emissionsfaktorer!E$12</f>
        <v>12387.816000000001</v>
      </c>
      <c r="L18" s="203"/>
      <c r="M18" s="203"/>
      <c r="N18" s="220">
        <f t="shared" si="3"/>
        <v>0</v>
      </c>
      <c r="O18" s="220">
        <f t="shared" si="4"/>
        <v>0</v>
      </c>
      <c r="P18" s="230">
        <f t="shared" si="57"/>
        <v>0</v>
      </c>
      <c r="Q18" s="230">
        <f t="shared" si="46"/>
        <v>0</v>
      </c>
      <c r="R18" s="230">
        <f t="shared" si="47"/>
        <v>0</v>
      </c>
      <c r="S18" s="341"/>
      <c r="T18" s="220">
        <f>Emissionsfaktorer!E$17*N18</f>
        <v>0</v>
      </c>
      <c r="U18" s="243">
        <f>Emissionsfaktorer!E$18*O18</f>
        <v>0</v>
      </c>
      <c r="V18" s="244">
        <f t="shared" si="58"/>
        <v>11174.263000000001</v>
      </c>
      <c r="W18" s="220">
        <f t="shared" si="58"/>
        <v>12387.816000000001</v>
      </c>
      <c r="X18" s="220">
        <f t="shared" si="19"/>
        <v>1213.5529999999999</v>
      </c>
      <c r="Y18" s="243">
        <f t="shared" si="48"/>
        <v>47.101961977186313</v>
      </c>
      <c r="Z18" s="220">
        <f t="shared" si="49"/>
        <v>0</v>
      </c>
      <c r="AA18" s="220">
        <f t="shared" si="50"/>
        <v>0</v>
      </c>
      <c r="AB18" s="220">
        <f t="shared" si="11"/>
        <v>0</v>
      </c>
      <c r="AC18" s="220">
        <f t="shared" si="20"/>
        <v>0</v>
      </c>
      <c r="AD18" s="230">
        <f t="shared" si="51"/>
        <v>0</v>
      </c>
      <c r="AE18" s="230">
        <f t="shared" si="52"/>
        <v>0</v>
      </c>
      <c r="AF18" s="230">
        <f t="shared" si="53"/>
        <v>0</v>
      </c>
      <c r="AG18" s="341">
        <f>Emissionsfaktorer!E$16</f>
        <v>8.5999999999999993E-2</v>
      </c>
      <c r="AH18" s="220">
        <f t="shared" si="54"/>
        <v>0</v>
      </c>
      <c r="AI18" s="243">
        <f t="shared" si="55"/>
        <v>0</v>
      </c>
      <c r="AJ18" s="220">
        <f t="shared" si="21"/>
        <v>0</v>
      </c>
      <c r="AK18" s="220">
        <f t="shared" si="22"/>
        <v>0</v>
      </c>
      <c r="AL18" s="244">
        <f t="shared" si="59"/>
        <v>11174.263000000001</v>
      </c>
      <c r="AM18" s="220">
        <f t="shared" si="59"/>
        <v>12387.816000000001</v>
      </c>
      <c r="AN18" s="220">
        <f t="shared" si="24"/>
        <v>11174.263000000001</v>
      </c>
      <c r="AO18" s="220">
        <f t="shared" si="25"/>
        <v>12387.816000000001</v>
      </c>
      <c r="AP18" s="220">
        <f t="shared" si="26"/>
        <v>1213.5529999999999</v>
      </c>
      <c r="AQ18" s="220">
        <f t="shared" si="27"/>
        <v>1213.5529999999999</v>
      </c>
      <c r="AR18" s="243">
        <f t="shared" si="56"/>
        <v>47.101961977186313</v>
      </c>
      <c r="AS18" s="46"/>
    </row>
    <row r="19" spans="1:45">
      <c r="A19" s="247" t="s">
        <v>6</v>
      </c>
      <c r="B19" s="228" t="s">
        <v>186</v>
      </c>
      <c r="C19" s="64" t="s">
        <v>380</v>
      </c>
      <c r="D19" s="248">
        <v>819</v>
      </c>
      <c r="E19" s="203">
        <v>10745</v>
      </c>
      <c r="F19" s="203">
        <v>9739</v>
      </c>
      <c r="G19" s="203">
        <f t="shared" si="0"/>
        <v>-1006</v>
      </c>
      <c r="H19" s="220">
        <f t="shared" si="44"/>
        <v>13.119658119658119</v>
      </c>
      <c r="I19" s="220">
        <f t="shared" si="45"/>
        <v>11.891330891330892</v>
      </c>
      <c r="J19" s="244">
        <f>E19*Emissionsfaktorer!E$11</f>
        <v>4824.5050000000001</v>
      </c>
      <c r="K19" s="339">
        <f>F19*Emissionsfaktorer!E$12</f>
        <v>3681.3420000000001</v>
      </c>
      <c r="L19" s="203">
        <v>2265</v>
      </c>
      <c r="M19" s="203">
        <v>2399</v>
      </c>
      <c r="N19" s="220">
        <f t="shared" si="3"/>
        <v>97465.214999999997</v>
      </c>
      <c r="O19" s="220">
        <f t="shared" si="4"/>
        <v>103231.36900000001</v>
      </c>
      <c r="P19" s="230">
        <f t="shared" si="57"/>
        <v>5766.1540000000095</v>
      </c>
      <c r="Q19" s="230">
        <f t="shared" si="46"/>
        <v>119.00514652014651</v>
      </c>
      <c r="R19" s="230">
        <f t="shared" si="47"/>
        <v>126.0456275946276</v>
      </c>
      <c r="S19" s="341"/>
      <c r="T19" s="220">
        <f>Emissionsfaktorer!E$17*N19</f>
        <v>9746.5215000000007</v>
      </c>
      <c r="U19" s="243">
        <f>Emissionsfaktorer!E$18*O19</f>
        <v>9600.5173169999998</v>
      </c>
      <c r="V19" s="244">
        <f t="shared" ref="V19:W22" si="60">J19+T19</f>
        <v>14571.0265</v>
      </c>
      <c r="W19" s="220">
        <f t="shared" si="60"/>
        <v>13281.859317</v>
      </c>
      <c r="X19" s="220">
        <f t="shared" si="19"/>
        <v>-1289.1671829999996</v>
      </c>
      <c r="Y19" s="243">
        <f t="shared" si="48"/>
        <v>16.217166443223444</v>
      </c>
      <c r="Z19" s="220">
        <f t="shared" si="49"/>
        <v>83457.08893929451</v>
      </c>
      <c r="AA19" s="220">
        <f t="shared" si="50"/>
        <v>106933.07267159128</v>
      </c>
      <c r="AB19" s="220">
        <f t="shared" si="11"/>
        <v>79955.057424118117</v>
      </c>
      <c r="AC19" s="220">
        <f t="shared" si="20"/>
        <v>107858.4985894891</v>
      </c>
      <c r="AD19" s="230">
        <f t="shared" si="51"/>
        <v>23475.983732296765</v>
      </c>
      <c r="AE19" s="230">
        <f t="shared" si="52"/>
        <v>101.90120749608609</v>
      </c>
      <c r="AF19" s="230">
        <f t="shared" si="53"/>
        <v>130.56541229742524</v>
      </c>
      <c r="AG19" s="341">
        <f>Emissionsfaktorer!E$16</f>
        <v>8.5999999999999993E-2</v>
      </c>
      <c r="AH19" s="220">
        <f t="shared" si="54"/>
        <v>7177.3096487793273</v>
      </c>
      <c r="AI19" s="243">
        <f t="shared" si="55"/>
        <v>9196.2442497568481</v>
      </c>
      <c r="AJ19" s="220">
        <f t="shared" si="21"/>
        <v>6876.134938474157</v>
      </c>
      <c r="AK19" s="220">
        <f t="shared" si="22"/>
        <v>9275.8308786960624</v>
      </c>
      <c r="AL19" s="244">
        <f t="shared" ref="AL19:AM22" si="61">J19+AH19</f>
        <v>12001.814648779327</v>
      </c>
      <c r="AM19" s="220">
        <f t="shared" si="61"/>
        <v>12877.586249756849</v>
      </c>
      <c r="AN19" s="220">
        <f t="shared" si="24"/>
        <v>11700.639938474156</v>
      </c>
      <c r="AO19" s="220">
        <f t="shared" si="25"/>
        <v>12957.172878696063</v>
      </c>
      <c r="AP19" s="220">
        <f t="shared" si="26"/>
        <v>875.7716009775213</v>
      </c>
      <c r="AQ19" s="220">
        <f t="shared" si="27"/>
        <v>1256.5329402219068</v>
      </c>
      <c r="AR19" s="243">
        <f t="shared" si="56"/>
        <v>15.723548534501647</v>
      </c>
      <c r="AS19" s="46"/>
    </row>
    <row r="20" spans="1:45">
      <c r="A20" s="227" t="s">
        <v>7</v>
      </c>
      <c r="B20" s="228" t="s">
        <v>187</v>
      </c>
      <c r="C20" s="64"/>
      <c r="D20" s="248">
        <v>460</v>
      </c>
      <c r="E20" s="203">
        <v>28928</v>
      </c>
      <c r="F20" s="203">
        <v>25561</v>
      </c>
      <c r="G20" s="203">
        <f t="shared" si="0"/>
        <v>-3367</v>
      </c>
      <c r="H20" s="220">
        <f t="shared" si="44"/>
        <v>62.88695652173913</v>
      </c>
      <c r="I20" s="220">
        <f t="shared" si="45"/>
        <v>55.567391304347829</v>
      </c>
      <c r="J20" s="244">
        <f>E20*Emissionsfaktorer!E$11</f>
        <v>12988.672</v>
      </c>
      <c r="K20" s="339">
        <f>F20*Emissionsfaktorer!E$12</f>
        <v>9662.0580000000009</v>
      </c>
      <c r="L20" s="203">
        <v>1186</v>
      </c>
      <c r="M20" s="203">
        <v>1048</v>
      </c>
      <c r="N20" s="220">
        <f t="shared" si="3"/>
        <v>51034.766000000003</v>
      </c>
      <c r="O20" s="220">
        <f t="shared" si="4"/>
        <v>45096.488000000005</v>
      </c>
      <c r="P20" s="230">
        <f t="shared" si="57"/>
        <v>-5938.2779999999984</v>
      </c>
      <c r="Q20" s="230">
        <f t="shared" si="46"/>
        <v>110.94514347826087</v>
      </c>
      <c r="R20" s="230">
        <f t="shared" si="47"/>
        <v>98.035843478260887</v>
      </c>
      <c r="S20" s="341"/>
      <c r="T20" s="220">
        <f>Emissionsfaktorer!E$17*N20</f>
        <v>5103.4766000000009</v>
      </c>
      <c r="U20" s="243">
        <f>Emissionsfaktorer!E$18*O20</f>
        <v>4193.9733840000008</v>
      </c>
      <c r="V20" s="244">
        <f t="shared" si="60"/>
        <v>18092.1486</v>
      </c>
      <c r="W20" s="220">
        <f t="shared" si="60"/>
        <v>13856.031384000002</v>
      </c>
      <c r="X20" s="220">
        <f t="shared" si="19"/>
        <v>-4236.1172159999987</v>
      </c>
      <c r="Y20" s="243">
        <f t="shared" si="48"/>
        <v>30.121807356521742</v>
      </c>
      <c r="Z20" s="220">
        <f t="shared" si="49"/>
        <v>43699.826702871214</v>
      </c>
      <c r="AA20" s="220">
        <f t="shared" si="50"/>
        <v>46713.572388423374</v>
      </c>
      <c r="AB20" s="220">
        <f t="shared" si="11"/>
        <v>41866.09187858901</v>
      </c>
      <c r="AC20" s="220">
        <f t="shared" si="20"/>
        <v>47117.843485529207</v>
      </c>
      <c r="AD20" s="230">
        <f t="shared" si="51"/>
        <v>3013.7456855521596</v>
      </c>
      <c r="AE20" s="230">
        <f t="shared" si="52"/>
        <v>94.999623267111332</v>
      </c>
      <c r="AF20" s="230">
        <f t="shared" si="53"/>
        <v>101.55124432265951</v>
      </c>
      <c r="AG20" s="341">
        <f>Emissionsfaktorer!E$16</f>
        <v>8.5999999999999993E-2</v>
      </c>
      <c r="AH20" s="220">
        <f t="shared" si="54"/>
        <v>3758.185096446924</v>
      </c>
      <c r="AI20" s="243">
        <f t="shared" si="55"/>
        <v>4017.36722540441</v>
      </c>
      <c r="AJ20" s="220">
        <f t="shared" si="21"/>
        <v>3600.4839015586545</v>
      </c>
      <c r="AK20" s="220">
        <f t="shared" si="22"/>
        <v>4052.1345397555115</v>
      </c>
      <c r="AL20" s="244">
        <f t="shared" si="61"/>
        <v>16746.857096446925</v>
      </c>
      <c r="AM20" s="220">
        <f t="shared" si="61"/>
        <v>13679.425225404411</v>
      </c>
      <c r="AN20" s="220">
        <f t="shared" si="24"/>
        <v>16589.155901558654</v>
      </c>
      <c r="AO20" s="220">
        <f t="shared" si="25"/>
        <v>13714.192539755513</v>
      </c>
      <c r="AP20" s="220">
        <f t="shared" si="26"/>
        <v>-3067.4318710425141</v>
      </c>
      <c r="AQ20" s="220">
        <f t="shared" si="27"/>
        <v>-2874.9633618031403</v>
      </c>
      <c r="AR20" s="243">
        <f t="shared" si="56"/>
        <v>29.737880924792197</v>
      </c>
      <c r="AS20" s="46"/>
    </row>
    <row r="21" spans="1:45">
      <c r="A21" s="227" t="s">
        <v>9</v>
      </c>
      <c r="B21" s="228" t="s">
        <v>188</v>
      </c>
      <c r="C21" s="64" t="s">
        <v>367</v>
      </c>
      <c r="D21" s="245">
        <v>270</v>
      </c>
      <c r="E21" s="203">
        <v>7574</v>
      </c>
      <c r="F21" s="203">
        <v>6770</v>
      </c>
      <c r="G21" s="203">
        <f t="shared" si="0"/>
        <v>-804</v>
      </c>
      <c r="H21" s="220">
        <f t="shared" si="44"/>
        <v>28.05185185185185</v>
      </c>
      <c r="I21" s="220">
        <f t="shared" si="45"/>
        <v>25.074074074074073</v>
      </c>
      <c r="J21" s="244">
        <f>E21*Emissionsfaktorer!E$11</f>
        <v>3400.7260000000001</v>
      </c>
      <c r="K21" s="339">
        <f>F21*Emissionsfaktorer!E$12</f>
        <v>2559.06</v>
      </c>
      <c r="L21" s="203">
        <v>1048</v>
      </c>
      <c r="M21" s="203">
        <v>631.29999999999995</v>
      </c>
      <c r="N21" s="220">
        <f t="shared" si="3"/>
        <v>45096.488000000005</v>
      </c>
      <c r="O21" s="220">
        <f t="shared" si="4"/>
        <v>27165.470300000001</v>
      </c>
      <c r="P21" s="230">
        <f t="shared" si="57"/>
        <v>-17931.017700000004</v>
      </c>
      <c r="Q21" s="230">
        <f t="shared" si="46"/>
        <v>167.02402962962964</v>
      </c>
      <c r="R21" s="230">
        <f t="shared" si="47"/>
        <v>100.61285296296296</v>
      </c>
      <c r="S21" s="341"/>
      <c r="T21" s="220">
        <f>Emissionsfaktorer!E$17*N21</f>
        <v>4509.6488000000008</v>
      </c>
      <c r="U21" s="243">
        <f>Emissionsfaktorer!E$18*O21</f>
        <v>2526.3887379000003</v>
      </c>
      <c r="V21" s="244">
        <f t="shared" si="60"/>
        <v>7910.3748000000014</v>
      </c>
      <c r="W21" s="220">
        <f t="shared" si="60"/>
        <v>5085.4487379000002</v>
      </c>
      <c r="X21" s="220">
        <f t="shared" si="19"/>
        <v>-2824.9260621000012</v>
      </c>
      <c r="Y21" s="243">
        <f t="shared" si="48"/>
        <v>18.834995325555557</v>
      </c>
      <c r="Z21" s="220">
        <f t="shared" si="49"/>
        <v>38615.023933059885</v>
      </c>
      <c r="AA21" s="220">
        <f t="shared" si="50"/>
        <v>28139.578481690525</v>
      </c>
      <c r="AB21" s="220">
        <f t="shared" si="11"/>
        <v>36994.657916324861</v>
      </c>
      <c r="AC21" s="220">
        <f t="shared" si="20"/>
        <v>28383.105527113155</v>
      </c>
      <c r="AD21" s="230">
        <f t="shared" si="51"/>
        <v>-10475.44545136936</v>
      </c>
      <c r="AE21" s="230">
        <f t="shared" si="52"/>
        <v>143.01860715948106</v>
      </c>
      <c r="AF21" s="230">
        <f t="shared" si="53"/>
        <v>104.22066104329824</v>
      </c>
      <c r="AG21" s="341">
        <f>Emissionsfaktorer!E$16</f>
        <v>8.5999999999999993E-2</v>
      </c>
      <c r="AH21" s="220">
        <f t="shared" si="54"/>
        <v>3320.8920582431497</v>
      </c>
      <c r="AI21" s="243">
        <f t="shared" si="55"/>
        <v>2420.0037494253852</v>
      </c>
      <c r="AJ21" s="220">
        <f t="shared" si="21"/>
        <v>3181.5405808039377</v>
      </c>
      <c r="AK21" s="220">
        <f t="shared" si="22"/>
        <v>2440.947075331731</v>
      </c>
      <c r="AL21" s="244">
        <f t="shared" si="61"/>
        <v>6721.6180582431498</v>
      </c>
      <c r="AM21" s="220">
        <f t="shared" si="61"/>
        <v>4979.0637494253851</v>
      </c>
      <c r="AN21" s="220">
        <f t="shared" si="24"/>
        <v>6582.2665808039383</v>
      </c>
      <c r="AO21" s="220">
        <f t="shared" si="25"/>
        <v>5000.0070753317304</v>
      </c>
      <c r="AP21" s="220">
        <f t="shared" si="26"/>
        <v>-1742.5543088177646</v>
      </c>
      <c r="AQ21" s="220">
        <f t="shared" si="27"/>
        <v>-1582.2595054722078</v>
      </c>
      <c r="AR21" s="243">
        <f t="shared" si="56"/>
        <v>18.440976849723647</v>
      </c>
      <c r="AS21" s="46"/>
    </row>
    <row r="22" spans="1:45">
      <c r="A22" s="227" t="s">
        <v>30</v>
      </c>
      <c r="B22" s="229" t="s">
        <v>189</v>
      </c>
      <c r="C22" s="64"/>
      <c r="D22" s="245">
        <v>430</v>
      </c>
      <c r="E22" s="203">
        <v>17088</v>
      </c>
      <c r="F22" s="203">
        <v>16238</v>
      </c>
      <c r="G22" s="203">
        <f t="shared" si="0"/>
        <v>-850</v>
      </c>
      <c r="H22" s="220">
        <f t="shared" si="44"/>
        <v>39.739534883720928</v>
      </c>
      <c r="I22" s="220">
        <f t="shared" si="45"/>
        <v>37.762790697674419</v>
      </c>
      <c r="J22" s="244">
        <f>E22*Emissionsfaktorer!E$11</f>
        <v>7672.5120000000006</v>
      </c>
      <c r="K22" s="339">
        <f>F22*Emissionsfaktorer!E$12</f>
        <v>6137.9639999999999</v>
      </c>
      <c r="L22" s="203">
        <v>1417</v>
      </c>
      <c r="M22" s="203">
        <v>1312</v>
      </c>
      <c r="N22" s="220">
        <f t="shared" si="3"/>
        <v>60974.927000000003</v>
      </c>
      <c r="O22" s="220">
        <f t="shared" si="4"/>
        <v>56456.671999999999</v>
      </c>
      <c r="P22" s="230">
        <f t="shared" si="57"/>
        <v>-4518.2550000000047</v>
      </c>
      <c r="Q22" s="230">
        <f t="shared" si="46"/>
        <v>141.8021558139535</v>
      </c>
      <c r="R22" s="230">
        <f t="shared" si="47"/>
        <v>131.29458604651163</v>
      </c>
      <c r="S22" s="341"/>
      <c r="T22" s="220">
        <f>Emissionsfaktorer!E$17*N22</f>
        <v>6097.4927000000007</v>
      </c>
      <c r="U22" s="243">
        <f>Emissionsfaktorer!E$18*O22</f>
        <v>5250.4704959999999</v>
      </c>
      <c r="V22" s="244">
        <f t="shared" si="60"/>
        <v>13770.004700000001</v>
      </c>
      <c r="W22" s="220">
        <f t="shared" si="60"/>
        <v>11388.434496</v>
      </c>
      <c r="X22" s="220">
        <f t="shared" si="19"/>
        <v>-2381.5702040000015</v>
      </c>
      <c r="Y22" s="243">
        <f t="shared" si="48"/>
        <v>26.484731386046512</v>
      </c>
      <c r="Z22" s="220">
        <f t="shared" si="49"/>
        <v>52211.344382772761</v>
      </c>
      <c r="AA22" s="220">
        <f t="shared" si="50"/>
        <v>58481.113524438406</v>
      </c>
      <c r="AB22" s="220">
        <f t="shared" ref="AB22:AB39" si="62">N22/1.219</f>
        <v>50020.448728465955</v>
      </c>
      <c r="AC22" s="220">
        <f t="shared" si="20"/>
        <v>58987.223905548009</v>
      </c>
      <c r="AD22" s="230">
        <f t="shared" si="51"/>
        <v>6269.7691416656453</v>
      </c>
      <c r="AE22" s="230">
        <f t="shared" si="52"/>
        <v>121.42173112272735</v>
      </c>
      <c r="AF22" s="230">
        <f t="shared" si="53"/>
        <v>136.00258959171722</v>
      </c>
      <c r="AG22" s="341">
        <f>Emissionsfaktorer!E$16</f>
        <v>8.5999999999999993E-2</v>
      </c>
      <c r="AH22" s="220">
        <f t="shared" si="54"/>
        <v>4490.1756169184573</v>
      </c>
      <c r="AI22" s="243">
        <f t="shared" si="55"/>
        <v>5029.3757631017024</v>
      </c>
      <c r="AJ22" s="220">
        <f t="shared" si="21"/>
        <v>4301.7585906480717</v>
      </c>
      <c r="AK22" s="220">
        <f t="shared" si="22"/>
        <v>5072.9012558771283</v>
      </c>
      <c r="AL22" s="244">
        <f t="shared" si="61"/>
        <v>12162.687616918458</v>
      </c>
      <c r="AM22" s="220">
        <f t="shared" si="61"/>
        <v>11167.339763101703</v>
      </c>
      <c r="AN22" s="220">
        <f t="shared" si="24"/>
        <v>11974.270590648073</v>
      </c>
      <c r="AO22" s="220">
        <f t="shared" si="25"/>
        <v>11210.865255877128</v>
      </c>
      <c r="AP22" s="220">
        <f t="shared" si="26"/>
        <v>-995.34785381675465</v>
      </c>
      <c r="AQ22" s="220">
        <f t="shared" si="27"/>
        <v>-763.40533477094505</v>
      </c>
      <c r="AR22" s="243">
        <f t="shared" si="56"/>
        <v>25.970557588608614</v>
      </c>
      <c r="AS22" s="46"/>
    </row>
    <row r="23" spans="1:45">
      <c r="A23" s="227" t="s">
        <v>45</v>
      </c>
      <c r="B23" s="228" t="s">
        <v>190</v>
      </c>
      <c r="C23" s="64" t="s">
        <v>368</v>
      </c>
      <c r="D23" s="245">
        <v>506</v>
      </c>
      <c r="E23" s="203">
        <v>20802</v>
      </c>
      <c r="F23" s="203">
        <v>20517</v>
      </c>
      <c r="G23" s="203">
        <f t="shared" ref="G23:G43" si="63">F23-E23</f>
        <v>-285</v>
      </c>
      <c r="H23" s="220">
        <f t="shared" si="44"/>
        <v>41.110671936758891</v>
      </c>
      <c r="I23" s="220">
        <f t="shared" si="45"/>
        <v>40.547430830039524</v>
      </c>
      <c r="J23" s="244">
        <f>E23*Emissionsfaktorer!E$11</f>
        <v>9340.098</v>
      </c>
      <c r="K23" s="339">
        <f>F23*Emissionsfaktorer!E$12</f>
        <v>7755.4260000000004</v>
      </c>
      <c r="L23" s="203">
        <v>1353</v>
      </c>
      <c r="M23" s="203">
        <v>1463</v>
      </c>
      <c r="N23" s="220">
        <f t="shared" si="3"/>
        <v>58220.942999999999</v>
      </c>
      <c r="O23" s="220">
        <f t="shared" si="4"/>
        <v>62954.353000000003</v>
      </c>
      <c r="P23" s="230">
        <f t="shared" si="57"/>
        <v>4733.4100000000035</v>
      </c>
      <c r="Q23" s="230">
        <f t="shared" si="46"/>
        <v>115.06115217391304</v>
      </c>
      <c r="R23" s="230">
        <f t="shared" si="47"/>
        <v>124.41571739130436</v>
      </c>
      <c r="S23" s="341"/>
      <c r="T23" s="220">
        <f>Emissionsfaktorer!E$17*N23</f>
        <v>5822.0943000000007</v>
      </c>
      <c r="U23" s="243">
        <f>Emissionsfaktorer!E$18*O23</f>
        <v>5854.7548290000004</v>
      </c>
      <c r="V23" s="244">
        <f t="shared" ref="V23:W25" si="64">J23+T23</f>
        <v>15162.192300000001</v>
      </c>
      <c r="W23" s="220">
        <f t="shared" si="64"/>
        <v>13610.180829000001</v>
      </c>
      <c r="X23" s="220">
        <f t="shared" si="19"/>
        <v>-1552.0114709999998</v>
      </c>
      <c r="Y23" s="243">
        <f t="shared" si="48"/>
        <v>26.897590571146246</v>
      </c>
      <c r="Z23" s="220">
        <f t="shared" si="49"/>
        <v>49853.174982280558</v>
      </c>
      <c r="AA23" s="220">
        <f t="shared" si="50"/>
        <v>65211.790462083387</v>
      </c>
      <c r="AB23" s="220">
        <f t="shared" si="62"/>
        <v>47761.23297785069</v>
      </c>
      <c r="AC23" s="220">
        <f t="shared" si="20"/>
        <v>65776.149827604226</v>
      </c>
      <c r="AD23" s="230">
        <f t="shared" si="51"/>
        <v>15358.615479802829</v>
      </c>
      <c r="AE23" s="230">
        <f t="shared" si="52"/>
        <v>98.524061229803479</v>
      </c>
      <c r="AF23" s="230">
        <f t="shared" si="53"/>
        <v>128.87705624917666</v>
      </c>
      <c r="AG23" s="341">
        <f>Emissionsfaktorer!E$16</f>
        <v>8.5999999999999993E-2</v>
      </c>
      <c r="AH23" s="220">
        <f t="shared" si="54"/>
        <v>4287.3730484761272</v>
      </c>
      <c r="AI23" s="243">
        <f t="shared" si="55"/>
        <v>5608.213979739171</v>
      </c>
      <c r="AJ23" s="220">
        <f t="shared" si="21"/>
        <v>4107.4660360951593</v>
      </c>
      <c r="AK23" s="220">
        <f t="shared" si="22"/>
        <v>5656.7488851739627</v>
      </c>
      <c r="AL23" s="244">
        <f t="shared" ref="AL23:AM25" si="65">J23+AH23</f>
        <v>13627.471048476127</v>
      </c>
      <c r="AM23" s="220">
        <f t="shared" si="65"/>
        <v>13363.639979739171</v>
      </c>
      <c r="AN23" s="220">
        <f t="shared" si="24"/>
        <v>13447.564036095158</v>
      </c>
      <c r="AO23" s="220">
        <f t="shared" si="25"/>
        <v>13412.174885173963</v>
      </c>
      <c r="AP23" s="220">
        <f t="shared" ref="AP23:AP43" si="66">AM23-AL23</f>
        <v>-263.83106873695579</v>
      </c>
      <c r="AQ23" s="220">
        <f t="shared" si="27"/>
        <v>-35.389150921195323</v>
      </c>
      <c r="AR23" s="243">
        <f t="shared" si="56"/>
        <v>26.410355691184133</v>
      </c>
      <c r="AS23" s="46"/>
    </row>
    <row r="24" spans="1:45">
      <c r="A24" s="227" t="s">
        <v>10</v>
      </c>
      <c r="B24" s="228" t="s">
        <v>191</v>
      </c>
      <c r="C24" s="64" t="s">
        <v>368</v>
      </c>
      <c r="D24" s="245">
        <v>246</v>
      </c>
      <c r="E24" s="203">
        <v>9528</v>
      </c>
      <c r="F24" s="203">
        <v>7994</v>
      </c>
      <c r="G24" s="203">
        <f t="shared" si="63"/>
        <v>-1534</v>
      </c>
      <c r="H24" s="220">
        <f t="shared" si="44"/>
        <v>38.731707317073173</v>
      </c>
      <c r="I24" s="220">
        <f t="shared" si="45"/>
        <v>32.49593495934959</v>
      </c>
      <c r="J24" s="244">
        <f>E24*Emissionsfaktorer!E$11</f>
        <v>4278.0720000000001</v>
      </c>
      <c r="K24" s="339">
        <f>F24*Emissionsfaktorer!E$12</f>
        <v>3021.732</v>
      </c>
      <c r="L24" s="203">
        <v>777.4</v>
      </c>
      <c r="M24" s="203">
        <v>626</v>
      </c>
      <c r="N24" s="220">
        <f t="shared" si="3"/>
        <v>33452.299400000004</v>
      </c>
      <c r="O24" s="220">
        <f t="shared" si="4"/>
        <v>26937.405999999999</v>
      </c>
      <c r="P24" s="230">
        <f t="shared" si="57"/>
        <v>-6514.8934000000045</v>
      </c>
      <c r="Q24" s="230">
        <f t="shared" si="46"/>
        <v>135.98495691056911</v>
      </c>
      <c r="R24" s="230">
        <f t="shared" si="47"/>
        <v>109.50165040650406</v>
      </c>
      <c r="S24" s="341"/>
      <c r="T24" s="220">
        <f>Emissionsfaktorer!E$17*N24</f>
        <v>3345.2299400000006</v>
      </c>
      <c r="U24" s="243">
        <f>Emissionsfaktorer!E$18*O24</f>
        <v>2505.178758</v>
      </c>
      <c r="V24" s="244">
        <f t="shared" si="64"/>
        <v>7623.3019400000012</v>
      </c>
      <c r="W24" s="220">
        <f t="shared" si="64"/>
        <v>5526.910758</v>
      </c>
      <c r="X24" s="220">
        <f t="shared" si="19"/>
        <v>-2096.3911820000012</v>
      </c>
      <c r="Y24" s="243">
        <f t="shared" si="48"/>
        <v>22.467116902439024</v>
      </c>
      <c r="Z24" s="220">
        <f t="shared" si="49"/>
        <v>28644.388936603777</v>
      </c>
      <c r="AA24" s="220">
        <f t="shared" si="50"/>
        <v>27903.336178581136</v>
      </c>
      <c r="AB24" s="220">
        <f t="shared" si="62"/>
        <v>27442.41132075472</v>
      </c>
      <c r="AC24" s="220">
        <f t="shared" si="20"/>
        <v>28144.818723226414</v>
      </c>
      <c r="AD24" s="230">
        <f t="shared" si="51"/>
        <v>-741.05275802264077</v>
      </c>
      <c r="AE24" s="230">
        <f t="shared" si="52"/>
        <v>116.44060543334868</v>
      </c>
      <c r="AF24" s="230">
        <f t="shared" si="53"/>
        <v>113.42819584789079</v>
      </c>
      <c r="AG24" s="341">
        <f>Emissionsfaktorer!E$16</f>
        <v>8.5999999999999993E-2</v>
      </c>
      <c r="AH24" s="220">
        <f t="shared" si="54"/>
        <v>2463.4174485479248</v>
      </c>
      <c r="AI24" s="243">
        <f t="shared" si="55"/>
        <v>2399.6869113579774</v>
      </c>
      <c r="AJ24" s="220">
        <f t="shared" si="21"/>
        <v>2360.0473735849059</v>
      </c>
      <c r="AK24" s="220">
        <f t="shared" si="22"/>
        <v>2420.4544101974716</v>
      </c>
      <c r="AL24" s="244">
        <f t="shared" si="65"/>
        <v>6741.4894485479253</v>
      </c>
      <c r="AM24" s="220">
        <f t="shared" si="65"/>
        <v>5421.4189113579778</v>
      </c>
      <c r="AN24" s="220">
        <f t="shared" si="24"/>
        <v>6638.1193735849065</v>
      </c>
      <c r="AO24" s="220">
        <f t="shared" si="25"/>
        <v>5442.1864101974716</v>
      </c>
      <c r="AP24" s="220">
        <f t="shared" si="66"/>
        <v>-1320.0705371899476</v>
      </c>
      <c r="AQ24" s="220">
        <f t="shared" si="27"/>
        <v>-1195.9329633874349</v>
      </c>
      <c r="AR24" s="243">
        <f t="shared" si="56"/>
        <v>22.038288257552754</v>
      </c>
      <c r="AS24" s="46"/>
    </row>
    <row r="25" spans="1:45">
      <c r="A25" s="227" t="s">
        <v>13</v>
      </c>
      <c r="B25" s="228" t="s">
        <v>192</v>
      </c>
      <c r="C25" s="64"/>
      <c r="D25" s="245">
        <v>1279</v>
      </c>
      <c r="E25" s="203">
        <v>36775</v>
      </c>
      <c r="F25" s="203">
        <v>43103</v>
      </c>
      <c r="G25" s="203">
        <f t="shared" si="63"/>
        <v>6328</v>
      </c>
      <c r="H25" s="220">
        <f t="shared" si="44"/>
        <v>28.752931978107895</v>
      </c>
      <c r="I25" s="220">
        <f t="shared" si="45"/>
        <v>33.700547302580141</v>
      </c>
      <c r="J25" s="244">
        <f>E25*Emissionsfaktorer!E$11</f>
        <v>16511.975000000002</v>
      </c>
      <c r="K25" s="339">
        <f>F25*Emissionsfaktorer!E$12</f>
        <v>16292.933999999999</v>
      </c>
      <c r="L25" s="203">
        <v>2319</v>
      </c>
      <c r="M25" s="203">
        <v>2842</v>
      </c>
      <c r="N25" s="220">
        <f t="shared" si="3"/>
        <v>99788.88900000001</v>
      </c>
      <c r="O25" s="220">
        <f t="shared" si="4"/>
        <v>122294.102</v>
      </c>
      <c r="P25" s="230">
        <f t="shared" si="57"/>
        <v>22505.212999999989</v>
      </c>
      <c r="Q25" s="230">
        <f t="shared" si="46"/>
        <v>78.021023455824874</v>
      </c>
      <c r="R25" s="230">
        <f t="shared" si="47"/>
        <v>95.616967943706015</v>
      </c>
      <c r="S25" s="341"/>
      <c r="T25" s="220">
        <f>Emissionsfaktorer!E$17*N25</f>
        <v>9978.8889000000017</v>
      </c>
      <c r="U25" s="243">
        <f>Emissionsfaktorer!E$18*O25</f>
        <v>11373.351486</v>
      </c>
      <c r="V25" s="244">
        <f t="shared" si="64"/>
        <v>26490.863900000004</v>
      </c>
      <c r="W25" s="220">
        <f t="shared" si="64"/>
        <v>27666.285486000001</v>
      </c>
      <c r="X25" s="220">
        <f t="shared" si="19"/>
        <v>1175.4215859999968</v>
      </c>
      <c r="Y25" s="243">
        <f t="shared" si="48"/>
        <v>21.631184899139953</v>
      </c>
      <c r="Z25" s="220">
        <f t="shared" si="49"/>
        <v>85446.794370959804</v>
      </c>
      <c r="AA25" s="220">
        <f t="shared" si="50"/>
        <v>126679.36328998016</v>
      </c>
      <c r="AB25" s="220">
        <f t="shared" si="62"/>
        <v>81861.270713699763</v>
      </c>
      <c r="AC25" s="220">
        <f t="shared" si="20"/>
        <v>127775.6786124752</v>
      </c>
      <c r="AD25" s="230">
        <f t="shared" si="51"/>
        <v>41232.568919020356</v>
      </c>
      <c r="AE25" s="230">
        <f t="shared" si="52"/>
        <v>66.807501462830189</v>
      </c>
      <c r="AF25" s="230">
        <f t="shared" si="53"/>
        <v>99.045631970273774</v>
      </c>
      <c r="AG25" s="341">
        <f>Emissionsfaktorer!E$16</f>
        <v>8.5999999999999993E-2</v>
      </c>
      <c r="AH25" s="220">
        <f t="shared" si="54"/>
        <v>7348.4243159025427</v>
      </c>
      <c r="AI25" s="243">
        <f t="shared" si="55"/>
        <v>10894.425242938292</v>
      </c>
      <c r="AJ25" s="220">
        <f t="shared" si="21"/>
        <v>7040.0692813781789</v>
      </c>
      <c r="AK25" s="220">
        <f t="shared" si="22"/>
        <v>10988.708360672867</v>
      </c>
      <c r="AL25" s="244">
        <f t="shared" si="65"/>
        <v>23860.399315902545</v>
      </c>
      <c r="AM25" s="220">
        <f t="shared" si="65"/>
        <v>27187.359242938292</v>
      </c>
      <c r="AN25" s="220">
        <f t="shared" si="24"/>
        <v>23552.044281378181</v>
      </c>
      <c r="AO25" s="220">
        <f t="shared" si="25"/>
        <v>27281.642360672864</v>
      </c>
      <c r="AP25" s="220">
        <f t="shared" si="66"/>
        <v>3326.9599270357467</v>
      </c>
      <c r="AQ25" s="220">
        <f t="shared" si="27"/>
        <v>3729.598079294683</v>
      </c>
      <c r="AR25" s="243">
        <f t="shared" si="56"/>
        <v>21.256731229818836</v>
      </c>
      <c r="AS25" s="46"/>
    </row>
    <row r="26" spans="1:45">
      <c r="A26" s="30" t="s">
        <v>49</v>
      </c>
      <c r="B26" s="228" t="s">
        <v>49</v>
      </c>
      <c r="C26" s="64"/>
      <c r="D26" s="86">
        <v>153</v>
      </c>
      <c r="E26" s="203">
        <v>26125</v>
      </c>
      <c r="F26" s="203">
        <v>26083</v>
      </c>
      <c r="G26" s="203">
        <f t="shared" si="63"/>
        <v>-42</v>
      </c>
      <c r="H26" s="220">
        <f t="shared" si="44"/>
        <v>170.75163398692811</v>
      </c>
      <c r="I26" s="220">
        <f t="shared" si="45"/>
        <v>170.47712418300654</v>
      </c>
      <c r="J26" s="244">
        <f>E26*Emissionsfaktorer!E$11</f>
        <v>11730.125</v>
      </c>
      <c r="K26" s="339">
        <f>F26*Emissionsfaktorer!E$12</f>
        <v>9859.3739999999998</v>
      </c>
      <c r="L26" s="203">
        <v>1220</v>
      </c>
      <c r="M26" s="203">
        <v>866</v>
      </c>
      <c r="N26" s="220">
        <f t="shared" si="3"/>
        <v>52497.82</v>
      </c>
      <c r="O26" s="220">
        <f t="shared" si="4"/>
        <v>37264.845999999998</v>
      </c>
      <c r="P26" s="230">
        <f t="shared" si="57"/>
        <v>-15232.974000000002</v>
      </c>
      <c r="Q26" s="230">
        <f t="shared" si="46"/>
        <v>343.1230065359477</v>
      </c>
      <c r="R26" s="230">
        <f t="shared" si="47"/>
        <v>243.56108496732026</v>
      </c>
      <c r="S26" s="341"/>
      <c r="T26" s="220">
        <f>Emissionsfaktorer!E$14*N26</f>
        <v>13754.42884</v>
      </c>
      <c r="U26" s="243">
        <f>Emissionsfaktorer!E$15*O26</f>
        <v>8943.5630399999991</v>
      </c>
      <c r="V26" s="244">
        <f t="shared" ref="V26:W29" si="67">J26+T26</f>
        <v>25484.55384</v>
      </c>
      <c r="W26" s="220">
        <f t="shared" si="67"/>
        <v>18802.937039999997</v>
      </c>
      <c r="X26" s="220">
        <f t="shared" si="19"/>
        <v>-6681.6168000000034</v>
      </c>
      <c r="Y26" s="243">
        <f t="shared" si="48"/>
        <v>122.89501333333331</v>
      </c>
      <c r="Z26" s="220">
        <f t="shared" si="49"/>
        <v>44952.60419688269</v>
      </c>
      <c r="AA26" s="220">
        <f t="shared" si="50"/>
        <v>38601.100847685717</v>
      </c>
      <c r="AB26" s="220">
        <f t="shared" si="62"/>
        <v>43066.300246103361</v>
      </c>
      <c r="AC26" s="220">
        <f t="shared" si="20"/>
        <v>38935.164559607147</v>
      </c>
      <c r="AD26" s="230">
        <f t="shared" si="51"/>
        <v>-6351.5033491969734</v>
      </c>
      <c r="AE26" s="230">
        <f t="shared" si="52"/>
        <v>293.80787056786073</v>
      </c>
      <c r="AF26" s="230">
        <f t="shared" si="53"/>
        <v>252.29477678225959</v>
      </c>
      <c r="AG26" s="341">
        <f>Emissionsfaktorer!E$13</f>
        <v>0.34699999999999998</v>
      </c>
      <c r="AH26" s="220">
        <f t="shared" si="54"/>
        <v>15598.553656318292</v>
      </c>
      <c r="AI26" s="243">
        <f t="shared" si="55"/>
        <v>13394.581994146944</v>
      </c>
      <c r="AJ26" s="220">
        <f t="shared" si="21"/>
        <v>14944.006185397866</v>
      </c>
      <c r="AK26" s="220">
        <f t="shared" si="22"/>
        <v>13510.502102183678</v>
      </c>
      <c r="AL26" s="244">
        <f t="shared" ref="AL26:AM29" si="68">J26+AH26</f>
        <v>27328.67865631829</v>
      </c>
      <c r="AM26" s="220">
        <f t="shared" si="68"/>
        <v>23253.955994146942</v>
      </c>
      <c r="AN26" s="220">
        <f t="shared" si="24"/>
        <v>26674.131185397866</v>
      </c>
      <c r="AO26" s="220">
        <f t="shared" si="25"/>
        <v>23369.876102183676</v>
      </c>
      <c r="AP26" s="220">
        <f t="shared" si="66"/>
        <v>-4074.7226621713489</v>
      </c>
      <c r="AQ26" s="220">
        <f t="shared" si="27"/>
        <v>-3304.2550832141897</v>
      </c>
      <c r="AR26" s="243">
        <f t="shared" si="56"/>
        <v>151.98664048462052</v>
      </c>
      <c r="AS26" s="46"/>
    </row>
    <row r="27" spans="1:45">
      <c r="A27" s="12" t="s">
        <v>263</v>
      </c>
      <c r="B27" s="228" t="s">
        <v>193</v>
      </c>
      <c r="C27" s="64" t="s">
        <v>367</v>
      </c>
      <c r="D27" s="245">
        <v>199</v>
      </c>
      <c r="E27" s="203">
        <v>65137</v>
      </c>
      <c r="F27" s="203">
        <v>53931</v>
      </c>
      <c r="G27" s="203">
        <f t="shared" si="63"/>
        <v>-11206</v>
      </c>
      <c r="H27" s="220">
        <f t="shared" si="44"/>
        <v>327.321608040201</v>
      </c>
      <c r="I27" s="220">
        <f t="shared" si="45"/>
        <v>271.0100502512563</v>
      </c>
      <c r="J27" s="244">
        <f>E27*Emissionsfaktorer!E$11</f>
        <v>29246.512999999999</v>
      </c>
      <c r="K27" s="339">
        <f>F27*Emissionsfaktorer!E$12</f>
        <v>20385.918000000001</v>
      </c>
      <c r="L27" s="203">
        <v>4117</v>
      </c>
      <c r="M27" s="203">
        <v>4141</v>
      </c>
      <c r="N27" s="220">
        <f t="shared" si="3"/>
        <v>177158.62700000001</v>
      </c>
      <c r="O27" s="220">
        <f t="shared" si="4"/>
        <v>178191.37100000001</v>
      </c>
      <c r="P27" s="230">
        <f t="shared" si="57"/>
        <v>1032.7440000000061</v>
      </c>
      <c r="Q27" s="230">
        <f t="shared" si="46"/>
        <v>890.24435678391967</v>
      </c>
      <c r="R27" s="230">
        <f t="shared" si="47"/>
        <v>895.43402512562818</v>
      </c>
      <c r="S27" s="341"/>
      <c r="T27" s="220">
        <f>Emissionsfaktorer!E$17*N27</f>
        <v>17715.862700000001</v>
      </c>
      <c r="U27" s="243">
        <f>Emissionsfaktorer!E$18*O27</f>
        <v>16571.797503000002</v>
      </c>
      <c r="V27" s="244">
        <f t="shared" si="67"/>
        <v>46962.375700000004</v>
      </c>
      <c r="W27" s="220">
        <f t="shared" si="67"/>
        <v>36957.715502999999</v>
      </c>
      <c r="X27" s="220">
        <f t="shared" si="19"/>
        <v>-10004.660197000005</v>
      </c>
      <c r="Y27" s="243">
        <f t="shared" si="48"/>
        <v>185.7171633316583</v>
      </c>
      <c r="Z27" s="220">
        <f t="shared" si="49"/>
        <v>151696.61596603773</v>
      </c>
      <c r="AA27" s="220">
        <f t="shared" si="50"/>
        <v>184581.01456150878</v>
      </c>
      <c r="AB27" s="220">
        <f t="shared" si="62"/>
        <v>145331.11320754717</v>
      </c>
      <c r="AC27" s="220">
        <f t="shared" si="20"/>
        <v>186178.42545188594</v>
      </c>
      <c r="AD27" s="230">
        <f t="shared" si="51"/>
        <v>32884.398595471052</v>
      </c>
      <c r="AE27" s="230">
        <f t="shared" si="52"/>
        <v>762.29455259315444</v>
      </c>
      <c r="AF27" s="230">
        <f t="shared" si="53"/>
        <v>927.54278674125021</v>
      </c>
      <c r="AG27" s="341">
        <f>Emissionsfaktorer!E$16</f>
        <v>8.5999999999999993E-2</v>
      </c>
      <c r="AH27" s="220">
        <f t="shared" si="54"/>
        <v>13045.908973079244</v>
      </c>
      <c r="AI27" s="243">
        <f t="shared" si="55"/>
        <v>15873.967252289754</v>
      </c>
      <c r="AJ27" s="220">
        <f t="shared" si="21"/>
        <v>12498.475735849055</v>
      </c>
      <c r="AK27" s="220">
        <f t="shared" si="22"/>
        <v>16011.34458886219</v>
      </c>
      <c r="AL27" s="244">
        <f t="shared" si="68"/>
        <v>42292.421973079239</v>
      </c>
      <c r="AM27" s="220">
        <f t="shared" si="68"/>
        <v>36259.885252289758</v>
      </c>
      <c r="AN27" s="220">
        <f t="shared" si="24"/>
        <v>41744.988735849052</v>
      </c>
      <c r="AO27" s="220">
        <f t="shared" si="25"/>
        <v>36397.262588862191</v>
      </c>
      <c r="AP27" s="220">
        <f t="shared" si="66"/>
        <v>-6032.5367207894815</v>
      </c>
      <c r="AQ27" s="220">
        <f t="shared" si="27"/>
        <v>-5347.7261469868608</v>
      </c>
      <c r="AR27" s="243">
        <f t="shared" si="56"/>
        <v>182.21047865472241</v>
      </c>
      <c r="AS27" s="46"/>
    </row>
    <row r="28" spans="1:45">
      <c r="A28" s="227" t="s">
        <v>27</v>
      </c>
      <c r="B28" s="228" t="s">
        <v>194</v>
      </c>
      <c r="C28" s="64"/>
      <c r="D28" s="245">
        <v>204</v>
      </c>
      <c r="E28" s="203">
        <v>7389</v>
      </c>
      <c r="F28" s="203">
        <v>7389</v>
      </c>
      <c r="G28" s="203">
        <f t="shared" si="63"/>
        <v>0</v>
      </c>
      <c r="H28" s="220">
        <f t="shared" si="44"/>
        <v>36.220588235294116</v>
      </c>
      <c r="I28" s="220">
        <f t="shared" si="45"/>
        <v>36.220588235294116</v>
      </c>
      <c r="J28" s="244">
        <f>E28*Emissionsfaktorer!E$11</f>
        <v>3317.6610000000001</v>
      </c>
      <c r="K28" s="339">
        <f>F28*Emissionsfaktorer!E$12</f>
        <v>2793.0419999999999</v>
      </c>
      <c r="L28" s="203">
        <v>858.5</v>
      </c>
      <c r="M28" s="203">
        <v>858.5</v>
      </c>
      <c r="N28" s="220">
        <f t="shared" si="3"/>
        <v>36942.113499999999</v>
      </c>
      <c r="O28" s="220">
        <f t="shared" si="4"/>
        <v>36942.113499999999</v>
      </c>
      <c r="P28" s="230">
        <f t="shared" si="57"/>
        <v>0</v>
      </c>
      <c r="Q28" s="230">
        <f t="shared" si="46"/>
        <v>181.08879166666665</v>
      </c>
      <c r="R28" s="230">
        <f t="shared" si="47"/>
        <v>181.08879166666665</v>
      </c>
      <c r="S28" s="341"/>
      <c r="T28" s="220">
        <f>Emissionsfaktorer!E$17*N28</f>
        <v>3694.21135</v>
      </c>
      <c r="U28" s="243">
        <f>Emissionsfaktorer!E$18*O28</f>
        <v>3435.6165554999998</v>
      </c>
      <c r="V28" s="244">
        <f t="shared" si="67"/>
        <v>7011.8723499999996</v>
      </c>
      <c r="W28" s="220">
        <f t="shared" si="67"/>
        <v>6228.6585555000001</v>
      </c>
      <c r="X28" s="220">
        <f t="shared" si="19"/>
        <v>-783.21379449999949</v>
      </c>
      <c r="Y28" s="243">
        <f t="shared" si="48"/>
        <v>30.532639977941177</v>
      </c>
      <c r="Z28" s="220">
        <f t="shared" si="49"/>
        <v>31632.631723789989</v>
      </c>
      <c r="AA28" s="220">
        <f t="shared" si="50"/>
        <v>38266.795701776202</v>
      </c>
      <c r="AB28" s="220">
        <f t="shared" si="62"/>
        <v>30305.261279737486</v>
      </c>
      <c r="AC28" s="220">
        <f t="shared" si="20"/>
        <v>38597.966252220249</v>
      </c>
      <c r="AD28" s="230">
        <f t="shared" si="51"/>
        <v>6634.1639779862126</v>
      </c>
      <c r="AE28" s="230">
        <f t="shared" si="52"/>
        <v>155.06192021465682</v>
      </c>
      <c r="AF28" s="230">
        <f t="shared" si="53"/>
        <v>187.58233187145197</v>
      </c>
      <c r="AG28" s="341">
        <f>Emissionsfaktorer!E$16</f>
        <v>8.5999999999999993E-2</v>
      </c>
      <c r="AH28" s="220">
        <f t="shared" si="54"/>
        <v>2720.4063282459388</v>
      </c>
      <c r="AI28" s="243">
        <f t="shared" si="55"/>
        <v>3290.944430352753</v>
      </c>
      <c r="AJ28" s="220">
        <f t="shared" si="21"/>
        <v>2606.2524700574236</v>
      </c>
      <c r="AK28" s="220">
        <f t="shared" si="22"/>
        <v>3319.4250976909411</v>
      </c>
      <c r="AL28" s="244">
        <f t="shared" si="68"/>
        <v>6038.0673282459393</v>
      </c>
      <c r="AM28" s="220">
        <f t="shared" si="68"/>
        <v>6083.9864303527529</v>
      </c>
      <c r="AN28" s="220">
        <f t="shared" si="24"/>
        <v>5923.9134700574232</v>
      </c>
      <c r="AO28" s="220">
        <f t="shared" si="25"/>
        <v>6112.467097690941</v>
      </c>
      <c r="AP28" s="220">
        <f t="shared" si="66"/>
        <v>45.919102106813625</v>
      </c>
      <c r="AQ28" s="220">
        <f t="shared" si="27"/>
        <v>188.55362763351786</v>
      </c>
      <c r="AR28" s="243">
        <f t="shared" si="56"/>
        <v>29.823462893886045</v>
      </c>
      <c r="AS28" s="46"/>
    </row>
    <row r="29" spans="1:45">
      <c r="A29" s="227" t="s">
        <v>15</v>
      </c>
      <c r="B29" s="228" t="s">
        <v>195</v>
      </c>
      <c r="C29" s="64" t="s">
        <v>369</v>
      </c>
      <c r="D29" s="245">
        <v>445</v>
      </c>
      <c r="E29" s="203">
        <v>8580</v>
      </c>
      <c r="F29" s="203">
        <v>9242</v>
      </c>
      <c r="G29" s="203">
        <f t="shared" si="63"/>
        <v>662</v>
      </c>
      <c r="H29" s="220">
        <f t="shared" si="44"/>
        <v>19.280898876404493</v>
      </c>
      <c r="I29" s="220">
        <f t="shared" si="45"/>
        <v>20.768539325842696</v>
      </c>
      <c r="J29" s="244">
        <f>E29*Emissionsfaktorer!E$11</f>
        <v>3852.42</v>
      </c>
      <c r="K29" s="339">
        <f>F29*Emissionsfaktorer!E$12</f>
        <v>3493.4760000000001</v>
      </c>
      <c r="L29" s="203">
        <v>2501</v>
      </c>
      <c r="M29" s="203">
        <v>2945</v>
      </c>
      <c r="N29" s="220">
        <f t="shared" si="3"/>
        <v>107620.531</v>
      </c>
      <c r="O29" s="220">
        <f t="shared" si="4"/>
        <v>126726.295</v>
      </c>
      <c r="P29" s="230">
        <f t="shared" si="57"/>
        <v>19105.763999999996</v>
      </c>
      <c r="Q29" s="230">
        <f t="shared" si="46"/>
        <v>241.84388988764044</v>
      </c>
      <c r="R29" s="230">
        <f t="shared" si="47"/>
        <v>284.77819101123595</v>
      </c>
      <c r="S29" s="341"/>
      <c r="T29" s="220">
        <f>Emissionsfaktorer!E$17*N29</f>
        <v>10762.053100000001</v>
      </c>
      <c r="U29" s="243">
        <f>Emissionsfaktorer!E$18*O29</f>
        <v>11785.545435</v>
      </c>
      <c r="V29" s="244">
        <f t="shared" si="67"/>
        <v>14614.473100000001</v>
      </c>
      <c r="W29" s="220">
        <f t="shared" si="67"/>
        <v>15279.021435000001</v>
      </c>
      <c r="X29" s="220">
        <f t="shared" si="19"/>
        <v>664.5483349999995</v>
      </c>
      <c r="Y29" s="243">
        <f t="shared" si="48"/>
        <v>34.334879629213482</v>
      </c>
      <c r="Z29" s="220">
        <f t="shared" si="49"/>
        <v>92152.838603609533</v>
      </c>
      <c r="AA29" s="220">
        <f t="shared" si="50"/>
        <v>131270.48729380421</v>
      </c>
      <c r="AB29" s="220">
        <f t="shared" si="62"/>
        <v>88285.915504511897</v>
      </c>
      <c r="AC29" s="220">
        <f t="shared" si="20"/>
        <v>132406.53536725524</v>
      </c>
      <c r="AD29" s="230">
        <f t="shared" si="51"/>
        <v>39117.648690194677</v>
      </c>
      <c r="AE29" s="230">
        <f t="shared" si="52"/>
        <v>207.08503056990907</v>
      </c>
      <c r="AF29" s="230">
        <f t="shared" si="53"/>
        <v>294.98985908720044</v>
      </c>
      <c r="AG29" s="341">
        <f>Emissionsfaktorer!E$16</f>
        <v>8.5999999999999993E-2</v>
      </c>
      <c r="AH29" s="220">
        <f t="shared" si="54"/>
        <v>7925.1441199104192</v>
      </c>
      <c r="AI29" s="243">
        <f t="shared" si="55"/>
        <v>11289.26190726716</v>
      </c>
      <c r="AJ29" s="220">
        <f t="shared" si="21"/>
        <v>7592.5887333880228</v>
      </c>
      <c r="AK29" s="220">
        <f t="shared" si="22"/>
        <v>11386.962041583951</v>
      </c>
      <c r="AL29" s="244">
        <f t="shared" si="68"/>
        <v>11777.564119910419</v>
      </c>
      <c r="AM29" s="220">
        <f t="shared" si="68"/>
        <v>14782.737907267161</v>
      </c>
      <c r="AN29" s="220">
        <f t="shared" si="24"/>
        <v>11445.008733388022</v>
      </c>
      <c r="AO29" s="220">
        <f t="shared" si="25"/>
        <v>14880.438041583951</v>
      </c>
      <c r="AP29" s="220">
        <f t="shared" si="66"/>
        <v>3005.1737873567417</v>
      </c>
      <c r="AQ29" s="220">
        <f t="shared" si="27"/>
        <v>3435.4293081959295</v>
      </c>
      <c r="AR29" s="243">
        <f t="shared" si="56"/>
        <v>33.219635746667777</v>
      </c>
      <c r="AS29" s="46"/>
    </row>
    <row r="30" spans="1:45">
      <c r="A30" s="227" t="s">
        <v>16</v>
      </c>
      <c r="B30" s="228" t="s">
        <v>196</v>
      </c>
      <c r="C30" s="64" t="s">
        <v>370</v>
      </c>
      <c r="D30" s="245">
        <v>336</v>
      </c>
      <c r="E30" s="203">
        <v>10089</v>
      </c>
      <c r="F30" s="203">
        <v>9157</v>
      </c>
      <c r="G30" s="203">
        <f t="shared" si="63"/>
        <v>-932</v>
      </c>
      <c r="H30" s="220">
        <f t="shared" ref="H30:H39" si="69">E30/D30</f>
        <v>30.026785714285715</v>
      </c>
      <c r="I30" s="220">
        <f t="shared" ref="I30:I39" si="70">F30/D30</f>
        <v>27.25297619047619</v>
      </c>
      <c r="J30" s="244">
        <f>E30*Emissionsfaktorer!E$11</f>
        <v>4529.9610000000002</v>
      </c>
      <c r="K30" s="339">
        <f>F30*Emissionsfaktorer!E$12</f>
        <v>3461.346</v>
      </c>
      <c r="L30" s="203">
        <v>1208</v>
      </c>
      <c r="M30" s="203">
        <v>1660</v>
      </c>
      <c r="N30" s="220">
        <f t="shared" si="3"/>
        <v>51981.448000000004</v>
      </c>
      <c r="O30" s="220">
        <f t="shared" si="4"/>
        <v>71431.460000000006</v>
      </c>
      <c r="P30" s="230">
        <f t="shared" si="57"/>
        <v>19450.012000000002</v>
      </c>
      <c r="Q30" s="230">
        <f t="shared" ref="Q30:Q39" si="71">N30/D30</f>
        <v>154.70669047619049</v>
      </c>
      <c r="R30" s="230">
        <f t="shared" ref="R30:R39" si="72">O30/D30</f>
        <v>212.59363095238098</v>
      </c>
      <c r="S30" s="341"/>
      <c r="T30" s="220">
        <f>Emissionsfaktorer!E$17*N30</f>
        <v>5198.1448000000009</v>
      </c>
      <c r="U30" s="243">
        <f>Emissionsfaktorer!E$18*O30</f>
        <v>6643.1257800000003</v>
      </c>
      <c r="V30" s="244">
        <f t="shared" ref="V30:V39" si="73">J30+T30</f>
        <v>9728.1058000000012</v>
      </c>
      <c r="W30" s="220">
        <f t="shared" ref="W30:W39" si="74">K30+U30</f>
        <v>10104.47178</v>
      </c>
      <c r="X30" s="220">
        <f t="shared" si="19"/>
        <v>376.36597999999867</v>
      </c>
      <c r="Y30" s="243">
        <f t="shared" ref="Y30:Y39" si="75">W30/D30</f>
        <v>30.072832678571427</v>
      </c>
      <c r="Z30" s="220">
        <f t="shared" ref="Z30:Z39" si="76">((N30*0.8)/(1.219))+(N30*0.2)</f>
        <v>44510.447434290407</v>
      </c>
      <c r="AA30" s="220">
        <f t="shared" ref="AA30:AA39" si="77">((O30*0.8)/(0.9571))+(O30*0.2)</f>
        <v>73992.872294640067</v>
      </c>
      <c r="AB30" s="220">
        <f t="shared" si="62"/>
        <v>42642.697292863006</v>
      </c>
      <c r="AC30" s="220">
        <f t="shared" si="20"/>
        <v>74633.225368300089</v>
      </c>
      <c r="AD30" s="230">
        <f t="shared" ref="AD30:AD39" si="78">AA30-Z30</f>
        <v>29482.42486034966</v>
      </c>
      <c r="AE30" s="230">
        <f t="shared" ref="AE30:AE39" si="79">Z30/D30</f>
        <v>132.47156974491193</v>
      </c>
      <c r="AF30" s="230">
        <f t="shared" ref="AF30:AF39" si="80">AA30/D30</f>
        <v>220.21688182928591</v>
      </c>
      <c r="AG30" s="341">
        <f>Emissionsfaktorer!E$16</f>
        <v>8.5999999999999993E-2</v>
      </c>
      <c r="AH30" s="220">
        <f t="shared" ref="AH30:AH39" si="81">AG30*Z30</f>
        <v>3827.8984793489749</v>
      </c>
      <c r="AI30" s="243">
        <f t="shared" ref="AI30:AI39" si="82">AG30*AA30</f>
        <v>6363.3870173390451</v>
      </c>
      <c r="AJ30" s="220">
        <f t="shared" si="21"/>
        <v>3667.2719671862183</v>
      </c>
      <c r="AK30" s="220">
        <f t="shared" si="22"/>
        <v>6418.4573816738075</v>
      </c>
      <c r="AL30" s="244">
        <f t="shared" ref="AL30:AL39" si="83">J30+AH30</f>
        <v>8357.8594793489756</v>
      </c>
      <c r="AM30" s="220">
        <f t="shared" ref="AM30:AM39" si="84">K30+AI30</f>
        <v>9824.7330173390455</v>
      </c>
      <c r="AN30" s="220">
        <f t="shared" si="24"/>
        <v>8197.232967186219</v>
      </c>
      <c r="AO30" s="220">
        <f t="shared" si="25"/>
        <v>9879.803381673808</v>
      </c>
      <c r="AP30" s="220">
        <f t="shared" si="66"/>
        <v>1466.87353799007</v>
      </c>
      <c r="AQ30" s="220">
        <f t="shared" si="27"/>
        <v>1682.570414487589</v>
      </c>
      <c r="AR30" s="243">
        <f t="shared" ref="AR30:AR39" si="85">AM30/D30</f>
        <v>29.240276837318589</v>
      </c>
      <c r="AS30" s="46"/>
    </row>
    <row r="31" spans="1:45">
      <c r="A31" s="12" t="s">
        <v>382</v>
      </c>
      <c r="B31" s="228" t="s">
        <v>357</v>
      </c>
      <c r="C31" s="64"/>
      <c r="D31" s="246">
        <v>363</v>
      </c>
      <c r="E31" s="203">
        <v>8683</v>
      </c>
      <c r="F31" s="203">
        <v>8031</v>
      </c>
      <c r="G31" s="203">
        <f t="shared" si="63"/>
        <v>-652</v>
      </c>
      <c r="H31" s="220">
        <f t="shared" si="69"/>
        <v>23.920110192837466</v>
      </c>
      <c r="I31" s="220">
        <f t="shared" si="70"/>
        <v>22.123966942148762</v>
      </c>
      <c r="J31" s="244">
        <f>E31*Emissionsfaktorer!E$11</f>
        <v>3898.6669999999999</v>
      </c>
      <c r="K31" s="339">
        <f>F31*Emissionsfaktorer!E$12</f>
        <v>3035.7179999999998</v>
      </c>
      <c r="L31" s="203">
        <v>1531</v>
      </c>
      <c r="M31" s="203">
        <v>1112</v>
      </c>
      <c r="N31" s="220">
        <f t="shared" si="3"/>
        <v>65880.460999999996</v>
      </c>
      <c r="O31" s="220">
        <f t="shared" si="4"/>
        <v>47850.472000000002</v>
      </c>
      <c r="P31" s="230">
        <f t="shared" si="57"/>
        <v>-18029.988999999994</v>
      </c>
      <c r="Q31" s="230">
        <f t="shared" si="71"/>
        <v>181.48887327823689</v>
      </c>
      <c r="R31" s="230">
        <f t="shared" si="72"/>
        <v>131.81948209366391</v>
      </c>
      <c r="S31" s="341"/>
      <c r="T31" s="220">
        <f>Emissionsfaktorer!E$17*N31</f>
        <v>6588.0460999999996</v>
      </c>
      <c r="U31" s="243">
        <f>Emissionsfaktorer!E$18*O31</f>
        <v>4450.0938960000003</v>
      </c>
      <c r="V31" s="244">
        <f t="shared" si="73"/>
        <v>10486.713099999999</v>
      </c>
      <c r="W31" s="220">
        <f t="shared" si="74"/>
        <v>7485.8118960000002</v>
      </c>
      <c r="X31" s="220">
        <f t="shared" si="19"/>
        <v>-3000.9012039999989</v>
      </c>
      <c r="Y31" s="243">
        <f t="shared" si="75"/>
        <v>20.622071338842975</v>
      </c>
      <c r="Z31" s="220">
        <f t="shared" si="76"/>
        <v>56411.833627399501</v>
      </c>
      <c r="AA31" s="220">
        <f t="shared" si="77"/>
        <v>49566.309633517922</v>
      </c>
      <c r="AB31" s="220">
        <f t="shared" si="62"/>
        <v>54044.676784249379</v>
      </c>
      <c r="AC31" s="220">
        <f t="shared" si="20"/>
        <v>49995.269041897402</v>
      </c>
      <c r="AD31" s="230">
        <f t="shared" si="78"/>
        <v>-6845.5239938815794</v>
      </c>
      <c r="AE31" s="230">
        <f t="shared" si="79"/>
        <v>155.40450035096282</v>
      </c>
      <c r="AF31" s="230">
        <f t="shared" si="80"/>
        <v>136.54630753035241</v>
      </c>
      <c r="AG31" s="341">
        <f>Emissionsfaktorer!E$16</f>
        <v>8.5999999999999993E-2</v>
      </c>
      <c r="AH31" s="220">
        <f t="shared" si="81"/>
        <v>4851.417691956357</v>
      </c>
      <c r="AI31" s="243">
        <f t="shared" si="82"/>
        <v>4262.7026284825406</v>
      </c>
      <c r="AJ31" s="220">
        <f t="shared" si="21"/>
        <v>4647.8422034454461</v>
      </c>
      <c r="AK31" s="220">
        <f t="shared" si="22"/>
        <v>4299.5931376031758</v>
      </c>
      <c r="AL31" s="244">
        <f t="shared" si="83"/>
        <v>8750.0846919563573</v>
      </c>
      <c r="AM31" s="220">
        <f t="shared" si="84"/>
        <v>7298.4206284825405</v>
      </c>
      <c r="AN31" s="220">
        <f t="shared" si="24"/>
        <v>8546.5092034454465</v>
      </c>
      <c r="AO31" s="220">
        <f t="shared" si="25"/>
        <v>7335.3111376031757</v>
      </c>
      <c r="AP31" s="220">
        <f t="shared" si="66"/>
        <v>-1451.6640634738169</v>
      </c>
      <c r="AQ31" s="220">
        <f t="shared" si="27"/>
        <v>-1211.1980658422708</v>
      </c>
      <c r="AR31" s="243">
        <f t="shared" si="85"/>
        <v>20.105841951742537</v>
      </c>
      <c r="AS31" s="46"/>
    </row>
    <row r="32" spans="1:45">
      <c r="A32" s="227" t="s">
        <v>4</v>
      </c>
      <c r="B32" s="228" t="s">
        <v>197</v>
      </c>
      <c r="C32" s="64" t="s">
        <v>371</v>
      </c>
      <c r="D32" s="248">
        <v>429</v>
      </c>
      <c r="E32" s="203">
        <v>13768</v>
      </c>
      <c r="F32" s="203">
        <v>16058</v>
      </c>
      <c r="G32" s="203">
        <f t="shared" si="63"/>
        <v>2290</v>
      </c>
      <c r="H32" s="220">
        <f t="shared" si="69"/>
        <v>32.093240093240091</v>
      </c>
      <c r="I32" s="220">
        <f t="shared" si="70"/>
        <v>37.431235431235429</v>
      </c>
      <c r="J32" s="244">
        <f>E32*Emissionsfaktorer!E$11</f>
        <v>6181.8320000000003</v>
      </c>
      <c r="K32" s="339">
        <f>F32*Emissionsfaktorer!E$12</f>
        <v>6069.924</v>
      </c>
      <c r="L32" s="203">
        <v>1487</v>
      </c>
      <c r="M32" s="203">
        <v>1483</v>
      </c>
      <c r="N32" s="220">
        <f t="shared" si="3"/>
        <v>63987.097000000002</v>
      </c>
      <c r="O32" s="220">
        <f t="shared" si="4"/>
        <v>63814.973000000005</v>
      </c>
      <c r="P32" s="230">
        <f t="shared" si="57"/>
        <v>-172.12399999999616</v>
      </c>
      <c r="Q32" s="230">
        <f t="shared" si="71"/>
        <v>149.15407226107226</v>
      </c>
      <c r="R32" s="230">
        <f t="shared" si="72"/>
        <v>148.75285081585082</v>
      </c>
      <c r="S32" s="341"/>
      <c r="T32" s="220">
        <f>Emissionsfaktorer!E$25*N32</f>
        <v>13053.367788</v>
      </c>
      <c r="U32" s="243">
        <f>Emissionsfaktorer!E$26*O32</f>
        <v>13018.254492</v>
      </c>
      <c r="V32" s="244">
        <f t="shared" si="73"/>
        <v>19235.199787999998</v>
      </c>
      <c r="W32" s="220">
        <f t="shared" si="74"/>
        <v>19088.178491999999</v>
      </c>
      <c r="X32" s="220">
        <f t="shared" si="19"/>
        <v>-147.02129599999898</v>
      </c>
      <c r="Y32" s="243">
        <f t="shared" si="75"/>
        <v>44.494588559440558</v>
      </c>
      <c r="Z32" s="220">
        <f t="shared" si="76"/>
        <v>54790.592164561116</v>
      </c>
      <c r="AA32" s="220">
        <f t="shared" si="77"/>
        <v>66103.270851175432</v>
      </c>
      <c r="AB32" s="220">
        <f t="shared" si="62"/>
        <v>52491.465955701395</v>
      </c>
      <c r="AC32" s="220">
        <f t="shared" si="20"/>
        <v>66675.345313969287</v>
      </c>
      <c r="AD32" s="230">
        <f t="shared" si="78"/>
        <v>11312.678686614316</v>
      </c>
      <c r="AE32" s="230">
        <f t="shared" si="79"/>
        <v>127.71699805259001</v>
      </c>
      <c r="AF32" s="230">
        <f t="shared" si="80"/>
        <v>154.08687844096838</v>
      </c>
      <c r="AG32" s="341">
        <f>Emissionsfaktorer!E$24</f>
        <v>0.20399999999999999</v>
      </c>
      <c r="AH32" s="220">
        <f t="shared" si="81"/>
        <v>11177.280801570467</v>
      </c>
      <c r="AI32" s="243">
        <f t="shared" si="82"/>
        <v>13485.067253639787</v>
      </c>
      <c r="AJ32" s="220">
        <f t="shared" si="21"/>
        <v>10708.259054963084</v>
      </c>
      <c r="AK32" s="220">
        <f t="shared" si="22"/>
        <v>13601.770444049733</v>
      </c>
      <c r="AL32" s="244">
        <f t="shared" si="83"/>
        <v>17359.112801570467</v>
      </c>
      <c r="AM32" s="220">
        <f t="shared" si="84"/>
        <v>19554.991253639786</v>
      </c>
      <c r="AN32" s="220">
        <f t="shared" si="24"/>
        <v>16890.091054963086</v>
      </c>
      <c r="AO32" s="220">
        <f t="shared" si="25"/>
        <v>19671.694444049732</v>
      </c>
      <c r="AP32" s="220">
        <f t="shared" si="66"/>
        <v>2195.8784520693189</v>
      </c>
      <c r="AQ32" s="220">
        <f t="shared" si="27"/>
        <v>2781.6033890866456</v>
      </c>
      <c r="AR32" s="243">
        <f t="shared" si="85"/>
        <v>45.582730194964533</v>
      </c>
      <c r="AS32" s="46"/>
    </row>
    <row r="33" spans="1:79">
      <c r="A33" s="249"/>
      <c r="B33" s="228" t="s">
        <v>198</v>
      </c>
      <c r="C33" s="249"/>
      <c r="D33" s="245">
        <v>218</v>
      </c>
      <c r="E33" s="203">
        <v>5285</v>
      </c>
      <c r="F33" s="203">
        <v>5437</v>
      </c>
      <c r="G33" s="203">
        <f t="shared" si="63"/>
        <v>152</v>
      </c>
      <c r="H33" s="220">
        <f t="shared" si="69"/>
        <v>24.243119266055047</v>
      </c>
      <c r="I33" s="220">
        <f t="shared" si="70"/>
        <v>24.940366972477065</v>
      </c>
      <c r="J33" s="244">
        <f>E33*Emissionsfaktorer!E$11</f>
        <v>2372.9650000000001</v>
      </c>
      <c r="K33" s="339">
        <f>F33*Emissionsfaktorer!E$12</f>
        <v>2055.1860000000001</v>
      </c>
      <c r="L33" s="203">
        <v>868.5</v>
      </c>
      <c r="M33" s="203">
        <v>916.4</v>
      </c>
      <c r="N33" s="220">
        <f t="shared" si="3"/>
        <v>37372.423500000004</v>
      </c>
      <c r="O33" s="220">
        <f t="shared" si="4"/>
        <v>39433.608399999997</v>
      </c>
      <c r="P33" s="230">
        <f t="shared" si="57"/>
        <v>2061.1848999999929</v>
      </c>
      <c r="Q33" s="230">
        <f t="shared" si="71"/>
        <v>171.43313532110093</v>
      </c>
      <c r="R33" s="230">
        <f t="shared" si="72"/>
        <v>180.88811192660549</v>
      </c>
      <c r="S33" s="341"/>
      <c r="T33" s="220">
        <f>Emissionsfaktorer!E$17*N33</f>
        <v>3737.2423500000004</v>
      </c>
      <c r="U33" s="243">
        <f>Emissionsfaktorer!E$18*O33</f>
        <v>3667.3255811999998</v>
      </c>
      <c r="V33" s="244">
        <f t="shared" si="73"/>
        <v>6110.2073500000006</v>
      </c>
      <c r="W33" s="220">
        <f t="shared" si="74"/>
        <v>5722.5115812000004</v>
      </c>
      <c r="X33" s="220">
        <f t="shared" si="19"/>
        <v>-387.69576880000022</v>
      </c>
      <c r="Y33" s="243">
        <f t="shared" si="75"/>
        <v>26.250053124770645</v>
      </c>
      <c r="Z33" s="220">
        <f t="shared" si="76"/>
        <v>32001.095692616902</v>
      </c>
      <c r="AA33" s="220">
        <f t="shared" si="77"/>
        <v>40847.631428197681</v>
      </c>
      <c r="AB33" s="220">
        <f t="shared" si="62"/>
        <v>30658.263740771126</v>
      </c>
      <c r="AC33" s="220">
        <f t="shared" si="20"/>
        <v>41201.137185247098</v>
      </c>
      <c r="AD33" s="230">
        <f t="shared" si="78"/>
        <v>8846.5357355807791</v>
      </c>
      <c r="AE33" s="230">
        <f t="shared" si="79"/>
        <v>146.79401693860964</v>
      </c>
      <c r="AF33" s="230">
        <f t="shared" si="80"/>
        <v>187.37445609264992</v>
      </c>
      <c r="AG33" s="341">
        <f>Emissionsfaktorer!E$16</f>
        <v>8.5999999999999993E-2</v>
      </c>
      <c r="AH33" s="220">
        <f t="shared" si="81"/>
        <v>2752.0942295650534</v>
      </c>
      <c r="AI33" s="243">
        <f t="shared" si="82"/>
        <v>3512.8963028250005</v>
      </c>
      <c r="AJ33" s="220">
        <f t="shared" si="21"/>
        <v>2636.6106817063164</v>
      </c>
      <c r="AK33" s="220">
        <f t="shared" si="22"/>
        <v>3543.29779793125</v>
      </c>
      <c r="AL33" s="244">
        <f t="shared" si="83"/>
        <v>5125.0592295650531</v>
      </c>
      <c r="AM33" s="220">
        <f t="shared" si="84"/>
        <v>5568.0823028250006</v>
      </c>
      <c r="AN33" s="220">
        <f t="shared" si="24"/>
        <v>5009.5756817063166</v>
      </c>
      <c r="AO33" s="220">
        <f t="shared" si="25"/>
        <v>5598.4837979312506</v>
      </c>
      <c r="AP33" s="220">
        <f t="shared" si="66"/>
        <v>443.02307325994752</v>
      </c>
      <c r="AQ33" s="220">
        <f t="shared" si="27"/>
        <v>588.90811622493402</v>
      </c>
      <c r="AR33" s="243">
        <f t="shared" si="85"/>
        <v>25.541661939564221</v>
      </c>
      <c r="AS33" s="46"/>
    </row>
    <row r="34" spans="1:79">
      <c r="A34" s="227" t="s">
        <v>18</v>
      </c>
      <c r="B34" s="228" t="s">
        <v>199</v>
      </c>
      <c r="C34" s="64"/>
      <c r="D34" s="245">
        <v>281</v>
      </c>
      <c r="E34" s="203">
        <v>10068</v>
      </c>
      <c r="F34" s="203">
        <v>11396</v>
      </c>
      <c r="G34" s="203">
        <f t="shared" si="63"/>
        <v>1328</v>
      </c>
      <c r="H34" s="220">
        <f t="shared" si="69"/>
        <v>35.829181494661924</v>
      </c>
      <c r="I34" s="220">
        <f t="shared" si="70"/>
        <v>40.555160142348754</v>
      </c>
      <c r="J34" s="244">
        <f>E34*Emissionsfaktorer!E$11</f>
        <v>4520.5320000000002</v>
      </c>
      <c r="K34" s="339">
        <f>F34*Emissionsfaktorer!E$12</f>
        <v>4307.6880000000001</v>
      </c>
      <c r="L34" s="203">
        <v>1340</v>
      </c>
      <c r="M34" s="203">
        <v>1182</v>
      </c>
      <c r="N34" s="220">
        <f t="shared" ref="N34:N56" si="86">L34*N$76*1.163</f>
        <v>57661.54</v>
      </c>
      <c r="O34" s="220">
        <f t="shared" ref="O34:O56" si="87">M34*O$76*1.163</f>
        <v>50862.642</v>
      </c>
      <c r="P34" s="230">
        <f t="shared" si="57"/>
        <v>-6798.898000000001</v>
      </c>
      <c r="Q34" s="230">
        <f t="shared" si="71"/>
        <v>205.20120996441281</v>
      </c>
      <c r="R34" s="230">
        <f t="shared" si="72"/>
        <v>181.00584341637011</v>
      </c>
      <c r="S34" s="341"/>
      <c r="T34" s="220">
        <f>Emissionsfaktorer!E$17*N34</f>
        <v>5766.1540000000005</v>
      </c>
      <c r="U34" s="243">
        <f>Emissionsfaktorer!E$18*O34</f>
        <v>4730.2257060000002</v>
      </c>
      <c r="V34" s="244">
        <f t="shared" si="73"/>
        <v>10286.686000000002</v>
      </c>
      <c r="W34" s="220">
        <f t="shared" si="74"/>
        <v>9037.9137059999994</v>
      </c>
      <c r="X34" s="220">
        <f t="shared" si="19"/>
        <v>-1248.7722940000021</v>
      </c>
      <c r="Y34" s="243">
        <f t="shared" si="75"/>
        <v>32.163393971530247</v>
      </c>
      <c r="Z34" s="220">
        <f t="shared" si="76"/>
        <v>49374.171822805583</v>
      </c>
      <c r="AA34" s="220">
        <f t="shared" si="77"/>
        <v>52686.4909953401</v>
      </c>
      <c r="AB34" s="220">
        <f t="shared" si="62"/>
        <v>47302.329778506974</v>
      </c>
      <c r="AC34" s="220">
        <f t="shared" si="20"/>
        <v>53142.453244175114</v>
      </c>
      <c r="AD34" s="230">
        <f t="shared" si="78"/>
        <v>3312.3191725345168</v>
      </c>
      <c r="AE34" s="230">
        <f t="shared" si="79"/>
        <v>175.7087965224398</v>
      </c>
      <c r="AF34" s="230">
        <f t="shared" si="80"/>
        <v>187.49640923608575</v>
      </c>
      <c r="AG34" s="341">
        <f>Emissionsfaktorer!E$16</f>
        <v>8.5999999999999993E-2</v>
      </c>
      <c r="AH34" s="220">
        <f t="shared" si="81"/>
        <v>4246.1787767612796</v>
      </c>
      <c r="AI34" s="243">
        <f t="shared" si="82"/>
        <v>4531.0382255992481</v>
      </c>
      <c r="AJ34" s="220">
        <f t="shared" si="21"/>
        <v>4068.0003609515993</v>
      </c>
      <c r="AK34" s="220">
        <f t="shared" si="22"/>
        <v>4570.250978999059</v>
      </c>
      <c r="AL34" s="244">
        <f t="shared" si="83"/>
        <v>8766.7107767612797</v>
      </c>
      <c r="AM34" s="220">
        <f t="shared" si="84"/>
        <v>8838.7262255992482</v>
      </c>
      <c r="AN34" s="220">
        <f t="shared" si="24"/>
        <v>8588.5323609515999</v>
      </c>
      <c r="AO34" s="220">
        <f t="shared" si="25"/>
        <v>8877.9389789990601</v>
      </c>
      <c r="AP34" s="220">
        <f t="shared" si="66"/>
        <v>72.015448837968506</v>
      </c>
      <c r="AQ34" s="220">
        <f t="shared" si="27"/>
        <v>289.40661804746014</v>
      </c>
      <c r="AR34" s="243">
        <f t="shared" si="85"/>
        <v>31.454541728111202</v>
      </c>
      <c r="AS34" s="46"/>
    </row>
    <row r="35" spans="1:79">
      <c r="A35" s="227" t="s">
        <v>28</v>
      </c>
      <c r="B35" s="228" t="s">
        <v>200</v>
      </c>
      <c r="C35" s="64"/>
      <c r="D35" s="245">
        <v>266</v>
      </c>
      <c r="E35" s="203">
        <v>8440</v>
      </c>
      <c r="F35" s="203">
        <v>7212</v>
      </c>
      <c r="G35" s="203">
        <f t="shared" si="63"/>
        <v>-1228</v>
      </c>
      <c r="H35" s="220">
        <f t="shared" si="69"/>
        <v>31.729323308270676</v>
      </c>
      <c r="I35" s="220">
        <f t="shared" si="70"/>
        <v>27.112781954887218</v>
      </c>
      <c r="J35" s="244">
        <f>E35*Emissionsfaktorer!E$11</f>
        <v>3789.56</v>
      </c>
      <c r="K35" s="339">
        <f>F35*Emissionsfaktorer!E$12</f>
        <v>2726.136</v>
      </c>
      <c r="L35" s="203">
        <v>967.6</v>
      </c>
      <c r="M35" s="203">
        <v>602</v>
      </c>
      <c r="N35" s="220">
        <f t="shared" si="86"/>
        <v>41636.795600000005</v>
      </c>
      <c r="O35" s="220">
        <f t="shared" si="87"/>
        <v>25904.662</v>
      </c>
      <c r="P35" s="230">
        <f t="shared" si="57"/>
        <v>-15732.133600000005</v>
      </c>
      <c r="Q35" s="230">
        <f t="shared" si="71"/>
        <v>156.5293067669173</v>
      </c>
      <c r="R35" s="230">
        <f t="shared" si="72"/>
        <v>97.385947368421057</v>
      </c>
      <c r="S35" s="341"/>
      <c r="T35" s="220">
        <f>Emissionsfaktorer!E$17*N35</f>
        <v>4163.6795600000005</v>
      </c>
      <c r="U35" s="243">
        <f>Emissionsfaktorer!E$18*O35</f>
        <v>2409.133566</v>
      </c>
      <c r="V35" s="244">
        <f t="shared" si="73"/>
        <v>7953.23956</v>
      </c>
      <c r="W35" s="220">
        <f t="shared" si="74"/>
        <v>5135.2695659999999</v>
      </c>
      <c r="X35" s="220">
        <f t="shared" si="19"/>
        <v>-2817.969994</v>
      </c>
      <c r="Y35" s="243">
        <f t="shared" si="75"/>
        <v>19.305524684210525</v>
      </c>
      <c r="Z35" s="220">
        <f t="shared" si="76"/>
        <v>35652.573623691555</v>
      </c>
      <c r="AA35" s="220">
        <f t="shared" si="77"/>
        <v>26833.559711670678</v>
      </c>
      <c r="AB35" s="220">
        <f t="shared" si="62"/>
        <v>34156.518129614436</v>
      </c>
      <c r="AC35" s="220">
        <f t="shared" si="20"/>
        <v>27065.784139588341</v>
      </c>
      <c r="AD35" s="230">
        <f t="shared" si="78"/>
        <v>-8819.0139120208769</v>
      </c>
      <c r="AE35" s="230">
        <f t="shared" si="79"/>
        <v>134.03223166801337</v>
      </c>
      <c r="AF35" s="230">
        <f t="shared" si="80"/>
        <v>100.87804402883714</v>
      </c>
      <c r="AG35" s="341">
        <f>Emissionsfaktorer!E$16</f>
        <v>8.5999999999999993E-2</v>
      </c>
      <c r="AH35" s="220">
        <f t="shared" si="81"/>
        <v>3066.1213316374733</v>
      </c>
      <c r="AI35" s="243">
        <f t="shared" si="82"/>
        <v>2307.6861352036781</v>
      </c>
      <c r="AJ35" s="220">
        <f t="shared" si="21"/>
        <v>2937.4605591468412</v>
      </c>
      <c r="AK35" s="220">
        <f t="shared" si="22"/>
        <v>2327.657436004597</v>
      </c>
      <c r="AL35" s="244">
        <f t="shared" si="83"/>
        <v>6855.6813316374737</v>
      </c>
      <c r="AM35" s="220">
        <f t="shared" si="84"/>
        <v>5033.822135203678</v>
      </c>
      <c r="AN35" s="220">
        <f t="shared" si="24"/>
        <v>6727.0205591468412</v>
      </c>
      <c r="AO35" s="220">
        <f t="shared" si="25"/>
        <v>5053.7934360045965</v>
      </c>
      <c r="AP35" s="220">
        <f t="shared" si="66"/>
        <v>-1821.8591964337957</v>
      </c>
      <c r="AQ35" s="220">
        <f t="shared" si="27"/>
        <v>-1673.2271231422446</v>
      </c>
      <c r="AR35" s="243">
        <f t="shared" si="85"/>
        <v>18.924143365427362</v>
      </c>
      <c r="AS35" s="46"/>
    </row>
    <row r="36" spans="1:79">
      <c r="A36" s="227" t="s">
        <v>11</v>
      </c>
      <c r="B36" s="228" t="s">
        <v>201</v>
      </c>
      <c r="C36" s="64"/>
      <c r="D36" s="245">
        <v>548</v>
      </c>
      <c r="E36" s="203">
        <v>14526</v>
      </c>
      <c r="F36" s="203">
        <v>16631</v>
      </c>
      <c r="G36" s="203">
        <f t="shared" si="63"/>
        <v>2105</v>
      </c>
      <c r="H36" s="220">
        <f t="shared" si="69"/>
        <v>26.507299270072991</v>
      </c>
      <c r="I36" s="220">
        <f t="shared" si="70"/>
        <v>30.348540145985403</v>
      </c>
      <c r="J36" s="244">
        <f>E36*Emissionsfaktorer!E$11</f>
        <v>6522.174</v>
      </c>
      <c r="K36" s="339">
        <f>F36*Emissionsfaktorer!E$12</f>
        <v>6286.518</v>
      </c>
      <c r="L36" s="203">
        <v>1922</v>
      </c>
      <c r="M36" s="203">
        <v>1470</v>
      </c>
      <c r="N36" s="220">
        <f t="shared" si="86"/>
        <v>82705.582000000009</v>
      </c>
      <c r="O36" s="220">
        <f t="shared" si="87"/>
        <v>63255.57</v>
      </c>
      <c r="P36" s="230">
        <f t="shared" si="57"/>
        <v>-19450.01200000001</v>
      </c>
      <c r="Q36" s="230">
        <f t="shared" si="71"/>
        <v>150.92259489051096</v>
      </c>
      <c r="R36" s="230">
        <f t="shared" si="72"/>
        <v>115.42987226277373</v>
      </c>
      <c r="S36" s="341"/>
      <c r="T36" s="220">
        <f>Emissionsfaktorer!E$17*N36</f>
        <v>8270.5582000000013</v>
      </c>
      <c r="U36" s="243">
        <f>Emissionsfaktorer!E$18*O36</f>
        <v>5882.7680099999998</v>
      </c>
      <c r="V36" s="244">
        <f t="shared" si="73"/>
        <v>14792.732200000002</v>
      </c>
      <c r="W36" s="220">
        <f t="shared" si="74"/>
        <v>12169.28601</v>
      </c>
      <c r="X36" s="220">
        <f t="shared" si="19"/>
        <v>-2623.4461900000024</v>
      </c>
      <c r="Y36" s="243">
        <f t="shared" si="75"/>
        <v>22.206726295620438</v>
      </c>
      <c r="Z36" s="220">
        <f t="shared" si="76"/>
        <v>70818.774808531598</v>
      </c>
      <c r="AA36" s="220">
        <f t="shared" si="77"/>
        <v>65523.808598265605</v>
      </c>
      <c r="AB36" s="220">
        <f t="shared" si="62"/>
        <v>67847.073010664477</v>
      </c>
      <c r="AC36" s="220">
        <f t="shared" si="20"/>
        <v>66090.868247831997</v>
      </c>
      <c r="AD36" s="230">
        <f t="shared" si="78"/>
        <v>-5294.9662102659931</v>
      </c>
      <c r="AE36" s="230">
        <f t="shared" si="79"/>
        <v>129.23134089148101</v>
      </c>
      <c r="AF36" s="230">
        <f t="shared" si="80"/>
        <v>119.56899379245549</v>
      </c>
      <c r="AG36" s="341">
        <f>Emissionsfaktorer!E$16</f>
        <v>8.5999999999999993E-2</v>
      </c>
      <c r="AH36" s="220">
        <f t="shared" si="81"/>
        <v>6090.4146335337173</v>
      </c>
      <c r="AI36" s="243">
        <f t="shared" si="82"/>
        <v>5635.0475394508412</v>
      </c>
      <c r="AJ36" s="220">
        <f t="shared" si="21"/>
        <v>5834.8482789171449</v>
      </c>
      <c r="AK36" s="220">
        <f t="shared" si="22"/>
        <v>5683.8146693135513</v>
      </c>
      <c r="AL36" s="244">
        <f t="shared" si="83"/>
        <v>12612.588633533716</v>
      </c>
      <c r="AM36" s="220">
        <f t="shared" si="84"/>
        <v>11921.565539450841</v>
      </c>
      <c r="AN36" s="220">
        <f t="shared" si="24"/>
        <v>12357.022278917146</v>
      </c>
      <c r="AO36" s="220">
        <f t="shared" si="25"/>
        <v>11970.332669313551</v>
      </c>
      <c r="AP36" s="220">
        <f t="shared" si="66"/>
        <v>-691.0230940828751</v>
      </c>
      <c r="AQ36" s="220">
        <f t="shared" si="27"/>
        <v>-386.68960960359436</v>
      </c>
      <c r="AR36" s="243">
        <f t="shared" si="85"/>
        <v>21.754681641333651</v>
      </c>
      <c r="AS36" s="46"/>
    </row>
    <row r="37" spans="1:79">
      <c r="A37" s="227" t="s">
        <v>24</v>
      </c>
      <c r="B37" s="228" t="s">
        <v>202</v>
      </c>
      <c r="C37" s="64"/>
      <c r="D37" s="250">
        <v>478</v>
      </c>
      <c r="E37" s="203">
        <v>22051</v>
      </c>
      <c r="F37" s="203">
        <v>18534</v>
      </c>
      <c r="G37" s="203">
        <f t="shared" si="63"/>
        <v>-3517</v>
      </c>
      <c r="H37" s="220">
        <f t="shared" si="69"/>
        <v>46.131799163179913</v>
      </c>
      <c r="I37" s="220">
        <f t="shared" si="70"/>
        <v>38.77405857740586</v>
      </c>
      <c r="J37" s="244">
        <f>E37*Emissionsfaktorer!E$11</f>
        <v>9900.8989999999994</v>
      </c>
      <c r="K37" s="339">
        <f>F37*Emissionsfaktorer!E$12</f>
        <v>7005.8519999999999</v>
      </c>
      <c r="L37" s="203">
        <v>1752</v>
      </c>
      <c r="M37" s="203">
        <v>978</v>
      </c>
      <c r="N37" s="220">
        <f t="shared" si="86"/>
        <v>75390.312000000005</v>
      </c>
      <c r="O37" s="220">
        <f t="shared" si="87"/>
        <v>42084.317999999999</v>
      </c>
      <c r="P37" s="230">
        <f t="shared" si="57"/>
        <v>-33305.994000000006</v>
      </c>
      <c r="Q37" s="230">
        <f t="shared" si="71"/>
        <v>157.72031799163182</v>
      </c>
      <c r="R37" s="230">
        <f t="shared" si="72"/>
        <v>88.042506276150633</v>
      </c>
      <c r="S37" s="341"/>
      <c r="T37" s="220">
        <f>Emissionsfaktorer!E$17*N37</f>
        <v>7539.0312000000013</v>
      </c>
      <c r="U37" s="243">
        <f>Emissionsfaktorer!E$18*O37</f>
        <v>3913.841574</v>
      </c>
      <c r="V37" s="244">
        <f t="shared" si="73"/>
        <v>17439.930200000003</v>
      </c>
      <c r="W37" s="220">
        <f t="shared" si="74"/>
        <v>10919.693574000001</v>
      </c>
      <c r="X37" s="220">
        <f t="shared" si="19"/>
        <v>-6520.2366260000017</v>
      </c>
      <c r="Y37" s="243">
        <f t="shared" si="75"/>
        <v>22.844547225941426</v>
      </c>
      <c r="Z37" s="220">
        <f t="shared" si="76"/>
        <v>64554.887338474167</v>
      </c>
      <c r="AA37" s="220">
        <f t="shared" si="77"/>
        <v>43593.391026601195</v>
      </c>
      <c r="AB37" s="220">
        <f t="shared" si="62"/>
        <v>61846.031173092699</v>
      </c>
      <c r="AC37" s="220">
        <f t="shared" si="20"/>
        <v>43970.659283251487</v>
      </c>
      <c r="AD37" s="230">
        <f t="shared" si="78"/>
        <v>-20961.496311872972</v>
      </c>
      <c r="AE37" s="230">
        <f t="shared" si="79"/>
        <v>135.05206556166144</v>
      </c>
      <c r="AF37" s="230">
        <f t="shared" si="80"/>
        <v>91.199562817157314</v>
      </c>
      <c r="AG37" s="341">
        <f>Emissionsfaktorer!E$16</f>
        <v>8.5999999999999993E-2</v>
      </c>
      <c r="AH37" s="220">
        <f t="shared" si="81"/>
        <v>5551.7203111087783</v>
      </c>
      <c r="AI37" s="243">
        <f t="shared" si="82"/>
        <v>3749.0316282877025</v>
      </c>
      <c r="AJ37" s="220">
        <f t="shared" si="21"/>
        <v>5318.7586808859714</v>
      </c>
      <c r="AK37" s="220">
        <f t="shared" si="22"/>
        <v>3781.4766983596278</v>
      </c>
      <c r="AL37" s="244">
        <f t="shared" si="83"/>
        <v>15452.619311108778</v>
      </c>
      <c r="AM37" s="220">
        <f t="shared" si="84"/>
        <v>10754.883628287702</v>
      </c>
      <c r="AN37" s="220">
        <f t="shared" si="24"/>
        <v>15219.657680885972</v>
      </c>
      <c r="AO37" s="220">
        <f t="shared" si="25"/>
        <v>10787.328698359628</v>
      </c>
      <c r="AP37" s="220">
        <f t="shared" si="66"/>
        <v>-4697.7356828210759</v>
      </c>
      <c r="AQ37" s="220">
        <f t="shared" si="27"/>
        <v>-4432.3289825263437</v>
      </c>
      <c r="AR37" s="243">
        <f t="shared" si="85"/>
        <v>22.499756544534939</v>
      </c>
      <c r="AS37" s="46"/>
    </row>
    <row r="38" spans="1:79">
      <c r="A38" s="227" t="s">
        <v>23</v>
      </c>
      <c r="B38" s="228" t="s">
        <v>203</v>
      </c>
      <c r="C38" s="64"/>
      <c r="D38" s="245">
        <v>394</v>
      </c>
      <c r="E38" s="203">
        <v>11905</v>
      </c>
      <c r="F38" s="203">
        <v>11594</v>
      </c>
      <c r="G38" s="203">
        <f t="shared" si="63"/>
        <v>-311</v>
      </c>
      <c r="H38" s="220">
        <f t="shared" si="69"/>
        <v>30.215736040609137</v>
      </c>
      <c r="I38" s="220">
        <f t="shared" si="70"/>
        <v>29.426395939086294</v>
      </c>
      <c r="J38" s="244">
        <f>E38*Emissionsfaktorer!E$11</f>
        <v>5345.3450000000003</v>
      </c>
      <c r="K38" s="339">
        <f>F38*Emissionsfaktorer!E$12</f>
        <v>4382.5320000000002</v>
      </c>
      <c r="L38" s="203">
        <v>1349</v>
      </c>
      <c r="M38" s="203">
        <v>1231</v>
      </c>
      <c r="N38" s="220">
        <f t="shared" si="86"/>
        <v>58048.819000000003</v>
      </c>
      <c r="O38" s="220">
        <f t="shared" si="87"/>
        <v>52971.161</v>
      </c>
      <c r="P38" s="230">
        <f t="shared" si="57"/>
        <v>-5077.6580000000031</v>
      </c>
      <c r="Q38" s="230">
        <f t="shared" si="71"/>
        <v>147.33202791878173</v>
      </c>
      <c r="R38" s="230">
        <f t="shared" si="72"/>
        <v>134.44457106598983</v>
      </c>
      <c r="S38" s="341"/>
      <c r="T38" s="220">
        <f>Emissionsfaktorer!E$17*N38</f>
        <v>5804.8819000000003</v>
      </c>
      <c r="U38" s="243">
        <f>Emissionsfaktorer!E$18*O38</f>
        <v>4926.3179730000002</v>
      </c>
      <c r="V38" s="244">
        <f t="shared" si="73"/>
        <v>11150.226900000001</v>
      </c>
      <c r="W38" s="220">
        <f t="shared" si="74"/>
        <v>9308.8499730000003</v>
      </c>
      <c r="X38" s="220">
        <f t="shared" si="19"/>
        <v>-1841.3769270000012</v>
      </c>
      <c r="Y38" s="243">
        <f t="shared" si="75"/>
        <v>23.626522774111677</v>
      </c>
      <c r="Z38" s="220">
        <f t="shared" si="76"/>
        <v>49705.789394749794</v>
      </c>
      <c r="AA38" s="220">
        <f t="shared" si="77"/>
        <v>54870.617948615611</v>
      </c>
      <c r="AB38" s="220">
        <f t="shared" si="62"/>
        <v>47620.031993437246</v>
      </c>
      <c r="AC38" s="220">
        <f t="shared" si="20"/>
        <v>55345.482185769513</v>
      </c>
      <c r="AD38" s="230">
        <f t="shared" si="78"/>
        <v>5164.8285538658165</v>
      </c>
      <c r="AE38" s="230">
        <f t="shared" si="79"/>
        <v>126.15682587499948</v>
      </c>
      <c r="AF38" s="230">
        <f t="shared" si="80"/>
        <v>139.26552778836449</v>
      </c>
      <c r="AG38" s="341">
        <f>Emissionsfaktorer!E$16</f>
        <v>8.5999999999999993E-2</v>
      </c>
      <c r="AH38" s="220">
        <f t="shared" si="81"/>
        <v>4274.6978879484823</v>
      </c>
      <c r="AI38" s="243">
        <f t="shared" si="82"/>
        <v>4718.8731435809423</v>
      </c>
      <c r="AJ38" s="220">
        <f t="shared" si="21"/>
        <v>4095.3227514356026</v>
      </c>
      <c r="AK38" s="220">
        <f t="shared" si="22"/>
        <v>4759.711467976178</v>
      </c>
      <c r="AL38" s="244">
        <f t="shared" si="83"/>
        <v>9620.0428879484825</v>
      </c>
      <c r="AM38" s="220">
        <f t="shared" si="84"/>
        <v>9101.4051435809415</v>
      </c>
      <c r="AN38" s="220">
        <f t="shared" si="24"/>
        <v>9440.6677514356033</v>
      </c>
      <c r="AO38" s="220">
        <f t="shared" si="25"/>
        <v>9142.2434679761791</v>
      </c>
      <c r="AP38" s="220">
        <f t="shared" si="66"/>
        <v>-518.63774436754102</v>
      </c>
      <c r="AQ38" s="220">
        <f t="shared" si="27"/>
        <v>-298.42428345942426</v>
      </c>
      <c r="AR38" s="243">
        <f t="shared" si="85"/>
        <v>23.100013054773964</v>
      </c>
      <c r="AS38" s="46"/>
    </row>
    <row r="39" spans="1:79">
      <c r="A39" s="29" t="s">
        <v>48</v>
      </c>
      <c r="B39" s="228" t="s">
        <v>204</v>
      </c>
      <c r="C39" s="64" t="s">
        <v>366</v>
      </c>
      <c r="D39" s="245">
        <v>1080</v>
      </c>
      <c r="E39" s="203">
        <v>8539</v>
      </c>
      <c r="F39" s="203">
        <v>9134</v>
      </c>
      <c r="G39" s="203">
        <f t="shared" si="63"/>
        <v>595</v>
      </c>
      <c r="H39" s="220">
        <f t="shared" si="69"/>
        <v>7.9064814814814817</v>
      </c>
      <c r="I39" s="220">
        <f t="shared" si="70"/>
        <v>8.4574074074074073</v>
      </c>
      <c r="J39" s="244">
        <f>E39*Emissionsfaktorer!E$11</f>
        <v>3834.011</v>
      </c>
      <c r="K39" s="339">
        <f>F39*Emissionsfaktorer!E$12</f>
        <v>3452.652</v>
      </c>
      <c r="L39" s="203">
        <v>1012</v>
      </c>
      <c r="M39" s="203">
        <v>848.8</v>
      </c>
      <c r="N39" s="220">
        <f t="shared" si="86"/>
        <v>43547.372000000003</v>
      </c>
      <c r="O39" s="220">
        <f t="shared" si="87"/>
        <v>36524.712800000001</v>
      </c>
      <c r="P39" s="230">
        <f t="shared" si="57"/>
        <v>-7022.6592000000019</v>
      </c>
      <c r="Q39" s="230">
        <f t="shared" si="71"/>
        <v>40.32164074074074</v>
      </c>
      <c r="R39" s="230">
        <f t="shared" si="72"/>
        <v>33.81917851851852</v>
      </c>
      <c r="S39" s="341"/>
      <c r="T39" s="220">
        <f>Emissionsfaktorer!E$14*N39</f>
        <v>11409.411464000001</v>
      </c>
      <c r="U39" s="243">
        <f>Emissionsfaktorer!E$15*O39</f>
        <v>8765.9310719999994</v>
      </c>
      <c r="V39" s="244">
        <f t="shared" si="73"/>
        <v>15243.422464000001</v>
      </c>
      <c r="W39" s="220">
        <f t="shared" si="74"/>
        <v>12218.583071999999</v>
      </c>
      <c r="X39" s="220">
        <f t="shared" si="19"/>
        <v>-3024.8393920000017</v>
      </c>
      <c r="Y39" s="243">
        <f t="shared" si="75"/>
        <v>11.313502844444445</v>
      </c>
      <c r="Z39" s="220">
        <f t="shared" si="76"/>
        <v>37288.55364528302</v>
      </c>
      <c r="AA39" s="220">
        <f t="shared" si="77"/>
        <v>37834.427713066558</v>
      </c>
      <c r="AB39" s="220">
        <f t="shared" si="62"/>
        <v>35723.849056603773</v>
      </c>
      <c r="AC39" s="220">
        <f t="shared" si="20"/>
        <v>38161.856441333199</v>
      </c>
      <c r="AD39" s="230">
        <f t="shared" si="78"/>
        <v>545.87406778353761</v>
      </c>
      <c r="AE39" s="230">
        <f t="shared" si="79"/>
        <v>34.526438560447239</v>
      </c>
      <c r="AF39" s="230">
        <f t="shared" si="80"/>
        <v>35.031877512098667</v>
      </c>
      <c r="AG39" s="341">
        <f>Emissionsfaktorer!E$13</f>
        <v>0.34699999999999998</v>
      </c>
      <c r="AH39" s="220">
        <f t="shared" si="81"/>
        <v>12939.128114913206</v>
      </c>
      <c r="AI39" s="243">
        <f t="shared" si="82"/>
        <v>13128.546416434094</v>
      </c>
      <c r="AJ39" s="220">
        <f t="shared" si="21"/>
        <v>12396.175622641509</v>
      </c>
      <c r="AK39" s="220">
        <f t="shared" si="22"/>
        <v>13242.164185142619</v>
      </c>
      <c r="AL39" s="244">
        <f t="shared" si="83"/>
        <v>16773.139114913207</v>
      </c>
      <c r="AM39" s="220">
        <f t="shared" si="84"/>
        <v>16581.198416434094</v>
      </c>
      <c r="AN39" s="220">
        <f t="shared" si="24"/>
        <v>16230.18662264151</v>
      </c>
      <c r="AO39" s="220">
        <f t="shared" si="25"/>
        <v>16694.816185142619</v>
      </c>
      <c r="AP39" s="220">
        <f t="shared" si="66"/>
        <v>-191.94069847911305</v>
      </c>
      <c r="AQ39" s="220">
        <f t="shared" si="27"/>
        <v>464.62956250110983</v>
      </c>
      <c r="AR39" s="243">
        <f t="shared" si="85"/>
        <v>15.352961496698235</v>
      </c>
      <c r="AS39" s="46"/>
    </row>
    <row r="40" spans="1:79">
      <c r="A40" s="227" t="s">
        <v>47</v>
      </c>
      <c r="B40" s="228" t="s">
        <v>205</v>
      </c>
      <c r="C40" s="64" t="s">
        <v>368</v>
      </c>
      <c r="D40" s="245">
        <v>437</v>
      </c>
      <c r="E40" s="203">
        <v>16030</v>
      </c>
      <c r="F40" s="203">
        <v>13632</v>
      </c>
      <c r="G40" s="203">
        <f t="shared" si="63"/>
        <v>-2398</v>
      </c>
      <c r="H40" s="220">
        <f t="shared" ref="H40:H57" si="88">E40/D40</f>
        <v>36.681922196796336</v>
      </c>
      <c r="I40" s="220">
        <f t="shared" ref="I40:I57" si="89">F40/D40</f>
        <v>31.194508009153317</v>
      </c>
      <c r="J40" s="244">
        <f>E40*Emissionsfaktorer!E$11</f>
        <v>7197.47</v>
      </c>
      <c r="K40" s="339">
        <f>F40*Emissionsfaktorer!E$12</f>
        <v>5152.8959999999997</v>
      </c>
      <c r="L40" s="203">
        <v>1328</v>
      </c>
      <c r="M40" s="203">
        <v>1170</v>
      </c>
      <c r="N40" s="220">
        <f t="shared" si="86"/>
        <v>57145.168000000005</v>
      </c>
      <c r="O40" s="220">
        <f t="shared" si="87"/>
        <v>50346.270000000004</v>
      </c>
      <c r="P40" s="230">
        <f t="shared" si="57"/>
        <v>-6798.898000000001</v>
      </c>
      <c r="Q40" s="230">
        <f t="shared" ref="Q40:Q57" si="90">N40/D40</f>
        <v>130.76697482837531</v>
      </c>
      <c r="R40" s="230">
        <f t="shared" ref="R40:R57" si="91">O40/D40</f>
        <v>115.20885583524029</v>
      </c>
      <c r="S40" s="341"/>
      <c r="T40" s="220">
        <f>Emissionsfaktorer!E$17*N40</f>
        <v>5714.5168000000012</v>
      </c>
      <c r="U40" s="243">
        <f>Emissionsfaktorer!E$18*O40</f>
        <v>4682.2031100000004</v>
      </c>
      <c r="V40" s="244">
        <f t="shared" ref="V40:W42" si="92">J40+T40</f>
        <v>12911.986800000002</v>
      </c>
      <c r="W40" s="220">
        <f t="shared" si="92"/>
        <v>9835.0991099999992</v>
      </c>
      <c r="X40" s="220">
        <f t="shared" ref="X40:X56" si="93">W40-V40</f>
        <v>-3076.8876900000032</v>
      </c>
      <c r="Y40" s="243">
        <f t="shared" ref="Y40:Y57" si="94">W40/D40</f>
        <v>22.505947620137299</v>
      </c>
      <c r="Z40" s="220">
        <f t="shared" ref="Z40:Z56" si="95">((N40*0.8)/(1.219))+(N40*0.2)</f>
        <v>48932.0150602133</v>
      </c>
      <c r="AA40" s="220">
        <f t="shared" ref="AA40:AA56" si="96">((O40*0.8)/(0.9571))+(O40*0.2)</f>
        <v>52151.602761884868</v>
      </c>
      <c r="AB40" s="220">
        <f t="shared" ref="AB40:AB56" si="97">N40/1.219</f>
        <v>46878.726825266611</v>
      </c>
      <c r="AC40" s="220">
        <f t="shared" ref="AC40:AC56" si="98">O40/0.9571</f>
        <v>52602.935952356085</v>
      </c>
      <c r="AD40" s="230">
        <f t="shared" ref="AD40:AD56" si="99">AA40-Z40</f>
        <v>3219.5877016715676</v>
      </c>
      <c r="AE40" s="230">
        <f t="shared" ref="AE40:AE57" si="100">Z40/D40</f>
        <v>111.97257450849726</v>
      </c>
      <c r="AF40" s="230">
        <f t="shared" ref="AF40:AF57" si="101">AA40/D40</f>
        <v>119.34005208669306</v>
      </c>
      <c r="AG40" s="341">
        <f>Emissionsfaktorer!E$16</f>
        <v>8.5999999999999993E-2</v>
      </c>
      <c r="AH40" s="220">
        <f t="shared" ref="AH40:AH56" si="102">AG40*Z40</f>
        <v>4208.1532951783438</v>
      </c>
      <c r="AI40" s="243">
        <f t="shared" ref="AI40:AI56" si="103">AG40*AA40</f>
        <v>4485.037837522098</v>
      </c>
      <c r="AJ40" s="220">
        <f t="shared" ref="AJ40:AJ56" si="104">AB40*AG40</f>
        <v>4031.5705069729283</v>
      </c>
      <c r="AK40" s="220">
        <f t="shared" ref="AK40:AK56" si="105">AC40*AG40</f>
        <v>4523.8524919026231</v>
      </c>
      <c r="AL40" s="244">
        <f t="shared" ref="AL40:AM42" si="106">J40+AH40</f>
        <v>11405.623295178344</v>
      </c>
      <c r="AM40" s="220">
        <f t="shared" si="106"/>
        <v>9637.9338375220977</v>
      </c>
      <c r="AN40" s="220">
        <f t="shared" ref="AN40:AN56" si="107">J40+AJ40</f>
        <v>11229.040506972928</v>
      </c>
      <c r="AO40" s="220">
        <f t="shared" ref="AO40:AO56" si="108">K40+AK40</f>
        <v>9676.7484919026228</v>
      </c>
      <c r="AP40" s="220">
        <f t="shared" si="66"/>
        <v>-1767.6894576562463</v>
      </c>
      <c r="AQ40" s="220">
        <f t="shared" ref="AQ40:AQ56" si="109">AO40-AN40</f>
        <v>-1552.2920150703048</v>
      </c>
      <c r="AR40" s="243">
        <f t="shared" ref="AR40:AR57" si="110">AM40/D40</f>
        <v>22.054768506915554</v>
      </c>
      <c r="AS40" s="46"/>
    </row>
    <row r="41" spans="1:79">
      <c r="A41" s="227" t="s">
        <v>36</v>
      </c>
      <c r="B41" s="228" t="s">
        <v>206</v>
      </c>
      <c r="C41" s="64"/>
      <c r="D41" s="245">
        <v>436</v>
      </c>
      <c r="E41" s="203">
        <v>18126</v>
      </c>
      <c r="F41" s="203">
        <v>21153</v>
      </c>
      <c r="G41" s="203">
        <f t="shared" si="63"/>
        <v>3027</v>
      </c>
      <c r="H41" s="220">
        <f t="shared" si="88"/>
        <v>41.573394495412842</v>
      </c>
      <c r="I41" s="220">
        <f t="shared" si="89"/>
        <v>48.51605504587156</v>
      </c>
      <c r="J41" s="244">
        <f>E41*Emissionsfaktorer!E$11</f>
        <v>8138.5740000000005</v>
      </c>
      <c r="K41" s="339">
        <f>F41*Emissionsfaktorer!E$12</f>
        <v>7995.8339999999998</v>
      </c>
      <c r="L41" s="203">
        <v>998.3</v>
      </c>
      <c r="M41" s="203">
        <v>968.6</v>
      </c>
      <c r="N41" s="220">
        <f t="shared" si="86"/>
        <v>42957.847300000001</v>
      </c>
      <c r="O41" s="220">
        <f t="shared" si="87"/>
        <v>41679.826600000008</v>
      </c>
      <c r="P41" s="230">
        <f t="shared" si="57"/>
        <v>-1278.0206999999937</v>
      </c>
      <c r="Q41" s="230">
        <f t="shared" si="90"/>
        <v>98.527172706422022</v>
      </c>
      <c r="R41" s="230">
        <f t="shared" si="91"/>
        <v>95.595932568807356</v>
      </c>
      <c r="S41" s="341"/>
      <c r="T41" s="220">
        <f>Emissionsfaktorer!E$17*N41</f>
        <v>4295.7847300000003</v>
      </c>
      <c r="U41" s="243">
        <f>Emissionsfaktorer!E$18*O41</f>
        <v>3876.2238738000005</v>
      </c>
      <c r="V41" s="244">
        <f t="shared" si="92"/>
        <v>12434.35873</v>
      </c>
      <c r="W41" s="220">
        <f t="shared" si="92"/>
        <v>11872.0578738</v>
      </c>
      <c r="X41" s="220">
        <f t="shared" si="93"/>
        <v>-562.30085619999954</v>
      </c>
      <c r="Y41" s="243">
        <f t="shared" si="94"/>
        <v>27.229490536238533</v>
      </c>
      <c r="Z41" s="220">
        <f t="shared" si="95"/>
        <v>36783.75800799016</v>
      </c>
      <c r="AA41" s="220">
        <f t="shared" si="96"/>
        <v>43174.395243727937</v>
      </c>
      <c r="AB41" s="220">
        <f t="shared" si="97"/>
        <v>35240.235684987696</v>
      </c>
      <c r="AC41" s="220">
        <f t="shared" si="98"/>
        <v>43548.037404659917</v>
      </c>
      <c r="AD41" s="230">
        <f t="shared" si="99"/>
        <v>6390.6372357377768</v>
      </c>
      <c r="AE41" s="230">
        <f t="shared" si="100"/>
        <v>84.366417449518721</v>
      </c>
      <c r="AF41" s="230">
        <f t="shared" si="101"/>
        <v>99.023842302128301</v>
      </c>
      <c r="AG41" s="341">
        <f>Emissionsfaktorer!E$16</f>
        <v>8.5999999999999993E-2</v>
      </c>
      <c r="AH41" s="220">
        <f t="shared" si="102"/>
        <v>3163.4031886871535</v>
      </c>
      <c r="AI41" s="243">
        <f t="shared" si="103"/>
        <v>3712.9979909606022</v>
      </c>
      <c r="AJ41" s="220">
        <f t="shared" si="104"/>
        <v>3030.6602689089418</v>
      </c>
      <c r="AK41" s="220">
        <f t="shared" si="105"/>
        <v>3745.1312168007526</v>
      </c>
      <c r="AL41" s="244">
        <f t="shared" si="106"/>
        <v>11301.977188687153</v>
      </c>
      <c r="AM41" s="220">
        <f t="shared" si="106"/>
        <v>11708.831990960602</v>
      </c>
      <c r="AN41" s="220">
        <f t="shared" si="107"/>
        <v>11169.234268908942</v>
      </c>
      <c r="AO41" s="220">
        <f t="shared" si="108"/>
        <v>11740.965216800752</v>
      </c>
      <c r="AP41" s="220">
        <f t="shared" si="66"/>
        <v>406.85480227344851</v>
      </c>
      <c r="AQ41" s="220">
        <f t="shared" si="109"/>
        <v>571.7309478918105</v>
      </c>
      <c r="AR41" s="243">
        <f t="shared" si="110"/>
        <v>26.855119245322481</v>
      </c>
      <c r="AS41" s="46"/>
    </row>
    <row r="42" spans="1:79" s="209" customFormat="1">
      <c r="A42" s="231" t="s">
        <v>349</v>
      </c>
      <c r="B42" s="232" t="s">
        <v>350</v>
      </c>
      <c r="C42" s="233"/>
      <c r="D42" s="246">
        <v>348</v>
      </c>
      <c r="E42" s="203">
        <v>25528</v>
      </c>
      <c r="F42" s="203">
        <v>18090</v>
      </c>
      <c r="G42" s="203">
        <f>F42-E42</f>
        <v>-7438</v>
      </c>
      <c r="H42" s="220">
        <f t="shared" si="88"/>
        <v>73.356321839080465</v>
      </c>
      <c r="I42" s="220">
        <f t="shared" si="89"/>
        <v>51.982758620689658</v>
      </c>
      <c r="J42" s="244">
        <f>E42*Emissionsfaktorer!E$11</f>
        <v>11462.072</v>
      </c>
      <c r="K42" s="339">
        <f>F42*Emissionsfaktorer!E$12</f>
        <v>6838.02</v>
      </c>
      <c r="L42" s="203">
        <v>675.7</v>
      </c>
      <c r="M42" s="203">
        <v>735</v>
      </c>
      <c r="N42" s="220">
        <f t="shared" si="86"/>
        <v>29076.046700000003</v>
      </c>
      <c r="O42" s="220">
        <f t="shared" si="87"/>
        <v>31627.785</v>
      </c>
      <c r="P42" s="230">
        <f t="shared" si="57"/>
        <v>2551.7382999999973</v>
      </c>
      <c r="Q42" s="230">
        <f t="shared" si="90"/>
        <v>83.551858333333342</v>
      </c>
      <c r="R42" s="230">
        <f t="shared" si="91"/>
        <v>90.884439655172415</v>
      </c>
      <c r="S42" s="341"/>
      <c r="T42" s="220">
        <f>Emissionsfaktorer!E$17*N42</f>
        <v>2907.6046700000006</v>
      </c>
      <c r="U42" s="243">
        <f>Emissionsfaktorer!E$18*O42</f>
        <v>2941.3840049999999</v>
      </c>
      <c r="V42" s="244">
        <f t="shared" si="92"/>
        <v>14369.676670000001</v>
      </c>
      <c r="W42" s="220">
        <f t="shared" si="92"/>
        <v>9779.4040050000003</v>
      </c>
      <c r="X42" s="220">
        <f t="shared" si="93"/>
        <v>-4590.2726650000004</v>
      </c>
      <c r="Y42" s="243">
        <f t="shared" si="94"/>
        <v>28.101735646551724</v>
      </c>
      <c r="Z42" s="220">
        <f t="shared" si="95"/>
        <v>24897.110373634132</v>
      </c>
      <c r="AA42" s="220">
        <f t="shared" si="96"/>
        <v>32761.904299132802</v>
      </c>
      <c r="AB42" s="220">
        <f t="shared" si="97"/>
        <v>23852.37629204266</v>
      </c>
      <c r="AC42" s="220">
        <f t="shared" si="98"/>
        <v>33045.434123915998</v>
      </c>
      <c r="AD42" s="230">
        <f t="shared" si="99"/>
        <v>7864.7939254986704</v>
      </c>
      <c r="AE42" s="230">
        <f t="shared" si="100"/>
        <v>71.543420613891186</v>
      </c>
      <c r="AF42" s="230">
        <f t="shared" si="101"/>
        <v>94.143403158427589</v>
      </c>
      <c r="AG42" s="341">
        <f>Emissionsfaktorer!E$16</f>
        <v>8.5999999999999993E-2</v>
      </c>
      <c r="AH42" s="220">
        <f t="shared" si="102"/>
        <v>2141.1514921325352</v>
      </c>
      <c r="AI42" s="243">
        <f t="shared" si="103"/>
        <v>2817.5237697254206</v>
      </c>
      <c r="AJ42" s="220">
        <f t="shared" si="104"/>
        <v>2051.3043611156686</v>
      </c>
      <c r="AK42" s="220">
        <f t="shared" si="105"/>
        <v>2841.9073346567757</v>
      </c>
      <c r="AL42" s="244">
        <f t="shared" si="106"/>
        <v>13603.223492132536</v>
      </c>
      <c r="AM42" s="220">
        <f t="shared" si="106"/>
        <v>9655.5437697254201</v>
      </c>
      <c r="AN42" s="220">
        <f t="shared" si="107"/>
        <v>13513.376361115668</v>
      </c>
      <c r="AO42" s="220">
        <f t="shared" si="108"/>
        <v>9679.9273346567752</v>
      </c>
      <c r="AP42" s="220">
        <f t="shared" si="66"/>
        <v>-3947.6797224071161</v>
      </c>
      <c r="AQ42" s="220">
        <f t="shared" si="109"/>
        <v>-3833.4490264588931</v>
      </c>
      <c r="AR42" s="243">
        <f t="shared" si="110"/>
        <v>27.745815430245461</v>
      </c>
      <c r="AS42" s="221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</row>
    <row r="43" spans="1:79">
      <c r="A43" s="227" t="s">
        <v>44</v>
      </c>
      <c r="B43" s="228" t="s">
        <v>207</v>
      </c>
      <c r="C43" s="64"/>
      <c r="D43" s="245">
        <v>465</v>
      </c>
      <c r="E43" s="203">
        <v>14968</v>
      </c>
      <c r="F43" s="203">
        <v>22711</v>
      </c>
      <c r="G43" s="203">
        <f t="shared" si="63"/>
        <v>7743</v>
      </c>
      <c r="H43" s="220">
        <f t="shared" si="88"/>
        <v>32.189247311827955</v>
      </c>
      <c r="I43" s="220">
        <f t="shared" si="89"/>
        <v>48.840860215053766</v>
      </c>
      <c r="J43" s="244">
        <f>E43*Emissionsfaktorer!E$11</f>
        <v>6720.6320000000005</v>
      </c>
      <c r="K43" s="339">
        <f>F43*Emissionsfaktorer!E$12</f>
        <v>8584.7579999999998</v>
      </c>
      <c r="L43" s="203">
        <v>1524</v>
      </c>
      <c r="M43" s="203">
        <v>1179</v>
      </c>
      <c r="N43" s="220">
        <f t="shared" si="86"/>
        <v>65579.244000000006</v>
      </c>
      <c r="O43" s="220">
        <f t="shared" si="87"/>
        <v>50733.548999999999</v>
      </c>
      <c r="P43" s="230">
        <f t="shared" si="57"/>
        <v>-14845.695000000007</v>
      </c>
      <c r="Q43" s="230">
        <f t="shared" si="90"/>
        <v>141.03063225806454</v>
      </c>
      <c r="R43" s="230">
        <f t="shared" si="91"/>
        <v>109.1044064516129</v>
      </c>
      <c r="S43" s="341"/>
      <c r="T43" s="220">
        <f>Emissionsfaktorer!E$17*N43</f>
        <v>6557.9244000000008</v>
      </c>
      <c r="U43" s="243">
        <f>Emissionsfaktorer!E$18*O43</f>
        <v>4718.2200569999995</v>
      </c>
      <c r="V43" s="244">
        <f>J43+T43</f>
        <v>13278.556400000001</v>
      </c>
      <c r="W43" s="220">
        <f>K43+U43</f>
        <v>13302.978057</v>
      </c>
      <c r="X43" s="220">
        <f t="shared" si="93"/>
        <v>24.421656999998959</v>
      </c>
      <c r="Y43" s="243">
        <f t="shared" si="94"/>
        <v>28.608554961290324</v>
      </c>
      <c r="Z43" s="220">
        <f t="shared" si="95"/>
        <v>56153.908849220672</v>
      </c>
      <c r="AA43" s="220">
        <f t="shared" si="96"/>
        <v>52552.768936976281</v>
      </c>
      <c r="AB43" s="220">
        <f t="shared" si="97"/>
        <v>53797.575061525844</v>
      </c>
      <c r="AC43" s="220">
        <f t="shared" si="98"/>
        <v>53007.573921220355</v>
      </c>
      <c r="AD43" s="230">
        <f t="shared" si="99"/>
        <v>-3601.1399122443909</v>
      </c>
      <c r="AE43" s="230">
        <f t="shared" si="100"/>
        <v>120.76109429939929</v>
      </c>
      <c r="AF43" s="230">
        <f t="shared" si="101"/>
        <v>113.01670739134684</v>
      </c>
      <c r="AG43" s="341">
        <f>Emissionsfaktorer!E$16</f>
        <v>8.5999999999999993E-2</v>
      </c>
      <c r="AH43" s="220">
        <f t="shared" si="102"/>
        <v>4829.2361610329772</v>
      </c>
      <c r="AI43" s="243">
        <f t="shared" si="103"/>
        <v>4519.5381285799594</v>
      </c>
      <c r="AJ43" s="220">
        <f t="shared" si="104"/>
        <v>4626.5914552912218</v>
      </c>
      <c r="AK43" s="220">
        <f t="shared" si="105"/>
        <v>4558.6513572249505</v>
      </c>
      <c r="AL43" s="244">
        <f>J43+AH43</f>
        <v>11549.868161032977</v>
      </c>
      <c r="AM43" s="220">
        <f>K43+AI43</f>
        <v>13104.296128579959</v>
      </c>
      <c r="AN43" s="220">
        <f t="shared" si="107"/>
        <v>11347.223455291223</v>
      </c>
      <c r="AO43" s="220">
        <f t="shared" si="108"/>
        <v>13143.409357224951</v>
      </c>
      <c r="AP43" s="220">
        <f t="shared" si="66"/>
        <v>1554.4279675469825</v>
      </c>
      <c r="AQ43" s="220">
        <f t="shared" si="109"/>
        <v>1796.185901933728</v>
      </c>
      <c r="AR43" s="243">
        <f t="shared" si="110"/>
        <v>28.181281996946147</v>
      </c>
      <c r="AS43" s="46"/>
    </row>
    <row r="44" spans="1:79">
      <c r="A44" s="247" t="s">
        <v>352</v>
      </c>
      <c r="B44" s="228" t="s">
        <v>351</v>
      </c>
      <c r="C44" s="249"/>
      <c r="D44" s="245">
        <v>454</v>
      </c>
      <c r="E44" s="203">
        <v>28371</v>
      </c>
      <c r="F44" s="203">
        <v>25939</v>
      </c>
      <c r="G44" s="203">
        <f t="shared" ref="G44:G56" si="111">F44-E44</f>
        <v>-2432</v>
      </c>
      <c r="H44" s="220">
        <f t="shared" si="88"/>
        <v>62.491189427312776</v>
      </c>
      <c r="I44" s="220">
        <f t="shared" si="89"/>
        <v>57.134361233480178</v>
      </c>
      <c r="J44" s="244">
        <f>E44*Emissionsfaktorer!E$11</f>
        <v>12738.579</v>
      </c>
      <c r="K44" s="339">
        <f>F44*Emissionsfaktorer!E$12</f>
        <v>9804.9420000000009</v>
      </c>
      <c r="L44" s="203">
        <v>1679</v>
      </c>
      <c r="M44" s="203">
        <v>1736</v>
      </c>
      <c r="N44" s="220">
        <f t="shared" si="86"/>
        <v>72249.048999999999</v>
      </c>
      <c r="O44" s="220">
        <f t="shared" si="87"/>
        <v>74701.816000000006</v>
      </c>
      <c r="P44" s="230">
        <f t="shared" si="57"/>
        <v>2452.7670000000071</v>
      </c>
      <c r="Q44" s="230">
        <f t="shared" si="90"/>
        <v>159.1388744493392</v>
      </c>
      <c r="R44" s="230">
        <f t="shared" si="91"/>
        <v>164.54144493392073</v>
      </c>
      <c r="S44" s="341"/>
      <c r="T44" s="220">
        <f>Emissionsfaktorer!E$17*N44</f>
        <v>7224.9049000000005</v>
      </c>
      <c r="U44" s="243">
        <f>Emissionsfaktorer!E$18*O44</f>
        <v>6947.2688880000005</v>
      </c>
      <c r="V44" s="244">
        <f>J44+T44</f>
        <v>19963.483899999999</v>
      </c>
      <c r="W44" s="220">
        <f>K44+U44</f>
        <v>16752.210888000001</v>
      </c>
      <c r="X44" s="220">
        <f t="shared" si="93"/>
        <v>-3211.2730119999978</v>
      </c>
      <c r="Y44" s="243">
        <f t="shared" si="94"/>
        <v>36.899142925110134</v>
      </c>
      <c r="Z44" s="220">
        <f t="shared" si="95"/>
        <v>61865.100366037739</v>
      </c>
      <c r="AA44" s="220">
        <f t="shared" si="96"/>
        <v>77380.497773189854</v>
      </c>
      <c r="AB44" s="220">
        <f t="shared" si="97"/>
        <v>59269.113207547161</v>
      </c>
      <c r="AC44" s="220">
        <f t="shared" si="98"/>
        <v>78050.16821648732</v>
      </c>
      <c r="AD44" s="230">
        <f t="shared" si="99"/>
        <v>15515.397407152115</v>
      </c>
      <c r="AE44" s="230">
        <f t="shared" si="100"/>
        <v>136.26674089435625</v>
      </c>
      <c r="AF44" s="230">
        <f t="shared" si="101"/>
        <v>170.44162505107897</v>
      </c>
      <c r="AG44" s="341">
        <f>Emissionsfaktorer!E$16</f>
        <v>8.5999999999999993E-2</v>
      </c>
      <c r="AH44" s="220">
        <f t="shared" si="102"/>
        <v>5320.3986314792455</v>
      </c>
      <c r="AI44" s="243">
        <f t="shared" si="103"/>
        <v>6654.7228084943272</v>
      </c>
      <c r="AJ44" s="220">
        <f t="shared" si="104"/>
        <v>5097.1437358490557</v>
      </c>
      <c r="AK44" s="220">
        <f t="shared" si="105"/>
        <v>6712.3144666179087</v>
      </c>
      <c r="AL44" s="244">
        <f>J44+AH44</f>
        <v>18058.977631479247</v>
      </c>
      <c r="AM44" s="220">
        <f>K44+AI44</f>
        <v>16459.66480849433</v>
      </c>
      <c r="AN44" s="220">
        <f t="shared" si="107"/>
        <v>17835.722735849056</v>
      </c>
      <c r="AO44" s="220">
        <f t="shared" si="108"/>
        <v>16517.25646661791</v>
      </c>
      <c r="AP44" s="220">
        <f t="shared" ref="AP44:AP56" si="112">AM44-AL44</f>
        <v>-1599.3128229849171</v>
      </c>
      <c r="AQ44" s="220">
        <f t="shared" si="109"/>
        <v>-1318.4662692311467</v>
      </c>
      <c r="AR44" s="243">
        <f t="shared" si="110"/>
        <v>36.254768300648301</v>
      </c>
      <c r="AS44" s="46"/>
    </row>
    <row r="45" spans="1:79">
      <c r="A45" s="234" t="s">
        <v>50</v>
      </c>
      <c r="B45" s="228" t="s">
        <v>208</v>
      </c>
      <c r="C45" s="64"/>
      <c r="D45" s="245">
        <v>528</v>
      </c>
      <c r="E45" s="203">
        <v>25183</v>
      </c>
      <c r="F45" s="203">
        <v>25826</v>
      </c>
      <c r="G45" s="203">
        <f t="shared" si="111"/>
        <v>643</v>
      </c>
      <c r="H45" s="220">
        <f t="shared" si="88"/>
        <v>47.695075757575758</v>
      </c>
      <c r="I45" s="220">
        <f t="shared" si="89"/>
        <v>48.912878787878789</v>
      </c>
      <c r="J45" s="244">
        <f>E45*Emissionsfaktorer!E$11</f>
        <v>11307.166999999999</v>
      </c>
      <c r="K45" s="339">
        <f>F45*Emissionsfaktorer!E$12</f>
        <v>9762.228000000001</v>
      </c>
      <c r="L45" s="203">
        <v>1989</v>
      </c>
      <c r="M45" s="203">
        <v>1981</v>
      </c>
      <c r="N45" s="220">
        <f t="shared" si="86"/>
        <v>85588.659</v>
      </c>
      <c r="O45" s="220">
        <f t="shared" si="87"/>
        <v>85244.411000000007</v>
      </c>
      <c r="P45" s="230">
        <f t="shared" si="57"/>
        <v>-344.24799999999232</v>
      </c>
      <c r="Q45" s="230">
        <f t="shared" si="90"/>
        <v>162.09973295454546</v>
      </c>
      <c r="R45" s="230">
        <f t="shared" si="91"/>
        <v>161.44774810606063</v>
      </c>
      <c r="S45" s="341"/>
      <c r="T45" s="220">
        <f>Emissionsfaktorer!E$17*N45</f>
        <v>8558.8659000000007</v>
      </c>
      <c r="U45" s="243">
        <f>Emissionsfaktorer!E$18*O45</f>
        <v>7927.7302230000005</v>
      </c>
      <c r="V45" s="244">
        <f t="shared" ref="V45:W47" si="113">J45+T45</f>
        <v>19866.032899999998</v>
      </c>
      <c r="W45" s="220">
        <f t="shared" si="113"/>
        <v>17689.958223000001</v>
      </c>
      <c r="X45" s="220">
        <f t="shared" si="93"/>
        <v>-2176.0746769999969</v>
      </c>
      <c r="Y45" s="243">
        <f t="shared" si="94"/>
        <v>33.503708755681821</v>
      </c>
      <c r="Z45" s="220">
        <f t="shared" si="95"/>
        <v>73287.483399671866</v>
      </c>
      <c r="AA45" s="220">
        <f t="shared" si="96"/>
        <v>88301.132539567465</v>
      </c>
      <c r="AB45" s="220">
        <f t="shared" si="97"/>
        <v>70212.189499589818</v>
      </c>
      <c r="AC45" s="220">
        <f t="shared" si="98"/>
        <v>89065.312924459315</v>
      </c>
      <c r="AD45" s="230">
        <f t="shared" si="99"/>
        <v>15013.649139895599</v>
      </c>
      <c r="AE45" s="230">
        <f t="shared" si="100"/>
        <v>138.80205189331792</v>
      </c>
      <c r="AF45" s="230">
        <f t="shared" si="101"/>
        <v>167.23699344615051</v>
      </c>
      <c r="AG45" s="341">
        <f>Emissionsfaktorer!E$16</f>
        <v>8.5999999999999993E-2</v>
      </c>
      <c r="AH45" s="220">
        <f t="shared" si="102"/>
        <v>6302.7235723717804</v>
      </c>
      <c r="AI45" s="243">
        <f t="shared" si="103"/>
        <v>7593.8973984028016</v>
      </c>
      <c r="AJ45" s="220">
        <f t="shared" si="104"/>
        <v>6038.2482969647235</v>
      </c>
      <c r="AK45" s="220">
        <f t="shared" si="105"/>
        <v>7659.6169115035009</v>
      </c>
      <c r="AL45" s="244">
        <f t="shared" ref="AL45:AM47" si="114">J45+AH45</f>
        <v>17609.89057237178</v>
      </c>
      <c r="AM45" s="220">
        <f t="shared" si="114"/>
        <v>17356.125398402801</v>
      </c>
      <c r="AN45" s="220">
        <f t="shared" si="107"/>
        <v>17345.415296964722</v>
      </c>
      <c r="AO45" s="220">
        <f t="shared" si="108"/>
        <v>17421.844911503504</v>
      </c>
      <c r="AP45" s="220">
        <f t="shared" si="112"/>
        <v>-253.76517396897907</v>
      </c>
      <c r="AQ45" s="220">
        <f t="shared" si="109"/>
        <v>76.429614538781607</v>
      </c>
      <c r="AR45" s="243">
        <f t="shared" si="110"/>
        <v>32.871449618187121</v>
      </c>
      <c r="AS45" s="46"/>
    </row>
    <row r="46" spans="1:79">
      <c r="A46" s="227" t="s">
        <v>262</v>
      </c>
      <c r="B46" s="228" t="s">
        <v>209</v>
      </c>
      <c r="C46" s="64"/>
      <c r="D46" s="245">
        <v>287</v>
      </c>
      <c r="E46" s="203">
        <v>33187</v>
      </c>
      <c r="F46" s="203">
        <v>20537</v>
      </c>
      <c r="G46" s="203">
        <f t="shared" si="111"/>
        <v>-12650</v>
      </c>
      <c r="H46" s="220">
        <f t="shared" si="88"/>
        <v>115.63414634146342</v>
      </c>
      <c r="I46" s="220">
        <f t="shared" si="89"/>
        <v>71.557491289198609</v>
      </c>
      <c r="J46" s="244">
        <f>E46*Emissionsfaktorer!E$11</f>
        <v>14900.963</v>
      </c>
      <c r="K46" s="339">
        <f>F46*Emissionsfaktorer!E$12</f>
        <v>7762.9859999999999</v>
      </c>
      <c r="L46" s="203">
        <v>2377</v>
      </c>
      <c r="M46" s="203">
        <v>987</v>
      </c>
      <c r="N46" s="220">
        <f t="shared" si="86"/>
        <v>102284.68700000001</v>
      </c>
      <c r="O46" s="220">
        <f t="shared" si="87"/>
        <v>42471.597000000002</v>
      </c>
      <c r="P46" s="230">
        <f t="shared" si="57"/>
        <v>-59813.090000000004</v>
      </c>
      <c r="Q46" s="230">
        <f t="shared" si="90"/>
        <v>356.39263763066202</v>
      </c>
      <c r="R46" s="230">
        <f t="shared" si="91"/>
        <v>147.98465853658539</v>
      </c>
      <c r="S46" s="341"/>
      <c r="T46" s="220">
        <f>Emissionsfaktorer!E$17*N46</f>
        <v>10228.468700000001</v>
      </c>
      <c r="U46" s="243">
        <f>Emissionsfaktorer!E$18*O46</f>
        <v>3949.8585210000001</v>
      </c>
      <c r="V46" s="244">
        <f t="shared" si="113"/>
        <v>25129.431700000001</v>
      </c>
      <c r="W46" s="220">
        <f t="shared" si="113"/>
        <v>11712.844520999999</v>
      </c>
      <c r="X46" s="220">
        <f t="shared" si="93"/>
        <v>-13416.587179000002</v>
      </c>
      <c r="Y46" s="243">
        <f t="shared" si="94"/>
        <v>40.811304951219512</v>
      </c>
      <c r="Z46" s="220">
        <f t="shared" si="95"/>
        <v>87583.885390155861</v>
      </c>
      <c r="AA46" s="220">
        <f t="shared" si="96"/>
        <v>43994.557201692616</v>
      </c>
      <c r="AB46" s="220">
        <f t="shared" si="97"/>
        <v>83908.684987694825</v>
      </c>
      <c r="AC46" s="220">
        <f t="shared" si="98"/>
        <v>44375.297252115772</v>
      </c>
      <c r="AD46" s="230">
        <f t="shared" si="99"/>
        <v>-43589.328188463245</v>
      </c>
      <c r="AE46" s="230">
        <f t="shared" si="100"/>
        <v>305.17033236988107</v>
      </c>
      <c r="AF46" s="230">
        <f t="shared" si="101"/>
        <v>153.29114007558402</v>
      </c>
      <c r="AG46" s="341">
        <f>Emissionsfaktorer!E$16</f>
        <v>8.5999999999999993E-2</v>
      </c>
      <c r="AH46" s="220">
        <f t="shared" si="102"/>
        <v>7532.2141435534031</v>
      </c>
      <c r="AI46" s="243">
        <f t="shared" si="103"/>
        <v>3783.5319193455648</v>
      </c>
      <c r="AJ46" s="220">
        <f t="shared" si="104"/>
        <v>7216.1469089417542</v>
      </c>
      <c r="AK46" s="220">
        <f t="shared" si="105"/>
        <v>3816.2755636819561</v>
      </c>
      <c r="AL46" s="244">
        <f t="shared" si="114"/>
        <v>22433.177143553403</v>
      </c>
      <c r="AM46" s="220">
        <f t="shared" si="114"/>
        <v>11546.517919345564</v>
      </c>
      <c r="AN46" s="220">
        <f t="shared" si="107"/>
        <v>22117.109908941755</v>
      </c>
      <c r="AO46" s="220">
        <f t="shared" si="108"/>
        <v>11579.261563681956</v>
      </c>
      <c r="AP46" s="220">
        <f t="shared" si="112"/>
        <v>-10886.659224207839</v>
      </c>
      <c r="AQ46" s="220">
        <f t="shared" si="109"/>
        <v>-10537.848345259799</v>
      </c>
      <c r="AR46" s="243">
        <f t="shared" si="110"/>
        <v>40.231769753817296</v>
      </c>
      <c r="AS46" s="46"/>
    </row>
    <row r="47" spans="1:79">
      <c r="A47" s="227" t="s">
        <v>25</v>
      </c>
      <c r="B47" s="228" t="s">
        <v>210</v>
      </c>
      <c r="C47" s="64"/>
      <c r="D47" s="245">
        <v>230</v>
      </c>
      <c r="E47" s="203">
        <v>11999</v>
      </c>
      <c r="F47" s="203">
        <v>9710</v>
      </c>
      <c r="G47" s="203">
        <f t="shared" si="111"/>
        <v>-2289</v>
      </c>
      <c r="H47" s="220">
        <f t="shared" si="88"/>
        <v>52.169565217391302</v>
      </c>
      <c r="I47" s="220">
        <f t="shared" si="89"/>
        <v>42.217391304347828</v>
      </c>
      <c r="J47" s="244">
        <f>E47*Emissionsfaktorer!E$11</f>
        <v>5387.5510000000004</v>
      </c>
      <c r="K47" s="339">
        <f>F47*Emissionsfaktorer!E$12</f>
        <v>3670.38</v>
      </c>
      <c r="L47" s="203">
        <v>1064</v>
      </c>
      <c r="M47" s="203">
        <v>1370</v>
      </c>
      <c r="N47" s="220">
        <f t="shared" si="86"/>
        <v>45784.984000000004</v>
      </c>
      <c r="O47" s="220">
        <f t="shared" si="87"/>
        <v>58952.47</v>
      </c>
      <c r="P47" s="230">
        <f t="shared" si="57"/>
        <v>13167.485999999997</v>
      </c>
      <c r="Q47" s="230">
        <f t="shared" si="90"/>
        <v>199.06514782608699</v>
      </c>
      <c r="R47" s="230">
        <f t="shared" si="91"/>
        <v>256.31508695652172</v>
      </c>
      <c r="S47" s="341"/>
      <c r="T47" s="220">
        <f>Emissionsfaktorer!E$17*N47</f>
        <v>4578.4984000000004</v>
      </c>
      <c r="U47" s="243">
        <f>Emissionsfaktorer!E$18*O47</f>
        <v>5482.57971</v>
      </c>
      <c r="V47" s="244">
        <f t="shared" si="113"/>
        <v>9966.0493999999999</v>
      </c>
      <c r="W47" s="220">
        <f t="shared" si="113"/>
        <v>9152.9597099999992</v>
      </c>
      <c r="X47" s="220">
        <f t="shared" si="93"/>
        <v>-813.0896900000007</v>
      </c>
      <c r="Y47" s="243">
        <f t="shared" si="94"/>
        <v>39.795476999999998</v>
      </c>
      <c r="Z47" s="220">
        <f t="shared" si="95"/>
        <v>39204.56628318294</v>
      </c>
      <c r="AA47" s="220">
        <f t="shared" si="96"/>
        <v>61066.406652805352</v>
      </c>
      <c r="AB47" s="220">
        <f t="shared" si="97"/>
        <v>37559.461853978675</v>
      </c>
      <c r="AC47" s="220">
        <f t="shared" si="98"/>
        <v>61594.890816006693</v>
      </c>
      <c r="AD47" s="230">
        <f t="shared" si="99"/>
        <v>21861.840369622412</v>
      </c>
      <c r="AE47" s="230">
        <f t="shared" si="100"/>
        <v>170.45463601383886</v>
      </c>
      <c r="AF47" s="230">
        <f t="shared" si="101"/>
        <v>265.50611588176241</v>
      </c>
      <c r="AG47" s="341">
        <f>Emissionsfaktorer!E$16</f>
        <v>8.5999999999999993E-2</v>
      </c>
      <c r="AH47" s="220">
        <f t="shared" si="102"/>
        <v>3371.5927003537327</v>
      </c>
      <c r="AI47" s="243">
        <f t="shared" si="103"/>
        <v>5251.7109721412598</v>
      </c>
      <c r="AJ47" s="220">
        <f t="shared" si="104"/>
        <v>3230.1137194421658</v>
      </c>
      <c r="AK47" s="220">
        <f t="shared" si="105"/>
        <v>5297.1606101765756</v>
      </c>
      <c r="AL47" s="244">
        <f t="shared" si="114"/>
        <v>8759.1437003537321</v>
      </c>
      <c r="AM47" s="220">
        <f t="shared" si="114"/>
        <v>8922.0909721412609</v>
      </c>
      <c r="AN47" s="220">
        <f t="shared" si="107"/>
        <v>8617.6647194421657</v>
      </c>
      <c r="AO47" s="220">
        <f t="shared" si="108"/>
        <v>8967.5406101765766</v>
      </c>
      <c r="AP47" s="220">
        <f t="shared" si="112"/>
        <v>162.94727178752873</v>
      </c>
      <c r="AQ47" s="220">
        <f t="shared" si="109"/>
        <v>349.87589073441086</v>
      </c>
      <c r="AR47" s="243">
        <f t="shared" si="110"/>
        <v>38.79169987887505</v>
      </c>
      <c r="AS47" s="46"/>
    </row>
    <row r="48" spans="1:79">
      <c r="A48" s="227" t="s">
        <v>33</v>
      </c>
      <c r="B48" s="228" t="s">
        <v>211</v>
      </c>
      <c r="C48" s="64"/>
      <c r="D48" s="245">
        <v>394</v>
      </c>
      <c r="E48" s="203">
        <v>9981</v>
      </c>
      <c r="F48" s="203">
        <v>11591</v>
      </c>
      <c r="G48" s="203">
        <f t="shared" si="111"/>
        <v>1610</v>
      </c>
      <c r="H48" s="220">
        <f t="shared" si="88"/>
        <v>25.332487309644669</v>
      </c>
      <c r="I48" s="220">
        <f t="shared" si="89"/>
        <v>29.418781725888326</v>
      </c>
      <c r="J48" s="244">
        <f>E48*Emissionsfaktorer!E$11</f>
        <v>4481.4690000000001</v>
      </c>
      <c r="K48" s="339">
        <f>F48*Emissionsfaktorer!E$12</f>
        <v>4381.3980000000001</v>
      </c>
      <c r="L48" s="203">
        <v>792</v>
      </c>
      <c r="M48" s="203">
        <v>696.6</v>
      </c>
      <c r="N48" s="220">
        <f t="shared" si="86"/>
        <v>34080.552000000003</v>
      </c>
      <c r="O48" s="220">
        <f t="shared" si="87"/>
        <v>29975.394600000003</v>
      </c>
      <c r="P48" s="230">
        <f t="shared" si="57"/>
        <v>-4105.1574000000001</v>
      </c>
      <c r="Q48" s="230">
        <f t="shared" si="90"/>
        <v>86.49886294416244</v>
      </c>
      <c r="R48" s="230">
        <f t="shared" si="91"/>
        <v>76.079681725888335</v>
      </c>
      <c r="S48" s="341"/>
      <c r="T48" s="220">
        <f>Emissionsfaktorer!E$17*N48</f>
        <v>3408.0552000000007</v>
      </c>
      <c r="U48" s="243">
        <f>Emissionsfaktorer!E$18*O48</f>
        <v>2787.7116978000004</v>
      </c>
      <c r="V48" s="244">
        <f>J48+T48</f>
        <v>7889.5242000000007</v>
      </c>
      <c r="W48" s="220">
        <f>K48+U48</f>
        <v>7169.1096978000005</v>
      </c>
      <c r="X48" s="220">
        <f t="shared" si="93"/>
        <v>-720.41450220000024</v>
      </c>
      <c r="Y48" s="243">
        <f t="shared" si="94"/>
        <v>18.195709892893401</v>
      </c>
      <c r="Z48" s="220">
        <f t="shared" si="95"/>
        <v>29182.346331091063</v>
      </c>
      <c r="AA48" s="220">
        <f t="shared" si="96"/>
        <v>31050.261952076067</v>
      </c>
      <c r="AB48" s="220">
        <f t="shared" si="97"/>
        <v>27957.794913863825</v>
      </c>
      <c r="AC48" s="220">
        <f t="shared" si="98"/>
        <v>31318.978790095083</v>
      </c>
      <c r="AD48" s="230">
        <f t="shared" si="99"/>
        <v>1867.9156209850044</v>
      </c>
      <c r="AE48" s="230">
        <f t="shared" si="100"/>
        <v>74.066868860637214</v>
      </c>
      <c r="AF48" s="230">
        <f t="shared" si="101"/>
        <v>78.807771451969714</v>
      </c>
      <c r="AG48" s="341">
        <f>Emissionsfaktorer!E$16</f>
        <v>8.5999999999999993E-2</v>
      </c>
      <c r="AH48" s="220">
        <f t="shared" si="102"/>
        <v>2509.6817844738312</v>
      </c>
      <c r="AI48" s="243">
        <f t="shared" si="103"/>
        <v>2670.3225278785417</v>
      </c>
      <c r="AJ48" s="220">
        <f t="shared" si="104"/>
        <v>2404.370362592289</v>
      </c>
      <c r="AK48" s="220">
        <f t="shared" si="105"/>
        <v>2693.4321759481768</v>
      </c>
      <c r="AL48" s="244">
        <f>J48+AH48</f>
        <v>6991.1507844738317</v>
      </c>
      <c r="AM48" s="220">
        <f>K48+AI48</f>
        <v>7051.7205278785423</v>
      </c>
      <c r="AN48" s="220">
        <f t="shared" si="107"/>
        <v>6885.839362592289</v>
      </c>
      <c r="AO48" s="220">
        <f t="shared" si="108"/>
        <v>7074.8301759481765</v>
      </c>
      <c r="AP48" s="220">
        <f t="shared" si="112"/>
        <v>60.569743404710607</v>
      </c>
      <c r="AQ48" s="220">
        <f t="shared" si="109"/>
        <v>188.99081335588744</v>
      </c>
      <c r="AR48" s="243">
        <f t="shared" si="110"/>
        <v>17.897767837255184</v>
      </c>
      <c r="AS48" s="46"/>
    </row>
    <row r="49" spans="1:45">
      <c r="A49" s="227" t="s">
        <v>34</v>
      </c>
      <c r="B49" s="228" t="s">
        <v>212</v>
      </c>
      <c r="C49" s="64"/>
      <c r="D49" s="245">
        <v>162</v>
      </c>
      <c r="E49" s="203">
        <v>4486</v>
      </c>
      <c r="F49" s="203">
        <v>4354</v>
      </c>
      <c r="G49" s="203">
        <f t="shared" si="111"/>
        <v>-132</v>
      </c>
      <c r="H49" s="220">
        <f t="shared" si="88"/>
        <v>27.691358024691358</v>
      </c>
      <c r="I49" s="220">
        <f t="shared" si="89"/>
        <v>26.876543209876544</v>
      </c>
      <c r="J49" s="244">
        <f>E49*Emissionsfaktorer!E$11</f>
        <v>2014.2139999999999</v>
      </c>
      <c r="K49" s="339">
        <f>F49*Emissionsfaktorer!E$12</f>
        <v>1645.8119999999999</v>
      </c>
      <c r="L49" s="203">
        <v>434.4</v>
      </c>
      <c r="M49" s="203">
        <v>403.3</v>
      </c>
      <c r="N49" s="220">
        <f t="shared" si="86"/>
        <v>18692.666399999998</v>
      </c>
      <c r="O49" s="220">
        <f t="shared" si="87"/>
        <v>17354.402300000002</v>
      </c>
      <c r="P49" s="230">
        <f t="shared" si="57"/>
        <v>-1338.2640999999967</v>
      </c>
      <c r="Q49" s="230">
        <f t="shared" si="90"/>
        <v>115.38682962962962</v>
      </c>
      <c r="R49" s="230">
        <f t="shared" si="91"/>
        <v>107.1259401234568</v>
      </c>
      <c r="S49" s="341"/>
      <c r="T49" s="220">
        <f>Emissionsfaktorer!E$17*N49</f>
        <v>1869.2666399999998</v>
      </c>
      <c r="U49" s="243">
        <f>Emissionsfaktorer!E$18*O49</f>
        <v>1613.9594139000001</v>
      </c>
      <c r="V49" s="244">
        <f>J49+T49</f>
        <v>3883.4806399999998</v>
      </c>
      <c r="W49" s="220">
        <f>K49+U49</f>
        <v>3259.7714139</v>
      </c>
      <c r="X49" s="220">
        <f t="shared" si="93"/>
        <v>-623.7092260999998</v>
      </c>
      <c r="Y49" s="243">
        <f t="shared" si="94"/>
        <v>20.122045764814814</v>
      </c>
      <c r="Z49" s="220">
        <f t="shared" si="95"/>
        <v>16006.074805840852</v>
      </c>
      <c r="AA49" s="220">
        <f t="shared" si="96"/>
        <v>17976.702046041166</v>
      </c>
      <c r="AB49" s="220">
        <f t="shared" si="97"/>
        <v>15334.426907301064</v>
      </c>
      <c r="AC49" s="220">
        <f t="shared" si="98"/>
        <v>18132.276982551459</v>
      </c>
      <c r="AD49" s="230">
        <f t="shared" si="99"/>
        <v>1970.6272402003142</v>
      </c>
      <c r="AE49" s="230">
        <f t="shared" si="100"/>
        <v>98.802930900252164</v>
      </c>
      <c r="AF49" s="230">
        <f t="shared" si="101"/>
        <v>110.96729658050103</v>
      </c>
      <c r="AG49" s="341">
        <f>Emissionsfaktorer!E$16</f>
        <v>8.5999999999999993E-2</v>
      </c>
      <c r="AH49" s="220">
        <f t="shared" si="102"/>
        <v>1376.5224333023132</v>
      </c>
      <c r="AI49" s="243">
        <f t="shared" si="103"/>
        <v>1545.99637595954</v>
      </c>
      <c r="AJ49" s="220">
        <f t="shared" si="104"/>
        <v>1318.7607140278915</v>
      </c>
      <c r="AK49" s="220">
        <f t="shared" si="105"/>
        <v>1559.3758204994253</v>
      </c>
      <c r="AL49" s="244">
        <f>J49+AH49</f>
        <v>3390.7364333023133</v>
      </c>
      <c r="AM49" s="220">
        <f>K49+AI49</f>
        <v>3191.8083759595402</v>
      </c>
      <c r="AN49" s="220">
        <f t="shared" si="107"/>
        <v>3332.9747140278914</v>
      </c>
      <c r="AO49" s="220">
        <f t="shared" si="108"/>
        <v>3205.1878204994255</v>
      </c>
      <c r="AP49" s="220">
        <f t="shared" si="112"/>
        <v>-198.92805734277317</v>
      </c>
      <c r="AQ49" s="220">
        <f t="shared" si="109"/>
        <v>-127.78689352846595</v>
      </c>
      <c r="AR49" s="243">
        <f t="shared" si="110"/>
        <v>19.702520839256422</v>
      </c>
      <c r="AS49" s="46"/>
    </row>
    <row r="50" spans="1:45">
      <c r="A50" s="227" t="s">
        <v>17</v>
      </c>
      <c r="B50" s="228" t="s">
        <v>213</v>
      </c>
      <c r="C50" s="64"/>
      <c r="D50" s="245">
        <v>861</v>
      </c>
      <c r="E50" s="203">
        <v>55088</v>
      </c>
      <c r="F50" s="203">
        <v>49158</v>
      </c>
      <c r="G50" s="203">
        <f t="shared" si="111"/>
        <v>-5930</v>
      </c>
      <c r="H50" s="220">
        <f t="shared" si="88"/>
        <v>63.98141695702671</v>
      </c>
      <c r="I50" s="220">
        <f t="shared" si="89"/>
        <v>57.094076655052262</v>
      </c>
      <c r="J50" s="244">
        <f>E50*Emissionsfaktorer!E$11</f>
        <v>24734.511999999999</v>
      </c>
      <c r="K50" s="339">
        <f>F50*Emissionsfaktorer!E$12</f>
        <v>18581.723999999998</v>
      </c>
      <c r="L50" s="203">
        <v>4341</v>
      </c>
      <c r="M50" s="203">
        <v>3437</v>
      </c>
      <c r="N50" s="220">
        <f t="shared" si="86"/>
        <v>186797.571</v>
      </c>
      <c r="O50" s="220">
        <f t="shared" si="87"/>
        <v>147897.54699999999</v>
      </c>
      <c r="P50" s="230">
        <f t="shared" si="57"/>
        <v>-38900.024000000005</v>
      </c>
      <c r="Q50" s="230">
        <f t="shared" si="90"/>
        <v>216.95420557491289</v>
      </c>
      <c r="R50" s="230">
        <f t="shared" si="91"/>
        <v>171.7741544715447</v>
      </c>
      <c r="S50" s="341"/>
      <c r="T50" s="220">
        <f>Emissionsfaktorer!E$17*N50</f>
        <v>18679.757099999999</v>
      </c>
      <c r="U50" s="243">
        <f>Emissionsfaktorer!E$18*O50</f>
        <v>13754.471871</v>
      </c>
      <c r="V50" s="244">
        <f t="shared" ref="V50:W53" si="115">J50+T50</f>
        <v>43414.269099999998</v>
      </c>
      <c r="W50" s="220">
        <f t="shared" si="115"/>
        <v>32336.195870999996</v>
      </c>
      <c r="X50" s="220">
        <f t="shared" si="93"/>
        <v>-11078.073229000001</v>
      </c>
      <c r="Y50" s="243">
        <f t="shared" si="94"/>
        <v>37.55655734146341</v>
      </c>
      <c r="Z50" s="220">
        <f t="shared" si="95"/>
        <v>159950.20886776043</v>
      </c>
      <c r="AA50" s="220">
        <f t="shared" si="96"/>
        <v>153200.90486546862</v>
      </c>
      <c r="AB50" s="220">
        <f t="shared" si="97"/>
        <v>153238.36833470056</v>
      </c>
      <c r="AC50" s="220">
        <f t="shared" si="98"/>
        <v>154526.74433183574</v>
      </c>
      <c r="AD50" s="230">
        <f t="shared" si="99"/>
        <v>-6749.304002291814</v>
      </c>
      <c r="AE50" s="230">
        <f t="shared" si="100"/>
        <v>185.77260031098774</v>
      </c>
      <c r="AF50" s="230">
        <f t="shared" si="101"/>
        <v>177.93368741633986</v>
      </c>
      <c r="AG50" s="341">
        <f>Emissionsfaktorer!E$16</f>
        <v>8.5999999999999993E-2</v>
      </c>
      <c r="AH50" s="220">
        <f t="shared" si="102"/>
        <v>13755.717962627396</v>
      </c>
      <c r="AI50" s="243">
        <f t="shared" si="103"/>
        <v>13175.277818430301</v>
      </c>
      <c r="AJ50" s="220">
        <f t="shared" si="104"/>
        <v>13178.499676784248</v>
      </c>
      <c r="AK50" s="220">
        <f t="shared" si="105"/>
        <v>13289.300012537873</v>
      </c>
      <c r="AL50" s="244">
        <f t="shared" ref="AL50:AM53" si="116">J50+AH50</f>
        <v>38490.229962627396</v>
      </c>
      <c r="AM50" s="220">
        <f t="shared" si="116"/>
        <v>31757.001818430297</v>
      </c>
      <c r="AN50" s="220">
        <f t="shared" si="107"/>
        <v>37913.011676784248</v>
      </c>
      <c r="AO50" s="220">
        <f t="shared" si="108"/>
        <v>31871.02401253787</v>
      </c>
      <c r="AP50" s="220">
        <f t="shared" si="112"/>
        <v>-6733.228144197099</v>
      </c>
      <c r="AQ50" s="220">
        <f t="shared" si="109"/>
        <v>-6041.9876642463787</v>
      </c>
      <c r="AR50" s="243">
        <f t="shared" si="110"/>
        <v>36.883858093414979</v>
      </c>
      <c r="AS50" s="46"/>
    </row>
    <row r="51" spans="1:45">
      <c r="A51" s="249"/>
      <c r="B51" s="228" t="s">
        <v>214</v>
      </c>
      <c r="C51" s="249"/>
      <c r="D51" s="245">
        <v>1654</v>
      </c>
      <c r="E51" s="203">
        <v>42352</v>
      </c>
      <c r="F51" s="203">
        <v>38883</v>
      </c>
      <c r="G51" s="203">
        <f t="shared" si="111"/>
        <v>-3469</v>
      </c>
      <c r="H51" s="220">
        <f t="shared" si="88"/>
        <v>25.605804111245465</v>
      </c>
      <c r="I51" s="220">
        <f t="shared" si="89"/>
        <v>23.508464328899638</v>
      </c>
      <c r="J51" s="244">
        <f>E51*Emissionsfaktorer!E$11</f>
        <v>19016.047999999999</v>
      </c>
      <c r="K51" s="339">
        <f>F51*Emissionsfaktorer!E$12</f>
        <v>14697.773999999999</v>
      </c>
      <c r="L51" s="203">
        <v>5025</v>
      </c>
      <c r="M51" s="203">
        <v>3979</v>
      </c>
      <c r="N51" s="220">
        <f t="shared" si="86"/>
        <v>216230.77499999999</v>
      </c>
      <c r="O51" s="220">
        <f t="shared" si="87"/>
        <v>171220.34900000002</v>
      </c>
      <c r="P51" s="230">
        <f t="shared" si="57"/>
        <v>-45010.425999999978</v>
      </c>
      <c r="Q51" s="230">
        <f t="shared" si="90"/>
        <v>130.73202841596131</v>
      </c>
      <c r="R51" s="230">
        <f t="shared" si="91"/>
        <v>103.51895344619106</v>
      </c>
      <c r="S51" s="341"/>
      <c r="T51" s="220">
        <f>Emissionsfaktorer!E$17*N51</f>
        <v>21623.077499999999</v>
      </c>
      <c r="U51" s="243">
        <f>Emissionsfaktorer!E$18*O51</f>
        <v>15923.492457000002</v>
      </c>
      <c r="V51" s="244">
        <f t="shared" si="115"/>
        <v>40639.125499999995</v>
      </c>
      <c r="W51" s="220">
        <f t="shared" si="115"/>
        <v>30621.266457000002</v>
      </c>
      <c r="X51" s="220">
        <f t="shared" si="93"/>
        <v>-10017.859042999993</v>
      </c>
      <c r="Y51" s="243">
        <f t="shared" si="94"/>
        <v>18.513462186819833</v>
      </c>
      <c r="Z51" s="220">
        <f t="shared" si="95"/>
        <v>185153.14433552089</v>
      </c>
      <c r="AA51" s="220">
        <f t="shared" si="96"/>
        <v>177360.02340986315</v>
      </c>
      <c r="AB51" s="220">
        <f t="shared" si="97"/>
        <v>177383.73666940114</v>
      </c>
      <c r="AC51" s="220">
        <f t="shared" si="98"/>
        <v>178894.94201232895</v>
      </c>
      <c r="AD51" s="230">
        <f t="shared" si="99"/>
        <v>-7793.1209256577422</v>
      </c>
      <c r="AE51" s="230">
        <f t="shared" si="100"/>
        <v>111.94265074698966</v>
      </c>
      <c r="AF51" s="230">
        <f t="shared" si="101"/>
        <v>107.23096941346019</v>
      </c>
      <c r="AG51" s="341">
        <f>Emissionsfaktorer!E$16</f>
        <v>8.5999999999999993E-2</v>
      </c>
      <c r="AH51" s="220">
        <f t="shared" si="102"/>
        <v>15923.170412854795</v>
      </c>
      <c r="AI51" s="243">
        <f t="shared" si="103"/>
        <v>15252.962013248229</v>
      </c>
      <c r="AJ51" s="220">
        <f t="shared" si="104"/>
        <v>15255.001353568498</v>
      </c>
      <c r="AK51" s="220">
        <f t="shared" si="105"/>
        <v>15384.965013060288</v>
      </c>
      <c r="AL51" s="244">
        <f t="shared" si="116"/>
        <v>34939.218412854796</v>
      </c>
      <c r="AM51" s="220">
        <f t="shared" si="116"/>
        <v>29950.736013248228</v>
      </c>
      <c r="AN51" s="220">
        <f t="shared" si="107"/>
        <v>34271.049353568495</v>
      </c>
      <c r="AO51" s="220">
        <f t="shared" si="108"/>
        <v>30082.739013060287</v>
      </c>
      <c r="AP51" s="220">
        <f t="shared" si="112"/>
        <v>-4988.4823996065679</v>
      </c>
      <c r="AQ51" s="220">
        <f t="shared" si="109"/>
        <v>-4188.3103405082074</v>
      </c>
      <c r="AR51" s="243">
        <f t="shared" si="110"/>
        <v>18.108062885881637</v>
      </c>
      <c r="AS51" s="46"/>
    </row>
    <row r="52" spans="1:45">
      <c r="A52" s="227" t="s">
        <v>29</v>
      </c>
      <c r="B52" s="228" t="s">
        <v>215</v>
      </c>
      <c r="C52" s="64"/>
      <c r="D52" s="245">
        <v>419</v>
      </c>
      <c r="E52" s="203">
        <v>17977</v>
      </c>
      <c r="F52" s="203">
        <v>16012</v>
      </c>
      <c r="G52" s="203">
        <f t="shared" si="111"/>
        <v>-1965</v>
      </c>
      <c r="H52" s="220">
        <f t="shared" si="88"/>
        <v>42.904534606205253</v>
      </c>
      <c r="I52" s="220">
        <f t="shared" si="89"/>
        <v>38.214797136038186</v>
      </c>
      <c r="J52" s="244">
        <f>E52*Emissionsfaktorer!E$11</f>
        <v>8071.6729999999998</v>
      </c>
      <c r="K52" s="339">
        <f>F52*Emissionsfaktorer!E$12</f>
        <v>6052.5360000000001</v>
      </c>
      <c r="L52" s="203">
        <v>1172</v>
      </c>
      <c r="M52" s="203">
        <v>1199</v>
      </c>
      <c r="N52" s="220">
        <f t="shared" si="86"/>
        <v>50432.332000000002</v>
      </c>
      <c r="O52" s="220">
        <f t="shared" si="87"/>
        <v>51594.169000000002</v>
      </c>
      <c r="P52" s="230">
        <f t="shared" si="57"/>
        <v>1161.8369999999995</v>
      </c>
      <c r="Q52" s="230">
        <f t="shared" si="90"/>
        <v>120.36356085918855</v>
      </c>
      <c r="R52" s="230">
        <f t="shared" si="91"/>
        <v>123.13644152744631</v>
      </c>
      <c r="S52" s="341"/>
      <c r="T52" s="220">
        <f>Emissionsfaktorer!E$17*N52</f>
        <v>5043.2332000000006</v>
      </c>
      <c r="U52" s="243">
        <f>Emissionsfaktorer!E$18*O52</f>
        <v>4798.2577170000004</v>
      </c>
      <c r="V52" s="244">
        <f t="shared" si="115"/>
        <v>13114.906200000001</v>
      </c>
      <c r="W52" s="220">
        <f t="shared" si="115"/>
        <v>10850.793717</v>
      </c>
      <c r="X52" s="220">
        <f t="shared" si="93"/>
        <v>-2264.1124830000008</v>
      </c>
      <c r="Y52" s="243">
        <f t="shared" si="94"/>
        <v>25.896882379474942</v>
      </c>
      <c r="Z52" s="220">
        <f t="shared" si="95"/>
        <v>43183.977146513542</v>
      </c>
      <c r="AA52" s="220">
        <f t="shared" si="96"/>
        <v>53444.249326068333</v>
      </c>
      <c r="AB52" s="220">
        <f t="shared" si="97"/>
        <v>41371.888433141918</v>
      </c>
      <c r="AC52" s="220">
        <f t="shared" si="98"/>
        <v>53906.769407585416</v>
      </c>
      <c r="AD52" s="230">
        <f t="shared" si="99"/>
        <v>10260.272179554791</v>
      </c>
      <c r="AE52" s="230">
        <f t="shared" si="100"/>
        <v>103.06438459788434</v>
      </c>
      <c r="AF52" s="230">
        <f t="shared" si="101"/>
        <v>127.5519076994471</v>
      </c>
      <c r="AG52" s="341">
        <f>Emissionsfaktorer!E$16</f>
        <v>8.5999999999999993E-2</v>
      </c>
      <c r="AH52" s="220">
        <f t="shared" si="102"/>
        <v>3713.8220346001644</v>
      </c>
      <c r="AI52" s="243">
        <f t="shared" si="103"/>
        <v>4596.2054420418763</v>
      </c>
      <c r="AJ52" s="220">
        <f t="shared" si="104"/>
        <v>3557.9824052502045</v>
      </c>
      <c r="AK52" s="220">
        <f t="shared" si="105"/>
        <v>4635.9821690523459</v>
      </c>
      <c r="AL52" s="244">
        <f t="shared" si="116"/>
        <v>11785.495034600164</v>
      </c>
      <c r="AM52" s="220">
        <f t="shared" si="116"/>
        <v>10648.741442041875</v>
      </c>
      <c r="AN52" s="220">
        <f t="shared" si="107"/>
        <v>11629.655405250203</v>
      </c>
      <c r="AO52" s="220">
        <f t="shared" si="108"/>
        <v>10688.518169052346</v>
      </c>
      <c r="AP52" s="220">
        <f t="shared" si="112"/>
        <v>-1136.7535925582888</v>
      </c>
      <c r="AQ52" s="220">
        <f t="shared" si="109"/>
        <v>-941.13723619785742</v>
      </c>
      <c r="AR52" s="243">
        <f t="shared" si="110"/>
        <v>25.41465737957488</v>
      </c>
      <c r="AS52" s="46"/>
    </row>
    <row r="53" spans="1:45">
      <c r="A53" s="227" t="s">
        <v>38</v>
      </c>
      <c r="B53" s="228" t="s">
        <v>216</v>
      </c>
      <c r="C53" s="64"/>
      <c r="D53" s="245">
        <v>456</v>
      </c>
      <c r="E53" s="203">
        <v>16503</v>
      </c>
      <c r="F53" s="203">
        <v>17484</v>
      </c>
      <c r="G53" s="203">
        <f t="shared" si="111"/>
        <v>981</v>
      </c>
      <c r="H53" s="220">
        <f t="shared" si="88"/>
        <v>36.190789473684212</v>
      </c>
      <c r="I53" s="220">
        <f t="shared" si="89"/>
        <v>38.342105263157897</v>
      </c>
      <c r="J53" s="244">
        <f>E53*Emissionsfaktorer!E$11</f>
        <v>7409.8469999999998</v>
      </c>
      <c r="K53" s="339">
        <f>F53*Emissionsfaktorer!E$12</f>
        <v>6608.9520000000002</v>
      </c>
      <c r="L53" s="203">
        <v>930.7</v>
      </c>
      <c r="M53" s="203">
        <v>783.5</v>
      </c>
      <c r="N53" s="220">
        <f t="shared" si="86"/>
        <v>40048.951700000005</v>
      </c>
      <c r="O53" s="220">
        <f t="shared" si="87"/>
        <v>33714.788500000002</v>
      </c>
      <c r="P53" s="230">
        <f t="shared" ref="P53:P56" si="117">O53-N53</f>
        <v>-6334.1632000000027</v>
      </c>
      <c r="Q53" s="230">
        <f t="shared" si="90"/>
        <v>87.826648464912296</v>
      </c>
      <c r="R53" s="230">
        <f t="shared" si="91"/>
        <v>73.935939692982458</v>
      </c>
      <c r="S53" s="341"/>
      <c r="T53" s="220">
        <f>Emissionsfaktorer!E$17*N53</f>
        <v>4004.8951700000007</v>
      </c>
      <c r="U53" s="243">
        <f>Emissionsfaktorer!E$18*O53</f>
        <v>3135.4753305000004</v>
      </c>
      <c r="V53" s="244">
        <f t="shared" si="115"/>
        <v>11414.742170000001</v>
      </c>
      <c r="W53" s="220">
        <f t="shared" si="115"/>
        <v>9744.4273305000006</v>
      </c>
      <c r="X53" s="220">
        <f t="shared" si="93"/>
        <v>-1670.3148395000007</v>
      </c>
      <c r="Y53" s="243">
        <f t="shared" si="94"/>
        <v>21.369358180921054</v>
      </c>
      <c r="Z53" s="220">
        <f t="shared" si="95"/>
        <v>34292.941578720267</v>
      </c>
      <c r="AA53" s="220">
        <f t="shared" si="96"/>
        <v>34923.744242681023</v>
      </c>
      <c r="AB53" s="220">
        <f t="shared" si="97"/>
        <v>32853.939048400331</v>
      </c>
      <c r="AC53" s="220">
        <f t="shared" si="98"/>
        <v>35225.983178351271</v>
      </c>
      <c r="AD53" s="230">
        <f t="shared" si="99"/>
        <v>630.80266396075604</v>
      </c>
      <c r="AE53" s="230">
        <f t="shared" si="100"/>
        <v>75.203819251579532</v>
      </c>
      <c r="AF53" s="230">
        <f t="shared" si="101"/>
        <v>76.587158426932064</v>
      </c>
      <c r="AG53" s="341">
        <f>Emissionsfaktorer!E$16</f>
        <v>8.5999999999999993E-2</v>
      </c>
      <c r="AH53" s="220">
        <f t="shared" si="102"/>
        <v>2949.1929757699427</v>
      </c>
      <c r="AI53" s="243">
        <f t="shared" si="103"/>
        <v>3003.4420048705679</v>
      </c>
      <c r="AJ53" s="220">
        <f t="shared" si="104"/>
        <v>2825.4387581624283</v>
      </c>
      <c r="AK53" s="220">
        <f t="shared" si="105"/>
        <v>3029.4345533382088</v>
      </c>
      <c r="AL53" s="244">
        <f t="shared" si="116"/>
        <v>10359.039975769942</v>
      </c>
      <c r="AM53" s="220">
        <f t="shared" si="116"/>
        <v>9612.3940048705681</v>
      </c>
      <c r="AN53" s="220">
        <f t="shared" si="107"/>
        <v>10235.285758162428</v>
      </c>
      <c r="AO53" s="220">
        <f t="shared" si="108"/>
        <v>9638.3865533382086</v>
      </c>
      <c r="AP53" s="220">
        <f t="shared" si="112"/>
        <v>-746.64597089937342</v>
      </c>
      <c r="AQ53" s="220">
        <f t="shared" si="109"/>
        <v>-596.89920482421985</v>
      </c>
      <c r="AR53" s="243">
        <f t="shared" si="110"/>
        <v>21.079811414189841</v>
      </c>
      <c r="AS53" s="46"/>
    </row>
    <row r="54" spans="1:45">
      <c r="A54" s="227" t="s">
        <v>32</v>
      </c>
      <c r="B54" s="228" t="s">
        <v>217</v>
      </c>
      <c r="C54" s="64"/>
      <c r="D54" s="245">
        <v>425</v>
      </c>
      <c r="E54" s="203">
        <v>9855</v>
      </c>
      <c r="F54" s="203">
        <v>9097</v>
      </c>
      <c r="G54" s="203">
        <f t="shared" si="111"/>
        <v>-758</v>
      </c>
      <c r="H54" s="220">
        <f t="shared" si="88"/>
        <v>23.188235294117646</v>
      </c>
      <c r="I54" s="220">
        <f t="shared" si="89"/>
        <v>21.404705882352943</v>
      </c>
      <c r="J54" s="244">
        <f>E54*Emissionsfaktorer!E$11</f>
        <v>4424.8950000000004</v>
      </c>
      <c r="K54" s="339">
        <f>F54*Emissionsfaktorer!E$12</f>
        <v>3438.6660000000002</v>
      </c>
      <c r="L54" s="203">
        <v>1090</v>
      </c>
      <c r="M54" s="203">
        <v>733.6</v>
      </c>
      <c r="N54" s="220">
        <f t="shared" si="86"/>
        <v>46903.79</v>
      </c>
      <c r="O54" s="220">
        <f t="shared" si="87"/>
        <v>31567.5416</v>
      </c>
      <c r="P54" s="230">
        <f t="shared" si="117"/>
        <v>-15336.2484</v>
      </c>
      <c r="Q54" s="230">
        <f t="shared" si="90"/>
        <v>110.36185882352942</v>
      </c>
      <c r="R54" s="230">
        <f t="shared" si="91"/>
        <v>74.276568470588231</v>
      </c>
      <c r="S54" s="341"/>
      <c r="T54" s="220">
        <f>Emissionsfaktorer!E$17*N54</f>
        <v>4690.3789999999999</v>
      </c>
      <c r="U54" s="243">
        <f>Emissionsfaktorer!E$18*O54</f>
        <v>2935.7813688000001</v>
      </c>
      <c r="V54" s="244">
        <f t="shared" ref="V54:W56" si="118">J54+T54</f>
        <v>9115.2740000000013</v>
      </c>
      <c r="W54" s="220">
        <f t="shared" si="118"/>
        <v>6374.4473687999998</v>
      </c>
      <c r="X54" s="220">
        <f t="shared" si="93"/>
        <v>-2740.8266312000014</v>
      </c>
      <c r="Y54" s="243">
        <f t="shared" si="94"/>
        <v>14.998699691294117</v>
      </c>
      <c r="Z54" s="220">
        <f t="shared" si="95"/>
        <v>40162.572602132896</v>
      </c>
      <c r="AA54" s="220">
        <f t="shared" si="96"/>
        <v>32699.50067189636</v>
      </c>
      <c r="AB54" s="220">
        <f t="shared" si="97"/>
        <v>38477.268252666116</v>
      </c>
      <c r="AC54" s="220">
        <f t="shared" si="98"/>
        <v>32982.490439870446</v>
      </c>
      <c r="AD54" s="230">
        <f t="shared" si="99"/>
        <v>-7463.071930236536</v>
      </c>
      <c r="AE54" s="230">
        <f t="shared" si="100"/>
        <v>94.500170828547994</v>
      </c>
      <c r="AF54" s="230">
        <f t="shared" si="101"/>
        <v>76.940001580932616</v>
      </c>
      <c r="AG54" s="341">
        <f>Emissionsfaktorer!E$16</f>
        <v>8.5999999999999993E-2</v>
      </c>
      <c r="AH54" s="220">
        <f t="shared" si="102"/>
        <v>3453.9812437834289</v>
      </c>
      <c r="AI54" s="243">
        <f t="shared" si="103"/>
        <v>2812.1570577830867</v>
      </c>
      <c r="AJ54" s="220">
        <f t="shared" si="104"/>
        <v>3309.0450697292858</v>
      </c>
      <c r="AK54" s="220">
        <f t="shared" si="105"/>
        <v>2836.494177828858</v>
      </c>
      <c r="AL54" s="244">
        <f t="shared" ref="AL54:AM56" si="119">J54+AH54</f>
        <v>7878.8762437834293</v>
      </c>
      <c r="AM54" s="220">
        <f t="shared" si="119"/>
        <v>6250.8230577830873</v>
      </c>
      <c r="AN54" s="220">
        <f t="shared" si="107"/>
        <v>7733.9400697292858</v>
      </c>
      <c r="AO54" s="220">
        <f t="shared" si="108"/>
        <v>6275.1601778288587</v>
      </c>
      <c r="AP54" s="220">
        <f t="shared" si="112"/>
        <v>-1628.0531860003421</v>
      </c>
      <c r="AQ54" s="220">
        <f t="shared" si="109"/>
        <v>-1458.7798919004272</v>
      </c>
      <c r="AR54" s="243">
        <f t="shared" si="110"/>
        <v>14.707818959489616</v>
      </c>
      <c r="AS54" s="46"/>
    </row>
    <row r="55" spans="1:45">
      <c r="A55" s="227" t="s">
        <v>40</v>
      </c>
      <c r="B55" s="228" t="s">
        <v>218</v>
      </c>
      <c r="C55" s="64"/>
      <c r="D55" s="245">
        <v>291</v>
      </c>
      <c r="E55" s="203">
        <v>13718</v>
      </c>
      <c r="F55" s="203">
        <v>13731</v>
      </c>
      <c r="G55" s="203">
        <f t="shared" si="111"/>
        <v>13</v>
      </c>
      <c r="H55" s="220">
        <f t="shared" si="88"/>
        <v>47.140893470790381</v>
      </c>
      <c r="I55" s="220">
        <f t="shared" si="89"/>
        <v>47.185567010309278</v>
      </c>
      <c r="J55" s="244">
        <f>E55*Emissionsfaktorer!E$11</f>
        <v>6159.3820000000005</v>
      </c>
      <c r="K55" s="339">
        <f>F55*Emissionsfaktorer!E$12</f>
        <v>5190.3180000000002</v>
      </c>
      <c r="L55" s="203">
        <v>1262</v>
      </c>
      <c r="M55" s="203">
        <v>1230</v>
      </c>
      <c r="N55" s="220">
        <f t="shared" si="86"/>
        <v>54305.122000000003</v>
      </c>
      <c r="O55" s="220">
        <f t="shared" si="87"/>
        <v>52928.130000000005</v>
      </c>
      <c r="P55" s="230">
        <f t="shared" si="117"/>
        <v>-1376.9919999999984</v>
      </c>
      <c r="Q55" s="230">
        <f t="shared" si="90"/>
        <v>186.61553951890036</v>
      </c>
      <c r="R55" s="230">
        <f t="shared" si="91"/>
        <v>181.8836082474227</v>
      </c>
      <c r="S55" s="341"/>
      <c r="T55" s="220">
        <f>Emissionsfaktorer!E$17*N55</f>
        <v>5430.512200000001</v>
      </c>
      <c r="U55" s="243">
        <f>Emissionsfaktorer!E$18*O55</f>
        <v>4922.3160900000003</v>
      </c>
      <c r="V55" s="244">
        <f t="shared" si="118"/>
        <v>11589.894200000002</v>
      </c>
      <c r="W55" s="220">
        <f t="shared" si="118"/>
        <v>10112.63409</v>
      </c>
      <c r="X55" s="220">
        <f t="shared" si="93"/>
        <v>-1477.2601100000029</v>
      </c>
      <c r="Y55" s="243">
        <f t="shared" si="94"/>
        <v>34.751319896907212</v>
      </c>
      <c r="Z55" s="220">
        <f t="shared" si="95"/>
        <v>46500.152865955708</v>
      </c>
      <c r="AA55" s="220">
        <f t="shared" si="96"/>
        <v>54826.043929161024</v>
      </c>
      <c r="AB55" s="220">
        <f t="shared" si="97"/>
        <v>44548.910582444623</v>
      </c>
      <c r="AC55" s="220">
        <f t="shared" si="98"/>
        <v>55300.522411451268</v>
      </c>
      <c r="AD55" s="230">
        <f t="shared" si="99"/>
        <v>8325.8910632053157</v>
      </c>
      <c r="AE55" s="230">
        <f t="shared" si="100"/>
        <v>159.79433974555226</v>
      </c>
      <c r="AF55" s="230">
        <f t="shared" si="101"/>
        <v>188.40564924110316</v>
      </c>
      <c r="AG55" s="341">
        <f>Emissionsfaktorer!E$16</f>
        <v>8.5999999999999993E-2</v>
      </c>
      <c r="AH55" s="220">
        <f t="shared" si="102"/>
        <v>3999.0131464721908</v>
      </c>
      <c r="AI55" s="243">
        <f t="shared" si="103"/>
        <v>4715.0397779078476</v>
      </c>
      <c r="AJ55" s="220">
        <f t="shared" si="104"/>
        <v>3831.2063100902374</v>
      </c>
      <c r="AK55" s="220">
        <f t="shared" si="105"/>
        <v>4755.8449273848082</v>
      </c>
      <c r="AL55" s="244">
        <f t="shared" si="119"/>
        <v>10158.39514647219</v>
      </c>
      <c r="AM55" s="220">
        <f t="shared" si="119"/>
        <v>9905.3577779078478</v>
      </c>
      <c r="AN55" s="220">
        <f t="shared" si="107"/>
        <v>9990.5883100902374</v>
      </c>
      <c r="AO55" s="220">
        <f t="shared" si="108"/>
        <v>9946.1629273848084</v>
      </c>
      <c r="AP55" s="220">
        <f t="shared" si="112"/>
        <v>-253.03736856434261</v>
      </c>
      <c r="AQ55" s="220">
        <f t="shared" si="109"/>
        <v>-44.425382705429001</v>
      </c>
      <c r="AR55" s="243">
        <f t="shared" si="110"/>
        <v>34.039030164631782</v>
      </c>
      <c r="AS55" s="46"/>
    </row>
    <row r="56" spans="1:45">
      <c r="A56" s="228" t="s">
        <v>362</v>
      </c>
      <c r="B56" s="228" t="s">
        <v>377</v>
      </c>
      <c r="C56" s="64"/>
      <c r="D56" s="246">
        <v>759</v>
      </c>
      <c r="E56" s="203">
        <v>25640</v>
      </c>
      <c r="F56" s="203">
        <v>27771</v>
      </c>
      <c r="G56" s="203">
        <f t="shared" si="111"/>
        <v>2131</v>
      </c>
      <c r="H56" s="220">
        <f t="shared" si="88"/>
        <v>33.781291172595523</v>
      </c>
      <c r="I56" s="220">
        <f t="shared" si="89"/>
        <v>36.588932806324109</v>
      </c>
      <c r="J56" s="244">
        <f>E56*Emissionsfaktorer!E$11</f>
        <v>11512.36</v>
      </c>
      <c r="K56" s="339">
        <f>F56*Emissionsfaktorer!E$12</f>
        <v>10497.438</v>
      </c>
      <c r="L56" s="203">
        <v>1542</v>
      </c>
      <c r="M56" s="203">
        <v>1259</v>
      </c>
      <c r="N56" s="220">
        <f t="shared" si="86"/>
        <v>66353.801999999996</v>
      </c>
      <c r="O56" s="220">
        <f t="shared" si="87"/>
        <v>54176.029000000002</v>
      </c>
      <c r="P56" s="230">
        <f t="shared" si="117"/>
        <v>-12177.772999999994</v>
      </c>
      <c r="Q56" s="230">
        <f t="shared" si="90"/>
        <v>87.422664031620542</v>
      </c>
      <c r="R56" s="230">
        <f t="shared" si="91"/>
        <v>71.378167325428194</v>
      </c>
      <c r="S56" s="341"/>
      <c r="T56" s="220">
        <f>Emissionsfaktorer!E$17*N56</f>
        <v>6635.3801999999996</v>
      </c>
      <c r="U56" s="243">
        <f>Emissionsfaktorer!E$18*O56</f>
        <v>5038.3706970000003</v>
      </c>
      <c r="V56" s="244">
        <f t="shared" si="118"/>
        <v>18147.7402</v>
      </c>
      <c r="W56" s="220">
        <f t="shared" si="118"/>
        <v>15535.808697</v>
      </c>
      <c r="X56" s="220">
        <f t="shared" si="93"/>
        <v>-2611.9315029999998</v>
      </c>
      <c r="Y56" s="243">
        <f t="shared" si="94"/>
        <v>20.468786162055338</v>
      </c>
      <c r="Z56" s="220">
        <f t="shared" si="95"/>
        <v>56817.143993109101</v>
      </c>
      <c r="AA56" s="220">
        <f t="shared" si="96"/>
        <v>56118.690493344489</v>
      </c>
      <c r="AB56" s="220">
        <f t="shared" si="97"/>
        <v>54432.979491386373</v>
      </c>
      <c r="AC56" s="220">
        <f t="shared" si="98"/>
        <v>56604.355866680606</v>
      </c>
      <c r="AD56" s="230">
        <f t="shared" si="99"/>
        <v>-698.45349976461148</v>
      </c>
      <c r="AE56" s="230">
        <f t="shared" si="100"/>
        <v>74.857897224122667</v>
      </c>
      <c r="AF56" s="230">
        <f t="shared" si="101"/>
        <v>73.937668634182458</v>
      </c>
      <c r="AG56" s="341">
        <f>Emissionsfaktorer!E$16</f>
        <v>8.5999999999999993E-2</v>
      </c>
      <c r="AH56" s="220">
        <f t="shared" si="102"/>
        <v>4886.2743834073826</v>
      </c>
      <c r="AI56" s="243">
        <f t="shared" si="103"/>
        <v>4826.2073824276258</v>
      </c>
      <c r="AJ56" s="220">
        <f t="shared" si="104"/>
        <v>4681.2362362592276</v>
      </c>
      <c r="AK56" s="220">
        <f t="shared" si="105"/>
        <v>4867.9746045345319</v>
      </c>
      <c r="AL56" s="244">
        <f t="shared" si="119"/>
        <v>16398.634383407385</v>
      </c>
      <c r="AM56" s="220">
        <f t="shared" si="119"/>
        <v>15323.645382427625</v>
      </c>
      <c r="AN56" s="220">
        <f t="shared" si="107"/>
        <v>16193.596236259229</v>
      </c>
      <c r="AO56" s="220">
        <f t="shared" si="108"/>
        <v>15365.412604534533</v>
      </c>
      <c r="AP56" s="220">
        <f t="shared" si="112"/>
        <v>-1074.98900097976</v>
      </c>
      <c r="AQ56" s="220">
        <f t="shared" si="109"/>
        <v>-828.18363172469617</v>
      </c>
      <c r="AR56" s="243">
        <f t="shared" si="110"/>
        <v>20.189256103330205</v>
      </c>
      <c r="AS56" s="46"/>
    </row>
    <row r="57" spans="1:45">
      <c r="A57" s="251" t="s">
        <v>280</v>
      </c>
      <c r="B57" s="252"/>
      <c r="C57" s="251"/>
      <c r="D57" s="253">
        <f>SUM(D2:D56)</f>
        <v>24381</v>
      </c>
      <c r="E57" s="255">
        <f>SUM(E2:E56)</f>
        <v>957689</v>
      </c>
      <c r="F57" s="255">
        <f>SUM(F2:F56)</f>
        <v>923240</v>
      </c>
      <c r="G57" s="255">
        <f>SUM(G2:G56)</f>
        <v>-34449</v>
      </c>
      <c r="H57" s="256">
        <f t="shared" si="88"/>
        <v>39.280136171609037</v>
      </c>
      <c r="I57" s="256">
        <f t="shared" si="89"/>
        <v>37.867191665641279</v>
      </c>
      <c r="J57" s="340">
        <f t="shared" ref="J57:P57" si="120">SUM(J2:J56)</f>
        <v>430002.36099999998</v>
      </c>
      <c r="K57" s="258">
        <f t="shared" si="120"/>
        <v>348984.72000000003</v>
      </c>
      <c r="L57" s="255">
        <f t="shared" si="120"/>
        <v>83886.7</v>
      </c>
      <c r="M57" s="255">
        <f t="shared" si="120"/>
        <v>74596.800000000017</v>
      </c>
      <c r="N57" s="255">
        <f t="shared" si="120"/>
        <v>3609728.5877</v>
      </c>
      <c r="O57" s="255">
        <f t="shared" si="120"/>
        <v>3209974.9008000004</v>
      </c>
      <c r="P57" s="256">
        <f t="shared" si="120"/>
        <v>-399753.68690000003</v>
      </c>
      <c r="Q57" s="257">
        <f t="shared" si="90"/>
        <v>148.05498493499036</v>
      </c>
      <c r="R57" s="257">
        <f t="shared" si="91"/>
        <v>131.65886964439525</v>
      </c>
      <c r="S57" s="254"/>
      <c r="T57" s="256">
        <f>SUM(T2:T56)</f>
        <v>448443.82280299999</v>
      </c>
      <c r="U57" s="258">
        <f>SUM(U2:U56)</f>
        <v>364286.45231880003</v>
      </c>
      <c r="V57" s="340">
        <f>SUM(V2:V56)</f>
        <v>878446.18380299979</v>
      </c>
      <c r="W57" s="256">
        <f>SUM(W2:W56)</f>
        <v>713271.17231879989</v>
      </c>
      <c r="X57" s="256">
        <f>SUM(X2:X56)</f>
        <v>-165175.01148420005</v>
      </c>
      <c r="Y57" s="259">
        <f t="shared" si="94"/>
        <v>29.255205788064472</v>
      </c>
      <c r="Z57" s="256">
        <f>SUM(Z2:Z56)</f>
        <v>3090922.6413792125</v>
      </c>
      <c r="AA57" s="256">
        <f>SUM(AA2:AA56)</f>
        <v>3325079.2144510886</v>
      </c>
      <c r="AB57" s="256">
        <f>SUM(AB2:AB56)</f>
        <v>2961221.1547990157</v>
      </c>
      <c r="AC57" s="256">
        <f>SUM(AC2:AC56)</f>
        <v>3353855.2928638603</v>
      </c>
      <c r="AD57" s="256">
        <f>SUM(AD2:AD56)</f>
        <v>234156.57307187552</v>
      </c>
      <c r="AE57" s="257">
        <f t="shared" si="100"/>
        <v>126.77587635368576</v>
      </c>
      <c r="AF57" s="257">
        <f t="shared" si="101"/>
        <v>136.37993578815835</v>
      </c>
      <c r="AG57" s="254"/>
      <c r="AH57" s="256">
        <f t="shared" ref="AH57:AQ57" si="121">SUM(AH2:AH56)</f>
        <v>378772.89427778299</v>
      </c>
      <c r="AI57" s="258">
        <f t="shared" si="121"/>
        <v>397421.54737625649</v>
      </c>
      <c r="AJ57" s="256">
        <f t="shared" si="121"/>
        <v>362878.80271870381</v>
      </c>
      <c r="AK57" s="258">
        <f t="shared" si="121"/>
        <v>400860.9341916205</v>
      </c>
      <c r="AL57" s="340">
        <f t="shared" si="121"/>
        <v>808775.25527778291</v>
      </c>
      <c r="AM57" s="256">
        <f t="shared" si="121"/>
        <v>746406.26737625618</v>
      </c>
      <c r="AN57" s="340">
        <f t="shared" si="121"/>
        <v>792881.16371870378</v>
      </c>
      <c r="AO57" s="256">
        <f t="shared" si="121"/>
        <v>749845.65419162076</v>
      </c>
      <c r="AP57" s="256">
        <f t="shared" si="121"/>
        <v>-62368.987901526649</v>
      </c>
      <c r="AQ57" s="256">
        <f t="shared" si="121"/>
        <v>-43035.509527083297</v>
      </c>
      <c r="AR57" s="259">
        <f t="shared" si="110"/>
        <v>30.614259766878149</v>
      </c>
      <c r="AS57" s="50"/>
    </row>
    <row r="58" spans="1:45" ht="45" customHeight="1">
      <c r="A58" s="39" t="s">
        <v>220</v>
      </c>
      <c r="B58" s="40" t="s">
        <v>240</v>
      </c>
      <c r="C58" s="39"/>
      <c r="D58" s="40" t="s">
        <v>265</v>
      </c>
      <c r="E58" s="38" t="s">
        <v>266</v>
      </c>
      <c r="F58" s="38" t="s">
        <v>267</v>
      </c>
      <c r="G58" s="44" t="s">
        <v>386</v>
      </c>
      <c r="H58" s="160" t="s">
        <v>268</v>
      </c>
      <c r="I58" s="160" t="s">
        <v>269</v>
      </c>
      <c r="J58" s="43" t="s">
        <v>270</v>
      </c>
      <c r="K58" s="136" t="s">
        <v>271</v>
      </c>
      <c r="L58" s="42" t="s">
        <v>374</v>
      </c>
      <c r="M58" s="42" t="s">
        <v>375</v>
      </c>
      <c r="N58" s="42" t="s">
        <v>272</v>
      </c>
      <c r="O58" s="42" t="s">
        <v>273</v>
      </c>
      <c r="P58" s="44" t="s">
        <v>386</v>
      </c>
      <c r="Q58" s="160" t="s">
        <v>268</v>
      </c>
      <c r="R58" s="160" t="s">
        <v>269</v>
      </c>
      <c r="S58" s="43" t="s">
        <v>274</v>
      </c>
      <c r="T58" s="38" t="s">
        <v>275</v>
      </c>
      <c r="U58" s="136" t="s">
        <v>276</v>
      </c>
      <c r="V58" s="43" t="s">
        <v>277</v>
      </c>
      <c r="W58" s="38" t="s">
        <v>278</v>
      </c>
      <c r="X58" s="44" t="s">
        <v>279</v>
      </c>
      <c r="Y58" s="136" t="s">
        <v>284</v>
      </c>
      <c r="Z58" s="38" t="s">
        <v>432</v>
      </c>
      <c r="AA58" s="38" t="s">
        <v>433</v>
      </c>
      <c r="AB58" s="38" t="s">
        <v>434</v>
      </c>
      <c r="AC58" s="38" t="s">
        <v>435</v>
      </c>
      <c r="AD58" s="44" t="s">
        <v>386</v>
      </c>
      <c r="AE58" s="160" t="s">
        <v>268</v>
      </c>
      <c r="AF58" s="160" t="s">
        <v>269</v>
      </c>
      <c r="AG58" s="43" t="s">
        <v>274</v>
      </c>
      <c r="AH58" s="38" t="s">
        <v>275</v>
      </c>
      <c r="AI58" s="136" t="s">
        <v>276</v>
      </c>
      <c r="AJ58" s="344" t="s">
        <v>436</v>
      </c>
      <c r="AK58" s="38" t="s">
        <v>437</v>
      </c>
      <c r="AL58" s="43" t="s">
        <v>277</v>
      </c>
      <c r="AM58" s="38" t="s">
        <v>278</v>
      </c>
      <c r="AN58" s="344" t="s">
        <v>436</v>
      </c>
      <c r="AO58" s="38" t="s">
        <v>437</v>
      </c>
      <c r="AP58" s="44" t="s">
        <v>279</v>
      </c>
      <c r="AQ58" s="44"/>
      <c r="AR58" s="136" t="s">
        <v>284</v>
      </c>
      <c r="AS58" s="20" t="s">
        <v>264</v>
      </c>
    </row>
    <row r="59" spans="1:45">
      <c r="A59" s="247" t="s">
        <v>3</v>
      </c>
      <c r="B59" s="228" t="s">
        <v>221</v>
      </c>
      <c r="C59" s="64"/>
      <c r="D59" s="248">
        <v>350</v>
      </c>
      <c r="E59" s="203">
        <v>9637</v>
      </c>
      <c r="F59" s="203">
        <v>9114</v>
      </c>
      <c r="G59" s="203">
        <f>F59-E59</f>
        <v>-523</v>
      </c>
      <c r="H59" s="220">
        <f t="shared" ref="H59:H75" si="122">E59/D59</f>
        <v>27.534285714285716</v>
      </c>
      <c r="I59" s="220">
        <f t="shared" ref="I59:I75" si="123">F59/D59</f>
        <v>26.04</v>
      </c>
      <c r="J59" s="244">
        <f>E59*Emissionsfaktorer!E$11</f>
        <v>4327.0129999999999</v>
      </c>
      <c r="K59" s="339">
        <f>F59*Emissionsfaktorer!E$12</f>
        <v>3445.0920000000001</v>
      </c>
      <c r="L59" s="203">
        <v>1409</v>
      </c>
      <c r="M59" s="203">
        <v>1262</v>
      </c>
      <c r="N59" s="220">
        <f t="shared" ref="N59:N73" si="124">L59*N$76*1.163</f>
        <v>60630.679000000004</v>
      </c>
      <c r="O59" s="220">
        <f t="shared" ref="O59:O73" si="125">M59*O$76*1.163</f>
        <v>54305.122000000003</v>
      </c>
      <c r="P59" s="230">
        <f>O59-N59</f>
        <v>-6325.5570000000007</v>
      </c>
      <c r="Q59" s="230">
        <f t="shared" ref="Q59:Q75" si="126">N59/D59</f>
        <v>173.23051142857145</v>
      </c>
      <c r="R59" s="230">
        <f t="shared" ref="R59:R75" si="127">O59/D59</f>
        <v>155.15749142857143</v>
      </c>
      <c r="S59" s="342"/>
      <c r="T59" s="220">
        <f>Emissionsfaktorer!E$17*N59</f>
        <v>6063.0679000000009</v>
      </c>
      <c r="U59" s="243">
        <f>Emissionsfaktorer!E$18*O59</f>
        <v>5050.376346</v>
      </c>
      <c r="V59" s="244">
        <f>J59+T59</f>
        <v>10390.080900000001</v>
      </c>
      <c r="W59" s="220">
        <f>K59+U59</f>
        <v>8495.4683459999997</v>
      </c>
      <c r="X59" s="220">
        <f t="shared" ref="X59:X73" si="128">W59-V59</f>
        <v>-1894.6125540000012</v>
      </c>
      <c r="Y59" s="243">
        <f t="shared" ref="Y59:Y76" si="129">W59/D59</f>
        <v>24.27276670285714</v>
      </c>
      <c r="Z59" s="220">
        <f t="shared" ref="Z59:Z73" si="130">((N59*0.8)/(1.219))+(N59*0.2)</f>
        <v>51916.573207711248</v>
      </c>
      <c r="AA59" s="220">
        <f t="shared" ref="AA59:AA73" si="131">((O59*0.8)/(0.9571))+(O59*0.2)</f>
        <v>56252.412551708301</v>
      </c>
      <c r="AB59" s="220">
        <f t="shared" ref="AB59:AB73" si="132">N59/1.219</f>
        <v>49738.046759639044</v>
      </c>
      <c r="AC59" s="220">
        <f t="shared" ref="AC59:AC73" si="133">O59/0.9571</f>
        <v>56739.235189635365</v>
      </c>
      <c r="AD59" s="230">
        <f t="shared" ref="AD59:AD73" si="134">AA59-Z59</f>
        <v>4335.8393439970532</v>
      </c>
      <c r="AE59" s="230">
        <f t="shared" ref="AE59:AE75" si="135">Z59/D59</f>
        <v>148.33306630774644</v>
      </c>
      <c r="AF59" s="230">
        <f t="shared" ref="AF59:AF75" si="136">AA59/D59</f>
        <v>160.72117871916657</v>
      </c>
      <c r="AG59" s="341">
        <f>Emissionsfaktorer!E$16</f>
        <v>8.5999999999999993E-2</v>
      </c>
      <c r="AH59" s="220">
        <f t="shared" ref="AH59:AH73" si="137">AG59*Z59</f>
        <v>4464.8252958631674</v>
      </c>
      <c r="AI59" s="243">
        <f t="shared" ref="AI59:AI73" si="138">AG59*AA59</f>
        <v>4837.7074794469136</v>
      </c>
      <c r="AJ59" s="220">
        <f t="shared" ref="AJ59:AJ73" si="139">AB59*AG59</f>
        <v>4277.4720213289575</v>
      </c>
      <c r="AK59" s="220">
        <f t="shared" ref="AK59:AK73" si="140">AC59*AG59</f>
        <v>4879.5742263086413</v>
      </c>
      <c r="AL59" s="244">
        <f>J59+AH59</f>
        <v>8791.8382958631664</v>
      </c>
      <c r="AM59" s="230">
        <f>K59+AI59</f>
        <v>8282.7994794469141</v>
      </c>
      <c r="AN59" s="220">
        <f t="shared" ref="AN59:AN73" si="141">J59+AJ59</f>
        <v>8604.4850213289574</v>
      </c>
      <c r="AO59" s="220">
        <f t="shared" ref="AO59:AO73" si="142">K59+AK59</f>
        <v>8324.6662263086419</v>
      </c>
      <c r="AP59" s="220">
        <f t="shared" ref="AP59:AP73" si="143">AM59-AL59</f>
        <v>-509.0388164162523</v>
      </c>
      <c r="AQ59" s="220">
        <f t="shared" ref="AQ59:AQ73" si="144">AO59-AN59</f>
        <v>-279.81879502031552</v>
      </c>
      <c r="AR59" s="243">
        <f t="shared" ref="AR59:AR76" si="145">AM59/D59</f>
        <v>23.665141369848325</v>
      </c>
      <c r="AS59" s="46"/>
    </row>
    <row r="60" spans="1:45">
      <c r="A60" s="247"/>
      <c r="B60" s="228" t="s">
        <v>363</v>
      </c>
      <c r="C60" s="64"/>
      <c r="D60" s="246">
        <v>234</v>
      </c>
      <c r="E60" s="203">
        <v>3906</v>
      </c>
      <c r="F60" s="203">
        <v>4368</v>
      </c>
      <c r="G60" s="203">
        <f>F60-E60</f>
        <v>462</v>
      </c>
      <c r="H60" s="220">
        <f t="shared" si="122"/>
        <v>16.692307692307693</v>
      </c>
      <c r="I60" s="220">
        <f t="shared" si="123"/>
        <v>18.666666666666668</v>
      </c>
      <c r="J60" s="244">
        <f>E60*Emissionsfaktorer!E$11</f>
        <v>1753.7940000000001</v>
      </c>
      <c r="K60" s="339">
        <f>F60*Emissionsfaktorer!E$12</f>
        <v>1651.104</v>
      </c>
      <c r="L60" s="203"/>
      <c r="M60" s="203"/>
      <c r="N60" s="220">
        <f t="shared" si="124"/>
        <v>0</v>
      </c>
      <c r="O60" s="220">
        <f t="shared" si="125"/>
        <v>0</v>
      </c>
      <c r="P60" s="230">
        <f t="shared" ref="P60:P73" si="146">O60-N60</f>
        <v>0</v>
      </c>
      <c r="Q60" s="230">
        <f t="shared" si="126"/>
        <v>0</v>
      </c>
      <c r="R60" s="230">
        <f t="shared" si="127"/>
        <v>0</v>
      </c>
      <c r="S60" s="342"/>
      <c r="T60" s="220">
        <f>Emissionsfaktorer!E$17*N60</f>
        <v>0</v>
      </c>
      <c r="U60" s="243">
        <f>Emissionsfaktorer!E$18*O60</f>
        <v>0</v>
      </c>
      <c r="V60" s="244">
        <f>J60+T60</f>
        <v>1753.7940000000001</v>
      </c>
      <c r="W60" s="220">
        <f>K60+U60</f>
        <v>1651.104</v>
      </c>
      <c r="X60" s="220">
        <f t="shared" si="128"/>
        <v>-102.69000000000005</v>
      </c>
      <c r="Y60" s="243">
        <f t="shared" si="129"/>
        <v>7.056</v>
      </c>
      <c r="Z60" s="220">
        <f t="shared" si="130"/>
        <v>0</v>
      </c>
      <c r="AA60" s="220">
        <f t="shared" si="131"/>
        <v>0</v>
      </c>
      <c r="AB60" s="220">
        <f t="shared" si="132"/>
        <v>0</v>
      </c>
      <c r="AC60" s="220">
        <f t="shared" si="133"/>
        <v>0</v>
      </c>
      <c r="AD60" s="230">
        <f t="shared" si="134"/>
        <v>0</v>
      </c>
      <c r="AE60" s="230">
        <f t="shared" si="135"/>
        <v>0</v>
      </c>
      <c r="AF60" s="230">
        <f t="shared" si="136"/>
        <v>0</v>
      </c>
      <c r="AG60" s="341">
        <f>Emissionsfaktorer!E$16</f>
        <v>8.5999999999999993E-2</v>
      </c>
      <c r="AH60" s="220">
        <f t="shared" si="137"/>
        <v>0</v>
      </c>
      <c r="AI60" s="243">
        <f t="shared" si="138"/>
        <v>0</v>
      </c>
      <c r="AJ60" s="220">
        <f t="shared" si="139"/>
        <v>0</v>
      </c>
      <c r="AK60" s="220">
        <f t="shared" si="140"/>
        <v>0</v>
      </c>
      <c r="AL60" s="244">
        <f>J60+AH60</f>
        <v>1753.7940000000001</v>
      </c>
      <c r="AM60" s="230">
        <f>K60+AI60</f>
        <v>1651.104</v>
      </c>
      <c r="AN60" s="220">
        <f t="shared" si="141"/>
        <v>1753.7940000000001</v>
      </c>
      <c r="AO60" s="220">
        <f t="shared" si="142"/>
        <v>1651.104</v>
      </c>
      <c r="AP60" s="220">
        <f t="shared" si="143"/>
        <v>-102.69000000000005</v>
      </c>
      <c r="AQ60" s="220">
        <f t="shared" si="144"/>
        <v>-102.69000000000005</v>
      </c>
      <c r="AR60" s="243">
        <f t="shared" si="145"/>
        <v>7.056</v>
      </c>
      <c r="AS60" s="46"/>
    </row>
    <row r="61" spans="1:45">
      <c r="A61" s="249"/>
      <c r="B61" s="228" t="s">
        <v>222</v>
      </c>
      <c r="C61" s="249"/>
      <c r="D61" s="245">
        <v>767</v>
      </c>
      <c r="E61" s="203">
        <v>49053</v>
      </c>
      <c r="F61" s="203">
        <v>47408</v>
      </c>
      <c r="G61" s="203">
        <f t="shared" ref="G61:G73" si="147">F61-E61</f>
        <v>-1645</v>
      </c>
      <c r="H61" s="220">
        <f t="shared" si="122"/>
        <v>63.954367666232073</v>
      </c>
      <c r="I61" s="220">
        <f t="shared" si="123"/>
        <v>61.809647979139505</v>
      </c>
      <c r="J61" s="244">
        <f>E61*Emissionsfaktorer!E$11</f>
        <v>22024.797000000002</v>
      </c>
      <c r="K61" s="339">
        <f>F61*Emissionsfaktorer!E$12</f>
        <v>17920.223999999998</v>
      </c>
      <c r="L61" s="203">
        <v>1639</v>
      </c>
      <c r="M61" s="203">
        <v>1678</v>
      </c>
      <c r="N61" s="220">
        <f t="shared" si="124"/>
        <v>70527.809000000008</v>
      </c>
      <c r="O61" s="220">
        <f t="shared" si="125"/>
        <v>72206.017999999996</v>
      </c>
      <c r="P61" s="230">
        <f t="shared" si="146"/>
        <v>1678.208999999988</v>
      </c>
      <c r="Q61" s="230">
        <f t="shared" si="126"/>
        <v>91.952814863103015</v>
      </c>
      <c r="R61" s="230">
        <f t="shared" si="127"/>
        <v>94.140831812255541</v>
      </c>
      <c r="S61" s="342"/>
      <c r="T61" s="220">
        <f>Emissionsfaktorer!E$17*N61</f>
        <v>7052.7809000000016</v>
      </c>
      <c r="U61" s="243">
        <f>Emissionsfaktorer!E$18*O61</f>
        <v>6715.1596739999995</v>
      </c>
      <c r="V61" s="244">
        <f t="shared" ref="V61:W64" si="148">J61+T61</f>
        <v>29077.577900000004</v>
      </c>
      <c r="W61" s="220">
        <f t="shared" si="148"/>
        <v>24635.383673999997</v>
      </c>
      <c r="X61" s="220">
        <f t="shared" si="128"/>
        <v>-4442.1942260000069</v>
      </c>
      <c r="Y61" s="243">
        <f t="shared" si="129"/>
        <v>32.119144294654497</v>
      </c>
      <c r="Z61" s="220">
        <f t="shared" si="130"/>
        <v>60391.244490730118</v>
      </c>
      <c r="AA61" s="220">
        <f t="shared" si="131"/>
        <v>74795.204644822908</v>
      </c>
      <c r="AB61" s="220">
        <f t="shared" si="132"/>
        <v>57857.103363412636</v>
      </c>
      <c r="AC61" s="220">
        <f t="shared" si="133"/>
        <v>75442.501306028629</v>
      </c>
      <c r="AD61" s="230">
        <f t="shared" si="134"/>
        <v>14403.960154092791</v>
      </c>
      <c r="AE61" s="230">
        <f t="shared" si="135"/>
        <v>78.736955007470812</v>
      </c>
      <c r="AF61" s="230">
        <f t="shared" si="136"/>
        <v>97.516564074084627</v>
      </c>
      <c r="AG61" s="341">
        <f>Emissionsfaktorer!E$16</f>
        <v>8.5999999999999993E-2</v>
      </c>
      <c r="AH61" s="220">
        <f t="shared" si="137"/>
        <v>5193.6470262027897</v>
      </c>
      <c r="AI61" s="243">
        <f t="shared" si="138"/>
        <v>6432.3875994547698</v>
      </c>
      <c r="AJ61" s="220">
        <f t="shared" si="139"/>
        <v>4975.7108892534861</v>
      </c>
      <c r="AK61" s="220">
        <f t="shared" si="140"/>
        <v>6488.0551123184614</v>
      </c>
      <c r="AL61" s="244">
        <f t="shared" ref="AL61:AM64" si="149">J61+AH61</f>
        <v>27218.444026202793</v>
      </c>
      <c r="AM61" s="230">
        <f t="shared" si="149"/>
        <v>24352.611599454769</v>
      </c>
      <c r="AN61" s="220">
        <f t="shared" si="141"/>
        <v>27000.507889253488</v>
      </c>
      <c r="AO61" s="220">
        <f t="shared" si="142"/>
        <v>24408.279112318458</v>
      </c>
      <c r="AP61" s="220">
        <f t="shared" si="143"/>
        <v>-2865.8324267480239</v>
      </c>
      <c r="AQ61" s="220">
        <f t="shared" si="144"/>
        <v>-2592.2287769350296</v>
      </c>
      <c r="AR61" s="243">
        <f t="shared" si="145"/>
        <v>31.75047144648601</v>
      </c>
      <c r="AS61" s="46"/>
    </row>
    <row r="62" spans="1:45" s="333" customFormat="1">
      <c r="A62" s="227" t="s">
        <v>46</v>
      </c>
      <c r="B62" s="228" t="s">
        <v>223</v>
      </c>
      <c r="C62" s="64" t="s">
        <v>365</v>
      </c>
      <c r="D62" s="245">
        <v>356</v>
      </c>
      <c r="E62" s="203">
        <v>10596</v>
      </c>
      <c r="F62" s="203">
        <v>10020</v>
      </c>
      <c r="G62" s="203">
        <f t="shared" si="147"/>
        <v>-576</v>
      </c>
      <c r="H62" s="220">
        <f t="shared" si="122"/>
        <v>29.764044943820224</v>
      </c>
      <c r="I62" s="220">
        <f t="shared" si="123"/>
        <v>28.146067415730336</v>
      </c>
      <c r="J62" s="244">
        <f>E62*Emissionsfaktorer!E$11</f>
        <v>4757.6040000000003</v>
      </c>
      <c r="K62" s="339">
        <f>F62*Emissionsfaktorer!E$12</f>
        <v>3787.56</v>
      </c>
      <c r="L62" s="203">
        <v>1367</v>
      </c>
      <c r="M62" s="203">
        <v>1065</v>
      </c>
      <c r="N62" s="220">
        <f t="shared" si="124"/>
        <v>58823.377</v>
      </c>
      <c r="O62" s="220">
        <f t="shared" si="125"/>
        <v>45828.014999999999</v>
      </c>
      <c r="P62" s="230">
        <f t="shared" si="146"/>
        <v>-12995.362000000001</v>
      </c>
      <c r="Q62" s="230">
        <f t="shared" si="126"/>
        <v>165.23420505617977</v>
      </c>
      <c r="R62" s="230">
        <f t="shared" si="127"/>
        <v>128.73037921348313</v>
      </c>
      <c r="S62" s="342"/>
      <c r="T62" s="220">
        <f>Emissionsfaktorer!E$17*N62</f>
        <v>5882.3377</v>
      </c>
      <c r="U62" s="243">
        <f>Emissionsfaktorer!E$18*O62</f>
        <v>4262.0053950000001</v>
      </c>
      <c r="V62" s="244">
        <f t="shared" si="148"/>
        <v>10639.941699999999</v>
      </c>
      <c r="W62" s="220">
        <f t="shared" si="148"/>
        <v>8049.5653949999996</v>
      </c>
      <c r="X62" s="220">
        <f t="shared" si="128"/>
        <v>-2590.3763049999998</v>
      </c>
      <c r="Y62" s="243">
        <f t="shared" si="129"/>
        <v>22.611138749999999</v>
      </c>
      <c r="Z62" s="220">
        <f t="shared" si="130"/>
        <v>50369.024538638223</v>
      </c>
      <c r="AA62" s="220">
        <f t="shared" si="131"/>
        <v>47471.330719151614</v>
      </c>
      <c r="AB62" s="220">
        <f t="shared" si="132"/>
        <v>48255.436423297782</v>
      </c>
      <c r="AC62" s="220">
        <f t="shared" si="133"/>
        <v>47882.159648939509</v>
      </c>
      <c r="AD62" s="230">
        <f t="shared" si="134"/>
        <v>-2897.6938194866088</v>
      </c>
      <c r="AE62" s="230">
        <f t="shared" si="135"/>
        <v>141.48602398493884</v>
      </c>
      <c r="AF62" s="230">
        <f t="shared" si="136"/>
        <v>133.34643460435848</v>
      </c>
      <c r="AG62" s="341">
        <f>Emissionsfaktorer!E$16</f>
        <v>8.5999999999999993E-2</v>
      </c>
      <c r="AH62" s="220">
        <f t="shared" si="137"/>
        <v>4331.7361103228868</v>
      </c>
      <c r="AI62" s="243">
        <f t="shared" si="138"/>
        <v>4082.5344418470386</v>
      </c>
      <c r="AJ62" s="220">
        <f t="shared" si="139"/>
        <v>4149.9675324036089</v>
      </c>
      <c r="AK62" s="220">
        <f t="shared" si="140"/>
        <v>4117.8657298087974</v>
      </c>
      <c r="AL62" s="244">
        <f t="shared" si="149"/>
        <v>9089.3401103228862</v>
      </c>
      <c r="AM62" s="230">
        <f t="shared" si="149"/>
        <v>7870.094441847039</v>
      </c>
      <c r="AN62" s="220">
        <f t="shared" si="141"/>
        <v>8907.57153240361</v>
      </c>
      <c r="AO62" s="220">
        <f t="shared" si="142"/>
        <v>7905.4257298087978</v>
      </c>
      <c r="AP62" s="220">
        <f t="shared" si="143"/>
        <v>-1219.2456684758472</v>
      </c>
      <c r="AQ62" s="220">
        <f t="shared" si="144"/>
        <v>-1002.1458025948123</v>
      </c>
      <c r="AR62" s="243">
        <f t="shared" si="145"/>
        <v>22.107006859120897</v>
      </c>
      <c r="AS62" s="229"/>
    </row>
    <row r="63" spans="1:45">
      <c r="A63" s="227"/>
      <c r="B63" s="228" t="s">
        <v>364</v>
      </c>
      <c r="C63" s="64"/>
      <c r="D63" s="246">
        <v>202</v>
      </c>
      <c r="E63" s="203">
        <v>4517</v>
      </c>
      <c r="F63" s="203">
        <v>4408</v>
      </c>
      <c r="G63" s="203">
        <f t="shared" si="147"/>
        <v>-109</v>
      </c>
      <c r="H63" s="220">
        <f t="shared" si="122"/>
        <v>22.361386138613863</v>
      </c>
      <c r="I63" s="220">
        <f t="shared" si="123"/>
        <v>21.821782178217823</v>
      </c>
      <c r="J63" s="244">
        <f>E63*Emissionsfaktorer!E$11</f>
        <v>2028.133</v>
      </c>
      <c r="K63" s="339">
        <f>F63*Emissionsfaktorer!E$12</f>
        <v>1666.2239999999999</v>
      </c>
      <c r="L63" s="203"/>
      <c r="M63" s="203"/>
      <c r="N63" s="220">
        <f t="shared" si="124"/>
        <v>0</v>
      </c>
      <c r="O63" s="220">
        <f t="shared" si="125"/>
        <v>0</v>
      </c>
      <c r="P63" s="230">
        <f t="shared" si="146"/>
        <v>0</v>
      </c>
      <c r="Q63" s="230">
        <f t="shared" si="126"/>
        <v>0</v>
      </c>
      <c r="R63" s="230">
        <f t="shared" si="127"/>
        <v>0</v>
      </c>
      <c r="S63" s="342"/>
      <c r="T63" s="220">
        <f>Emissionsfaktorer!E$17*N63</f>
        <v>0</v>
      </c>
      <c r="U63" s="243">
        <f>Emissionsfaktorer!E$18*O63</f>
        <v>0</v>
      </c>
      <c r="V63" s="244">
        <f t="shared" si="148"/>
        <v>2028.133</v>
      </c>
      <c r="W63" s="220">
        <f t="shared" si="148"/>
        <v>1666.2239999999999</v>
      </c>
      <c r="X63" s="220">
        <f t="shared" si="128"/>
        <v>-361.90900000000011</v>
      </c>
      <c r="Y63" s="243">
        <f t="shared" si="129"/>
        <v>8.248633663366336</v>
      </c>
      <c r="Z63" s="220">
        <f t="shared" si="130"/>
        <v>0</v>
      </c>
      <c r="AA63" s="220">
        <f t="shared" si="131"/>
        <v>0</v>
      </c>
      <c r="AB63" s="220">
        <f t="shared" si="132"/>
        <v>0</v>
      </c>
      <c r="AC63" s="220">
        <f t="shared" si="133"/>
        <v>0</v>
      </c>
      <c r="AD63" s="230">
        <f t="shared" si="134"/>
        <v>0</v>
      </c>
      <c r="AE63" s="230">
        <f t="shared" si="135"/>
        <v>0</v>
      </c>
      <c r="AF63" s="230">
        <f t="shared" si="136"/>
        <v>0</v>
      </c>
      <c r="AG63" s="341">
        <f>Emissionsfaktorer!E$16</f>
        <v>8.5999999999999993E-2</v>
      </c>
      <c r="AH63" s="220">
        <f t="shared" si="137"/>
        <v>0</v>
      </c>
      <c r="AI63" s="243">
        <f t="shared" si="138"/>
        <v>0</v>
      </c>
      <c r="AJ63" s="220">
        <f t="shared" si="139"/>
        <v>0</v>
      </c>
      <c r="AK63" s="220">
        <f t="shared" si="140"/>
        <v>0</v>
      </c>
      <c r="AL63" s="244">
        <f t="shared" si="149"/>
        <v>2028.133</v>
      </c>
      <c r="AM63" s="230">
        <f t="shared" si="149"/>
        <v>1666.2239999999999</v>
      </c>
      <c r="AN63" s="220">
        <f t="shared" si="141"/>
        <v>2028.133</v>
      </c>
      <c r="AO63" s="220">
        <f t="shared" si="142"/>
        <v>1666.2239999999999</v>
      </c>
      <c r="AP63" s="220">
        <f t="shared" si="143"/>
        <v>-361.90900000000011</v>
      </c>
      <c r="AQ63" s="220">
        <f t="shared" si="144"/>
        <v>-361.90900000000011</v>
      </c>
      <c r="AR63" s="243">
        <f t="shared" si="145"/>
        <v>8.248633663366336</v>
      </c>
      <c r="AS63" s="46"/>
    </row>
    <row r="64" spans="1:45">
      <c r="A64" s="227" t="s">
        <v>5</v>
      </c>
      <c r="B64" s="228" t="s">
        <v>224</v>
      </c>
      <c r="C64" s="64"/>
      <c r="D64" s="248">
        <v>280</v>
      </c>
      <c r="E64" s="203">
        <v>7553</v>
      </c>
      <c r="F64" s="203">
        <v>7482</v>
      </c>
      <c r="G64" s="203">
        <f t="shared" si="147"/>
        <v>-71</v>
      </c>
      <c r="H64" s="220">
        <f t="shared" si="122"/>
        <v>26.975000000000001</v>
      </c>
      <c r="I64" s="220">
        <f t="shared" si="123"/>
        <v>26.721428571428572</v>
      </c>
      <c r="J64" s="244">
        <f>E64*Emissionsfaktorer!E$11</f>
        <v>3391.297</v>
      </c>
      <c r="K64" s="339">
        <f>F64*Emissionsfaktorer!E$12</f>
        <v>2828.1959999999999</v>
      </c>
      <c r="L64" s="203">
        <v>1326</v>
      </c>
      <c r="M64" s="203">
        <v>1336</v>
      </c>
      <c r="N64" s="220">
        <f t="shared" si="124"/>
        <v>57059.106</v>
      </c>
      <c r="O64" s="220">
        <f t="shared" si="125"/>
        <v>57489.416000000005</v>
      </c>
      <c r="P64" s="230">
        <f t="shared" si="146"/>
        <v>430.31000000000495</v>
      </c>
      <c r="Q64" s="230">
        <f t="shared" si="126"/>
        <v>203.78252142857141</v>
      </c>
      <c r="R64" s="230">
        <f t="shared" si="127"/>
        <v>205.31934285714289</v>
      </c>
      <c r="S64" s="342"/>
      <c r="T64" s="220">
        <f>Emissionsfaktorer!E$17*N64</f>
        <v>5705.9106000000002</v>
      </c>
      <c r="U64" s="243">
        <f>Emissionsfaktorer!E$18*O64</f>
        <v>5346.5156880000004</v>
      </c>
      <c r="V64" s="244">
        <f t="shared" si="148"/>
        <v>9097.2075999999997</v>
      </c>
      <c r="W64" s="220">
        <f t="shared" si="148"/>
        <v>8174.7116880000003</v>
      </c>
      <c r="X64" s="220">
        <f t="shared" si="128"/>
        <v>-922.49591199999941</v>
      </c>
      <c r="Y64" s="243">
        <f t="shared" si="129"/>
        <v>29.195398885714287</v>
      </c>
      <c r="Z64" s="220">
        <f t="shared" si="130"/>
        <v>48858.322266447904</v>
      </c>
      <c r="AA64" s="220">
        <f t="shared" si="131"/>
        <v>59550.889991348879</v>
      </c>
      <c r="AB64" s="220">
        <f t="shared" si="132"/>
        <v>46808.126333059881</v>
      </c>
      <c r="AC64" s="220">
        <f t="shared" si="133"/>
        <v>60066.25848918609</v>
      </c>
      <c r="AD64" s="230">
        <f t="shared" si="134"/>
        <v>10692.567724900975</v>
      </c>
      <c r="AE64" s="230">
        <f t="shared" si="135"/>
        <v>174.4940080944568</v>
      </c>
      <c r="AF64" s="230">
        <f t="shared" si="136"/>
        <v>212.68174996910315</v>
      </c>
      <c r="AG64" s="341">
        <f>Emissionsfaktorer!E$16</f>
        <v>8.5999999999999993E-2</v>
      </c>
      <c r="AH64" s="220">
        <f t="shared" si="137"/>
        <v>4201.815714914519</v>
      </c>
      <c r="AI64" s="243">
        <f t="shared" si="138"/>
        <v>5121.3765392560035</v>
      </c>
      <c r="AJ64" s="220">
        <f t="shared" si="139"/>
        <v>4025.4988646431493</v>
      </c>
      <c r="AK64" s="220">
        <f t="shared" si="140"/>
        <v>5165.6982300700029</v>
      </c>
      <c r="AL64" s="244">
        <f t="shared" si="149"/>
        <v>7593.1127149145195</v>
      </c>
      <c r="AM64" s="230">
        <f t="shared" si="149"/>
        <v>7949.5725392560034</v>
      </c>
      <c r="AN64" s="220">
        <f t="shared" si="141"/>
        <v>7416.7958646431489</v>
      </c>
      <c r="AO64" s="220">
        <f t="shared" si="142"/>
        <v>7993.8942300700028</v>
      </c>
      <c r="AP64" s="220">
        <f t="shared" si="143"/>
        <v>356.45982434148391</v>
      </c>
      <c r="AQ64" s="220">
        <f t="shared" si="144"/>
        <v>577.09836542685389</v>
      </c>
      <c r="AR64" s="243">
        <f t="shared" si="145"/>
        <v>28.391330497342871</v>
      </c>
      <c r="AS64" s="46"/>
    </row>
    <row r="65" spans="1:46">
      <c r="A65" s="227" t="s">
        <v>12</v>
      </c>
      <c r="B65" s="228" t="s">
        <v>225</v>
      </c>
      <c r="C65" s="64"/>
      <c r="D65" s="245">
        <v>463</v>
      </c>
      <c r="E65" s="203">
        <v>80075</v>
      </c>
      <c r="F65" s="203">
        <v>85060</v>
      </c>
      <c r="G65" s="203">
        <f t="shared" si="147"/>
        <v>4985</v>
      </c>
      <c r="H65" s="220">
        <f t="shared" si="122"/>
        <v>172.94816414686824</v>
      </c>
      <c r="I65" s="220">
        <f t="shared" si="123"/>
        <v>183.71490280777539</v>
      </c>
      <c r="J65" s="244">
        <f>E65*Emissionsfaktorer!E$11</f>
        <v>35953.675000000003</v>
      </c>
      <c r="K65" s="339">
        <f>F65*Emissionsfaktorer!E$12</f>
        <v>32152.68</v>
      </c>
      <c r="L65" s="203">
        <v>6989</v>
      </c>
      <c r="M65" s="203">
        <v>6370</v>
      </c>
      <c r="N65" s="220">
        <f t="shared" si="124"/>
        <v>300743.65899999999</v>
      </c>
      <c r="O65" s="220">
        <f t="shared" si="125"/>
        <v>274107.47000000003</v>
      </c>
      <c r="P65" s="230">
        <f t="shared" si="146"/>
        <v>-26636.188999999955</v>
      </c>
      <c r="Q65" s="230">
        <f t="shared" si="126"/>
        <v>649.55433909287251</v>
      </c>
      <c r="R65" s="230">
        <f t="shared" si="127"/>
        <v>592.02477321814263</v>
      </c>
      <c r="S65" s="342"/>
      <c r="T65" s="220">
        <f>Emissionsfaktorer!E$17*N65</f>
        <v>30074.365900000001</v>
      </c>
      <c r="U65" s="243">
        <f>Emissionsfaktorer!E$18*O65</f>
        <v>25491.994710000003</v>
      </c>
      <c r="V65" s="244">
        <f t="shared" ref="V65:W70" si="150">J65+T65</f>
        <v>66028.040900000007</v>
      </c>
      <c r="W65" s="220">
        <f t="shared" si="150"/>
        <v>57644.674710000007</v>
      </c>
      <c r="X65" s="220">
        <f t="shared" si="128"/>
        <v>-8383.3661900000006</v>
      </c>
      <c r="Y65" s="243">
        <f t="shared" si="129"/>
        <v>124.50253717062637</v>
      </c>
      <c r="Z65" s="220">
        <f t="shared" si="130"/>
        <v>257519.46781312552</v>
      </c>
      <c r="AA65" s="220">
        <f t="shared" si="131"/>
        <v>283936.50392581761</v>
      </c>
      <c r="AB65" s="220">
        <f t="shared" si="132"/>
        <v>246713.42001640686</v>
      </c>
      <c r="AC65" s="220">
        <f t="shared" si="133"/>
        <v>286393.76240727201</v>
      </c>
      <c r="AD65" s="230">
        <f t="shared" si="134"/>
        <v>26417.036112692091</v>
      </c>
      <c r="AE65" s="230">
        <f t="shared" si="135"/>
        <v>556.1975546719774</v>
      </c>
      <c r="AF65" s="230">
        <f t="shared" si="136"/>
        <v>613.25378817671185</v>
      </c>
      <c r="AG65" s="341">
        <f>Emissionsfaktorer!E$16</f>
        <v>8.5999999999999993E-2</v>
      </c>
      <c r="AH65" s="220">
        <f t="shared" si="137"/>
        <v>22146.674231928791</v>
      </c>
      <c r="AI65" s="243">
        <f t="shared" si="138"/>
        <v>24418.539337620314</v>
      </c>
      <c r="AJ65" s="220">
        <f t="shared" si="139"/>
        <v>21217.35412141099</v>
      </c>
      <c r="AK65" s="220">
        <f t="shared" si="140"/>
        <v>24629.86356702539</v>
      </c>
      <c r="AL65" s="244">
        <f t="shared" ref="AL65:AM70" si="151">J65+AH65</f>
        <v>58100.349231928791</v>
      </c>
      <c r="AM65" s="230">
        <f t="shared" si="151"/>
        <v>56571.219337620314</v>
      </c>
      <c r="AN65" s="220">
        <f t="shared" si="141"/>
        <v>57171.029121410989</v>
      </c>
      <c r="AO65" s="220">
        <f t="shared" si="142"/>
        <v>56782.543567025394</v>
      </c>
      <c r="AP65" s="220">
        <f t="shared" si="143"/>
        <v>-1529.1298943084767</v>
      </c>
      <c r="AQ65" s="220">
        <f t="shared" si="144"/>
        <v>-388.48555438559561</v>
      </c>
      <c r="AR65" s="243">
        <f t="shared" si="145"/>
        <v>122.18405904453631</v>
      </c>
      <c r="AS65" s="46"/>
    </row>
    <row r="66" spans="1:46">
      <c r="A66" s="234" t="s">
        <v>51</v>
      </c>
      <c r="B66" s="228" t="s">
        <v>226</v>
      </c>
      <c r="C66" s="64"/>
      <c r="D66" s="245">
        <v>403</v>
      </c>
      <c r="E66" s="203">
        <v>11292</v>
      </c>
      <c r="F66" s="203">
        <v>11766</v>
      </c>
      <c r="G66" s="203">
        <f t="shared" si="147"/>
        <v>474</v>
      </c>
      <c r="H66" s="220">
        <f t="shared" si="122"/>
        <v>28.019851116625311</v>
      </c>
      <c r="I66" s="220">
        <f t="shared" si="123"/>
        <v>29.196029776674937</v>
      </c>
      <c r="J66" s="244">
        <f>E66*Emissionsfaktorer!E$11</f>
        <v>5070.1080000000002</v>
      </c>
      <c r="K66" s="339">
        <f>F66*Emissionsfaktorer!E$12</f>
        <v>4447.5479999999998</v>
      </c>
      <c r="L66" s="203">
        <v>1262</v>
      </c>
      <c r="M66" s="203">
        <v>1200</v>
      </c>
      <c r="N66" s="220">
        <f t="shared" si="124"/>
        <v>54305.122000000003</v>
      </c>
      <c r="O66" s="220">
        <f t="shared" si="125"/>
        <v>51637.200000000004</v>
      </c>
      <c r="P66" s="230">
        <f t="shared" si="146"/>
        <v>-2667.9219999999987</v>
      </c>
      <c r="Q66" s="230">
        <f t="shared" si="126"/>
        <v>134.75216377171216</v>
      </c>
      <c r="R66" s="230">
        <f t="shared" si="127"/>
        <v>128.13200992555832</v>
      </c>
      <c r="S66" s="342"/>
      <c r="T66" s="220">
        <f>Emissionsfaktorer!E$17*N66</f>
        <v>5430.512200000001</v>
      </c>
      <c r="U66" s="243">
        <f>Emissionsfaktorer!E$18*O66</f>
        <v>4802.2596000000003</v>
      </c>
      <c r="V66" s="244">
        <f t="shared" si="150"/>
        <v>10500.620200000001</v>
      </c>
      <c r="W66" s="220">
        <f t="shared" si="150"/>
        <v>9249.8076000000001</v>
      </c>
      <c r="X66" s="220">
        <f t="shared" si="128"/>
        <v>-1250.8126000000011</v>
      </c>
      <c r="Y66" s="243">
        <f t="shared" si="129"/>
        <v>22.95237617866005</v>
      </c>
      <c r="Z66" s="220">
        <f t="shared" si="130"/>
        <v>46500.152865955708</v>
      </c>
      <c r="AA66" s="220">
        <f t="shared" si="131"/>
        <v>53488.823345522949</v>
      </c>
      <c r="AB66" s="220">
        <f t="shared" si="132"/>
        <v>44548.910582444623</v>
      </c>
      <c r="AC66" s="220">
        <f t="shared" si="133"/>
        <v>53951.729181903676</v>
      </c>
      <c r="AD66" s="230">
        <f t="shared" si="134"/>
        <v>6988.6704795672413</v>
      </c>
      <c r="AE66" s="230">
        <f t="shared" si="135"/>
        <v>115.38499470460474</v>
      </c>
      <c r="AF66" s="230">
        <f t="shared" si="136"/>
        <v>132.7266087978237</v>
      </c>
      <c r="AG66" s="341">
        <f>Emissionsfaktorer!E$16</f>
        <v>8.5999999999999993E-2</v>
      </c>
      <c r="AH66" s="220">
        <f t="shared" si="137"/>
        <v>3999.0131464721908</v>
      </c>
      <c r="AI66" s="243">
        <f t="shared" si="138"/>
        <v>4600.0388077149737</v>
      </c>
      <c r="AJ66" s="220">
        <f t="shared" si="139"/>
        <v>3831.2063100902374</v>
      </c>
      <c r="AK66" s="220">
        <f t="shared" si="140"/>
        <v>4639.8487096437157</v>
      </c>
      <c r="AL66" s="244">
        <f t="shared" si="151"/>
        <v>9069.121146472191</v>
      </c>
      <c r="AM66" s="230">
        <f t="shared" si="151"/>
        <v>9047.5868077149735</v>
      </c>
      <c r="AN66" s="220">
        <f t="shared" si="141"/>
        <v>8901.314310090238</v>
      </c>
      <c r="AO66" s="220">
        <f t="shared" si="142"/>
        <v>9087.3967096437154</v>
      </c>
      <c r="AP66" s="220">
        <f t="shared" si="143"/>
        <v>-21.534338757217483</v>
      </c>
      <c r="AQ66" s="220">
        <f t="shared" si="144"/>
        <v>186.08239955347744</v>
      </c>
      <c r="AR66" s="243">
        <f t="shared" si="145"/>
        <v>22.450587612195964</v>
      </c>
      <c r="AS66" s="46"/>
    </row>
    <row r="67" spans="1:46">
      <c r="A67" s="227" t="s">
        <v>31</v>
      </c>
      <c r="B67" s="228" t="s">
        <v>227</v>
      </c>
      <c r="C67" s="64"/>
      <c r="D67" s="245">
        <v>328</v>
      </c>
      <c r="E67" s="203">
        <v>12871</v>
      </c>
      <c r="F67" s="203">
        <v>12612</v>
      </c>
      <c r="G67" s="203">
        <f t="shared" si="147"/>
        <v>-259</v>
      </c>
      <c r="H67" s="220">
        <f t="shared" si="122"/>
        <v>39.240853658536587</v>
      </c>
      <c r="I67" s="220">
        <f t="shared" si="123"/>
        <v>38.451219512195124</v>
      </c>
      <c r="J67" s="244">
        <f>E67*Emissionsfaktorer!E$11</f>
        <v>5779.0789999999997</v>
      </c>
      <c r="K67" s="339">
        <f>F67*Emissionsfaktorer!E$12</f>
        <v>4767.3360000000002</v>
      </c>
      <c r="L67" s="203">
        <v>1397</v>
      </c>
      <c r="M67" s="203">
        <v>1081</v>
      </c>
      <c r="N67" s="220">
        <f t="shared" si="124"/>
        <v>60114.307000000001</v>
      </c>
      <c r="O67" s="220">
        <f t="shared" si="125"/>
        <v>46516.510999999999</v>
      </c>
      <c r="P67" s="230">
        <f t="shared" si="146"/>
        <v>-13597.796000000002</v>
      </c>
      <c r="Q67" s="230">
        <f t="shared" si="126"/>
        <v>183.27532621951221</v>
      </c>
      <c r="R67" s="230">
        <f t="shared" si="127"/>
        <v>141.81863109756097</v>
      </c>
      <c r="S67" s="342"/>
      <c r="T67" s="220">
        <f>Emissionsfaktorer!E$17*N67</f>
        <v>6011.4307000000008</v>
      </c>
      <c r="U67" s="243">
        <f>Emissionsfaktorer!E$18*O67</f>
        <v>4326.0355229999996</v>
      </c>
      <c r="V67" s="244">
        <f t="shared" si="150"/>
        <v>11790.509700000001</v>
      </c>
      <c r="W67" s="220">
        <f t="shared" si="150"/>
        <v>9093.3715229999998</v>
      </c>
      <c r="X67" s="220">
        <f t="shared" si="128"/>
        <v>-2697.1381770000007</v>
      </c>
      <c r="Y67" s="243">
        <f t="shared" si="129"/>
        <v>27.723693667682927</v>
      </c>
      <c r="Z67" s="220">
        <f t="shared" si="130"/>
        <v>51474.416445118957</v>
      </c>
      <c r="AA67" s="220">
        <f t="shared" si="131"/>
        <v>48184.515030425246</v>
      </c>
      <c r="AB67" s="220">
        <f t="shared" si="132"/>
        <v>49314.443806398682</v>
      </c>
      <c r="AC67" s="220">
        <f t="shared" si="133"/>
        <v>48601.516038031557</v>
      </c>
      <c r="AD67" s="230">
        <f t="shared" si="134"/>
        <v>-3289.9014146937116</v>
      </c>
      <c r="AE67" s="230">
        <f t="shared" si="135"/>
        <v>156.93419647902121</v>
      </c>
      <c r="AF67" s="230">
        <f t="shared" si="136"/>
        <v>146.90400923910136</v>
      </c>
      <c r="AG67" s="341">
        <f>Emissionsfaktorer!E$16</f>
        <v>8.5999999999999993E-2</v>
      </c>
      <c r="AH67" s="220">
        <f t="shared" si="137"/>
        <v>4426.7998142802298</v>
      </c>
      <c r="AI67" s="243">
        <f t="shared" si="138"/>
        <v>4143.8682926165711</v>
      </c>
      <c r="AJ67" s="220">
        <f t="shared" si="139"/>
        <v>4241.042167350286</v>
      </c>
      <c r="AK67" s="220">
        <f t="shared" si="140"/>
        <v>4179.7303792707135</v>
      </c>
      <c r="AL67" s="244">
        <f t="shared" si="151"/>
        <v>10205.87881428023</v>
      </c>
      <c r="AM67" s="230">
        <f t="shared" si="151"/>
        <v>8911.2042926165705</v>
      </c>
      <c r="AN67" s="220">
        <f t="shared" si="141"/>
        <v>10020.121167350286</v>
      </c>
      <c r="AO67" s="220">
        <f t="shared" si="142"/>
        <v>8947.0663792707128</v>
      </c>
      <c r="AP67" s="220">
        <f t="shared" si="143"/>
        <v>-1294.6745216636591</v>
      </c>
      <c r="AQ67" s="220">
        <f t="shared" si="144"/>
        <v>-1073.054788079573</v>
      </c>
      <c r="AR67" s="243">
        <f t="shared" si="145"/>
        <v>27.16830577017247</v>
      </c>
      <c r="AS67" s="46"/>
      <c r="AT67" s="224"/>
    </row>
    <row r="68" spans="1:46">
      <c r="A68" s="227" t="s">
        <v>43</v>
      </c>
      <c r="B68" s="228" t="s">
        <v>228</v>
      </c>
      <c r="C68" s="64"/>
      <c r="D68" s="245">
        <v>875</v>
      </c>
      <c r="E68" s="203">
        <v>27001</v>
      </c>
      <c r="F68" s="203">
        <v>26437</v>
      </c>
      <c r="G68" s="203">
        <f t="shared" si="147"/>
        <v>-564</v>
      </c>
      <c r="H68" s="220">
        <f t="shared" si="122"/>
        <v>30.858285714285714</v>
      </c>
      <c r="I68" s="220">
        <f t="shared" si="123"/>
        <v>30.213714285714286</v>
      </c>
      <c r="J68" s="244">
        <f>E68*Emissionsfaktorer!E$11</f>
        <v>12123.449000000001</v>
      </c>
      <c r="K68" s="339">
        <f>F68*Emissionsfaktorer!E$12</f>
        <v>9993.1859999999997</v>
      </c>
      <c r="L68" s="203">
        <v>2666</v>
      </c>
      <c r="M68" s="203">
        <v>2239</v>
      </c>
      <c r="N68" s="220">
        <f t="shared" si="124"/>
        <v>114720.64600000001</v>
      </c>
      <c r="O68" s="220">
        <f t="shared" si="125"/>
        <v>96346.409</v>
      </c>
      <c r="P68" s="230">
        <f t="shared" si="146"/>
        <v>-18374.237000000008</v>
      </c>
      <c r="Q68" s="230">
        <f t="shared" si="126"/>
        <v>131.10930971428573</v>
      </c>
      <c r="R68" s="230">
        <f t="shared" si="127"/>
        <v>110.11018171428572</v>
      </c>
      <c r="S68" s="342"/>
      <c r="T68" s="220">
        <f>Emissionsfaktorer!E$17*N68</f>
        <v>11472.064600000002</v>
      </c>
      <c r="U68" s="243">
        <f>Emissionsfaktorer!E$18*O68</f>
        <v>8960.2160370000001</v>
      </c>
      <c r="V68" s="244">
        <f t="shared" si="150"/>
        <v>23595.513600000002</v>
      </c>
      <c r="W68" s="220">
        <f t="shared" si="150"/>
        <v>18953.402037</v>
      </c>
      <c r="X68" s="220">
        <f t="shared" si="128"/>
        <v>-4642.1115630000022</v>
      </c>
      <c r="Y68" s="243">
        <f t="shared" si="129"/>
        <v>21.661030899428571</v>
      </c>
      <c r="Z68" s="220">
        <f t="shared" si="130"/>
        <v>98232.494089253509</v>
      </c>
      <c r="AA68" s="220">
        <f t="shared" si="131"/>
        <v>99801.229558854873</v>
      </c>
      <c r="AB68" s="220">
        <f t="shared" si="132"/>
        <v>94110.456111566862</v>
      </c>
      <c r="AC68" s="220">
        <f t="shared" si="133"/>
        <v>100664.9346985686</v>
      </c>
      <c r="AD68" s="230">
        <f t="shared" si="134"/>
        <v>1568.7354696013645</v>
      </c>
      <c r="AE68" s="230">
        <f t="shared" si="135"/>
        <v>112.26570753057544</v>
      </c>
      <c r="AF68" s="230">
        <f t="shared" si="136"/>
        <v>114.05854806726271</v>
      </c>
      <c r="AG68" s="341">
        <f>Emissionsfaktorer!E$16</f>
        <v>8.5999999999999993E-2</v>
      </c>
      <c r="AH68" s="220">
        <f t="shared" si="137"/>
        <v>8447.9944916758013</v>
      </c>
      <c r="AI68" s="243">
        <f t="shared" si="138"/>
        <v>8582.905742061519</v>
      </c>
      <c r="AJ68" s="220">
        <f t="shared" si="139"/>
        <v>8093.4992255947491</v>
      </c>
      <c r="AK68" s="220">
        <f t="shared" si="140"/>
        <v>8657.1843840768979</v>
      </c>
      <c r="AL68" s="244">
        <f t="shared" si="151"/>
        <v>20571.443491675804</v>
      </c>
      <c r="AM68" s="230">
        <f t="shared" si="151"/>
        <v>18576.091742061519</v>
      </c>
      <c r="AN68" s="220">
        <f t="shared" si="141"/>
        <v>20216.948225594751</v>
      </c>
      <c r="AO68" s="220">
        <f t="shared" si="142"/>
        <v>18650.370384076898</v>
      </c>
      <c r="AP68" s="220">
        <f t="shared" si="143"/>
        <v>-1995.3517496142849</v>
      </c>
      <c r="AQ68" s="220">
        <f t="shared" si="144"/>
        <v>-1566.5778415178538</v>
      </c>
      <c r="AR68" s="243">
        <f t="shared" si="145"/>
        <v>21.229819133784591</v>
      </c>
      <c r="AS68" s="46"/>
    </row>
    <row r="69" spans="1:46">
      <c r="A69" s="227" t="s">
        <v>20</v>
      </c>
      <c r="B69" s="228" t="s">
        <v>229</v>
      </c>
      <c r="C69" s="64"/>
      <c r="D69" s="245">
        <v>174</v>
      </c>
      <c r="E69" s="203">
        <v>26015</v>
      </c>
      <c r="F69" s="203">
        <v>25146</v>
      </c>
      <c r="G69" s="203">
        <f t="shared" si="147"/>
        <v>-869</v>
      </c>
      <c r="H69" s="220">
        <f t="shared" si="122"/>
        <v>149.51149425287358</v>
      </c>
      <c r="I69" s="220">
        <f t="shared" si="123"/>
        <v>144.51724137931035</v>
      </c>
      <c r="J69" s="244">
        <f>E69*Emissionsfaktorer!E$11</f>
        <v>11680.735000000001</v>
      </c>
      <c r="K69" s="339">
        <f>F69*Emissionsfaktorer!E$12</f>
        <v>9505.1880000000001</v>
      </c>
      <c r="L69" s="203">
        <v>1863</v>
      </c>
      <c r="M69" s="203">
        <v>1771</v>
      </c>
      <c r="N69" s="220">
        <f t="shared" si="124"/>
        <v>80166.752999999997</v>
      </c>
      <c r="O69" s="220">
        <f t="shared" si="125"/>
        <v>76207.900999999998</v>
      </c>
      <c r="P69" s="230">
        <f t="shared" si="146"/>
        <v>-3958.851999999999</v>
      </c>
      <c r="Q69" s="230">
        <f t="shared" si="126"/>
        <v>460.72846551724137</v>
      </c>
      <c r="R69" s="230">
        <f t="shared" si="127"/>
        <v>437.97644252873562</v>
      </c>
      <c r="S69" s="342"/>
      <c r="T69" s="220">
        <f>Emissionsfaktorer!E$17*N69</f>
        <v>8016.6752999999999</v>
      </c>
      <c r="U69" s="243">
        <f>Emissionsfaktorer!E$18*O69</f>
        <v>7087.334793</v>
      </c>
      <c r="V69" s="244">
        <f t="shared" si="150"/>
        <v>19697.4103</v>
      </c>
      <c r="W69" s="220">
        <f t="shared" si="150"/>
        <v>16592.522793</v>
      </c>
      <c r="X69" s="220">
        <f t="shared" si="128"/>
        <v>-3104.8875069999995</v>
      </c>
      <c r="Y69" s="243">
        <f t="shared" si="129"/>
        <v>95.359326396551722</v>
      </c>
      <c r="Z69" s="220">
        <f t="shared" si="130"/>
        <v>68644.837392452828</v>
      </c>
      <c r="AA69" s="220">
        <f t="shared" si="131"/>
        <v>78940.588454100929</v>
      </c>
      <c r="AB69" s="220">
        <f t="shared" si="132"/>
        <v>65764.358490566025</v>
      </c>
      <c r="AC69" s="220">
        <f t="shared" si="133"/>
        <v>79623.760317626162</v>
      </c>
      <c r="AD69" s="230">
        <f t="shared" si="134"/>
        <v>10295.751061648101</v>
      </c>
      <c r="AE69" s="230">
        <f t="shared" si="135"/>
        <v>394.51055972674038</v>
      </c>
      <c r="AF69" s="230">
        <f t="shared" si="136"/>
        <v>453.68154283966049</v>
      </c>
      <c r="AG69" s="341">
        <f>Emissionsfaktorer!E$16</f>
        <v>8.5999999999999993E-2</v>
      </c>
      <c r="AH69" s="220">
        <f t="shared" si="137"/>
        <v>5903.4560157509432</v>
      </c>
      <c r="AI69" s="243">
        <f t="shared" si="138"/>
        <v>6788.8906070526791</v>
      </c>
      <c r="AJ69" s="220">
        <f t="shared" si="139"/>
        <v>5655.7348301886777</v>
      </c>
      <c r="AK69" s="220">
        <f t="shared" si="140"/>
        <v>6847.6433873158494</v>
      </c>
      <c r="AL69" s="244">
        <f t="shared" si="151"/>
        <v>17584.191015750945</v>
      </c>
      <c r="AM69" s="230">
        <f t="shared" si="151"/>
        <v>16294.078607052679</v>
      </c>
      <c r="AN69" s="220">
        <f t="shared" si="141"/>
        <v>17336.469830188678</v>
      </c>
      <c r="AO69" s="220">
        <f t="shared" si="142"/>
        <v>16352.831387315849</v>
      </c>
      <c r="AP69" s="220">
        <f t="shared" si="143"/>
        <v>-1290.1124086982654</v>
      </c>
      <c r="AQ69" s="220">
        <f t="shared" si="144"/>
        <v>-983.63844287282882</v>
      </c>
      <c r="AR69" s="243">
        <f t="shared" si="145"/>
        <v>93.644129925590107</v>
      </c>
      <c r="AS69" s="46"/>
    </row>
    <row r="70" spans="1:46">
      <c r="A70" s="227" t="s">
        <v>52</v>
      </c>
      <c r="B70" s="228" t="s">
        <v>230</v>
      </c>
      <c r="C70" s="64"/>
      <c r="D70" s="245">
        <v>1031</v>
      </c>
      <c r="E70" s="203">
        <v>42765</v>
      </c>
      <c r="F70" s="203">
        <v>42121</v>
      </c>
      <c r="G70" s="203">
        <f t="shared" si="147"/>
        <v>-644</v>
      </c>
      <c r="H70" s="220">
        <f t="shared" si="122"/>
        <v>41.479146459747817</v>
      </c>
      <c r="I70" s="220">
        <f t="shared" si="123"/>
        <v>40.854510184287101</v>
      </c>
      <c r="J70" s="244">
        <f>E70*Emissionsfaktorer!E$11</f>
        <v>19201.485000000001</v>
      </c>
      <c r="K70" s="339">
        <f>F70*Emissionsfaktorer!E$12</f>
        <v>15921.737999999999</v>
      </c>
      <c r="L70" s="203">
        <v>3500</v>
      </c>
      <c r="M70" s="203">
        <v>3689</v>
      </c>
      <c r="N70" s="220">
        <f t="shared" si="124"/>
        <v>150608.5</v>
      </c>
      <c r="O70" s="220">
        <f t="shared" si="125"/>
        <v>158741.359</v>
      </c>
      <c r="P70" s="230">
        <f t="shared" si="146"/>
        <v>8132.8589999999967</v>
      </c>
      <c r="Q70" s="230">
        <f t="shared" si="126"/>
        <v>146.08001939864209</v>
      </c>
      <c r="R70" s="230">
        <f t="shared" si="127"/>
        <v>153.96834044616875</v>
      </c>
      <c r="S70" s="342"/>
      <c r="T70" s="220">
        <f>Emissionsfaktorer!E$17*N70</f>
        <v>15060.85</v>
      </c>
      <c r="U70" s="243">
        <f>Emissionsfaktorer!E$18*O70</f>
        <v>14762.946387</v>
      </c>
      <c r="V70" s="244">
        <f t="shared" si="150"/>
        <v>34262.334999999999</v>
      </c>
      <c r="W70" s="220">
        <f t="shared" si="150"/>
        <v>30684.684387000001</v>
      </c>
      <c r="X70" s="220">
        <f t="shared" si="128"/>
        <v>-3577.650612999998</v>
      </c>
      <c r="Y70" s="243">
        <f t="shared" si="129"/>
        <v>29.762060511154221</v>
      </c>
      <c r="Z70" s="220">
        <f t="shared" si="130"/>
        <v>128962.38908941754</v>
      </c>
      <c r="AA70" s="220">
        <f t="shared" si="131"/>
        <v>164433.55776802846</v>
      </c>
      <c r="AB70" s="220">
        <f t="shared" si="132"/>
        <v>123550.86136177194</v>
      </c>
      <c r="AC70" s="220">
        <f t="shared" si="133"/>
        <v>165856.60746003554</v>
      </c>
      <c r="AD70" s="230">
        <f t="shared" si="134"/>
        <v>35471.16867861092</v>
      </c>
      <c r="AE70" s="230">
        <f t="shared" si="135"/>
        <v>125.08476148343118</v>
      </c>
      <c r="AF70" s="230">
        <f t="shared" si="136"/>
        <v>159.48938677791315</v>
      </c>
      <c r="AG70" s="341">
        <f>Emissionsfaktorer!E$16</f>
        <v>8.5999999999999993E-2</v>
      </c>
      <c r="AH70" s="220">
        <f t="shared" si="137"/>
        <v>11090.765461689907</v>
      </c>
      <c r="AI70" s="243">
        <f t="shared" si="138"/>
        <v>14141.285968050446</v>
      </c>
      <c r="AJ70" s="220">
        <f t="shared" si="139"/>
        <v>10625.374077112387</v>
      </c>
      <c r="AK70" s="220">
        <f t="shared" si="140"/>
        <v>14263.668241563055</v>
      </c>
      <c r="AL70" s="244">
        <f t="shared" si="151"/>
        <v>30292.25046168991</v>
      </c>
      <c r="AM70" s="230">
        <f t="shared" si="151"/>
        <v>30063.023968050446</v>
      </c>
      <c r="AN70" s="220">
        <f t="shared" si="141"/>
        <v>29826.859077112385</v>
      </c>
      <c r="AO70" s="220">
        <f t="shared" si="142"/>
        <v>30185.406241563054</v>
      </c>
      <c r="AP70" s="220">
        <f t="shared" si="143"/>
        <v>-229.22649363946402</v>
      </c>
      <c r="AQ70" s="220">
        <f t="shared" si="144"/>
        <v>358.54716445066879</v>
      </c>
      <c r="AR70" s="243">
        <f t="shared" si="145"/>
        <v>29.159092112561051</v>
      </c>
      <c r="AS70" s="46"/>
    </row>
    <row r="71" spans="1:46">
      <c r="A71" s="227" t="s">
        <v>26</v>
      </c>
      <c r="B71" s="228" t="s">
        <v>231</v>
      </c>
      <c r="C71" s="64"/>
      <c r="D71" s="245">
        <v>421</v>
      </c>
      <c r="E71" s="203">
        <v>11212</v>
      </c>
      <c r="F71" s="203">
        <v>9462</v>
      </c>
      <c r="G71" s="203">
        <f t="shared" si="147"/>
        <v>-1750</v>
      </c>
      <c r="H71" s="220">
        <f t="shared" si="122"/>
        <v>26.631828978622327</v>
      </c>
      <c r="I71" s="220">
        <f t="shared" si="123"/>
        <v>22.475059382422803</v>
      </c>
      <c r="J71" s="244">
        <f>E71*Emissionsfaktorer!E$11</f>
        <v>5034.1880000000001</v>
      </c>
      <c r="K71" s="339">
        <f>F71*Emissionsfaktorer!E$12</f>
        <v>3576.636</v>
      </c>
      <c r="L71" s="203">
        <v>1054</v>
      </c>
      <c r="M71" s="203">
        <v>891.5</v>
      </c>
      <c r="N71" s="220">
        <f t="shared" si="124"/>
        <v>45354.673999999999</v>
      </c>
      <c r="O71" s="220">
        <f t="shared" si="125"/>
        <v>38362.136500000001</v>
      </c>
      <c r="P71" s="230">
        <f t="shared" si="146"/>
        <v>-6992.5374999999985</v>
      </c>
      <c r="Q71" s="230">
        <f t="shared" si="126"/>
        <v>107.73081710213776</v>
      </c>
      <c r="R71" s="230">
        <f t="shared" si="127"/>
        <v>91.12146437054632</v>
      </c>
      <c r="S71" s="342"/>
      <c r="T71" s="220">
        <f>Emissionsfaktorer!E$17*N71</f>
        <v>4535.4674000000005</v>
      </c>
      <c r="U71" s="243">
        <f>Emissionsfaktorer!E$18*O71</f>
        <v>3567.6786944999999</v>
      </c>
      <c r="V71" s="244">
        <f t="shared" ref="V71:W73" si="152">J71+T71</f>
        <v>9569.6553999999996</v>
      </c>
      <c r="W71" s="220">
        <f t="shared" si="152"/>
        <v>7144.3146944999999</v>
      </c>
      <c r="X71" s="220">
        <f t="shared" si="128"/>
        <v>-2425.3407054999998</v>
      </c>
      <c r="Y71" s="243">
        <f t="shared" si="129"/>
        <v>16.969868633016628</v>
      </c>
      <c r="Z71" s="220">
        <f t="shared" si="130"/>
        <v>38836.102314356031</v>
      </c>
      <c r="AA71" s="220">
        <f t="shared" si="131"/>
        <v>39737.738343778081</v>
      </c>
      <c r="AB71" s="220">
        <f t="shared" si="132"/>
        <v>37206.459392945035</v>
      </c>
      <c r="AC71" s="220">
        <f t="shared" si="133"/>
        <v>40081.638804722599</v>
      </c>
      <c r="AD71" s="230">
        <f t="shared" si="134"/>
        <v>901.63602942205034</v>
      </c>
      <c r="AE71" s="230">
        <f t="shared" si="135"/>
        <v>92.247273905833808</v>
      </c>
      <c r="AF71" s="230">
        <f t="shared" si="136"/>
        <v>94.388927182370736</v>
      </c>
      <c r="AG71" s="341">
        <f>Emissionsfaktorer!E$16</f>
        <v>8.5999999999999993E-2</v>
      </c>
      <c r="AH71" s="220">
        <f t="shared" si="137"/>
        <v>3339.9047990346185</v>
      </c>
      <c r="AI71" s="243">
        <f t="shared" si="138"/>
        <v>3417.4454975649146</v>
      </c>
      <c r="AJ71" s="220">
        <f t="shared" si="139"/>
        <v>3199.755507793273</v>
      </c>
      <c r="AK71" s="220">
        <f t="shared" si="140"/>
        <v>3447.0209372061431</v>
      </c>
      <c r="AL71" s="244">
        <f t="shared" ref="AL71:AM73" si="153">J71+AH71</f>
        <v>8374.092799034619</v>
      </c>
      <c r="AM71" s="230">
        <f t="shared" si="153"/>
        <v>6994.0814975649146</v>
      </c>
      <c r="AN71" s="220">
        <f t="shared" si="141"/>
        <v>8233.9435077932721</v>
      </c>
      <c r="AO71" s="220">
        <f t="shared" si="142"/>
        <v>7023.6569372061431</v>
      </c>
      <c r="AP71" s="220">
        <f t="shared" si="143"/>
        <v>-1380.0113014697044</v>
      </c>
      <c r="AQ71" s="220">
        <f t="shared" si="144"/>
        <v>-1210.2865705871291</v>
      </c>
      <c r="AR71" s="243">
        <f t="shared" si="145"/>
        <v>16.613020184239701</v>
      </c>
      <c r="AS71" s="46"/>
    </row>
    <row r="72" spans="1:46">
      <c r="A72" s="227" t="s">
        <v>35</v>
      </c>
      <c r="B72" s="228" t="s">
        <v>232</v>
      </c>
      <c r="C72" s="64" t="s">
        <v>371</v>
      </c>
      <c r="D72" s="245">
        <v>426</v>
      </c>
      <c r="E72" s="203">
        <v>9041</v>
      </c>
      <c r="F72" s="203">
        <v>8635</v>
      </c>
      <c r="G72" s="203">
        <f t="shared" si="147"/>
        <v>-406</v>
      </c>
      <c r="H72" s="220">
        <f t="shared" si="122"/>
        <v>21.22300469483568</v>
      </c>
      <c r="I72" s="220">
        <f t="shared" si="123"/>
        <v>20.269953051643192</v>
      </c>
      <c r="J72" s="244">
        <f>E72*Emissionsfaktorer!E$11</f>
        <v>4059.4090000000001</v>
      </c>
      <c r="K72" s="339">
        <f>F72*Emissionsfaktorer!E$12</f>
        <v>3264.03</v>
      </c>
      <c r="L72" s="203">
        <v>1575</v>
      </c>
      <c r="M72" s="203">
        <v>1325</v>
      </c>
      <c r="N72" s="220">
        <f t="shared" si="124"/>
        <v>67773.824999999997</v>
      </c>
      <c r="O72" s="220">
        <f t="shared" si="125"/>
        <v>57016.075000000004</v>
      </c>
      <c r="P72" s="230">
        <f t="shared" si="146"/>
        <v>-10757.749999999993</v>
      </c>
      <c r="Q72" s="230">
        <f t="shared" si="126"/>
        <v>159.09348591549295</v>
      </c>
      <c r="R72" s="230">
        <f t="shared" si="127"/>
        <v>133.8405516431925</v>
      </c>
      <c r="S72" s="342"/>
      <c r="T72" s="220">
        <f>Emissionsfaktorer!E$25*N72</f>
        <v>13825.860299999998</v>
      </c>
      <c r="U72" s="243">
        <f>Emissionsfaktorer!E$26*O72</f>
        <v>11631.2793</v>
      </c>
      <c r="V72" s="244">
        <f t="shared" si="152"/>
        <v>17885.2693</v>
      </c>
      <c r="W72" s="220">
        <f t="shared" si="152"/>
        <v>14895.309300000001</v>
      </c>
      <c r="X72" s="220">
        <f t="shared" si="128"/>
        <v>-2989.9599999999991</v>
      </c>
      <c r="Y72" s="243">
        <f t="shared" si="129"/>
        <v>34.965514788732399</v>
      </c>
      <c r="Z72" s="220">
        <f t="shared" si="130"/>
        <v>58033.075090237893</v>
      </c>
      <c r="AA72" s="220">
        <f t="shared" si="131"/>
        <v>59060.575777348255</v>
      </c>
      <c r="AB72" s="220">
        <f t="shared" si="132"/>
        <v>55597.887612797371</v>
      </c>
      <c r="AC72" s="220">
        <f t="shared" si="133"/>
        <v>59571.700971685306</v>
      </c>
      <c r="AD72" s="230">
        <f t="shared" si="134"/>
        <v>1027.5006871103615</v>
      </c>
      <c r="AE72" s="230">
        <f t="shared" si="135"/>
        <v>136.22787579868049</v>
      </c>
      <c r="AF72" s="230">
        <f t="shared" si="136"/>
        <v>138.63984924260154</v>
      </c>
      <c r="AG72" s="341">
        <f>Emissionsfaktorer!E$24</f>
        <v>0.20399999999999999</v>
      </c>
      <c r="AH72" s="220">
        <f t="shared" si="137"/>
        <v>11838.74731840853</v>
      </c>
      <c r="AI72" s="243">
        <f t="shared" si="138"/>
        <v>12048.357458579043</v>
      </c>
      <c r="AJ72" s="220">
        <f t="shared" si="139"/>
        <v>11341.969073010663</v>
      </c>
      <c r="AK72" s="220">
        <f t="shared" si="140"/>
        <v>12152.626998223801</v>
      </c>
      <c r="AL72" s="244">
        <f t="shared" si="153"/>
        <v>15898.15631840853</v>
      </c>
      <c r="AM72" s="230">
        <f t="shared" si="153"/>
        <v>15312.387458579044</v>
      </c>
      <c r="AN72" s="220">
        <f t="shared" si="141"/>
        <v>15401.378073010663</v>
      </c>
      <c r="AO72" s="220">
        <f t="shared" si="142"/>
        <v>15416.656998223802</v>
      </c>
      <c r="AP72" s="220">
        <f t="shared" si="143"/>
        <v>-585.76885982948625</v>
      </c>
      <c r="AQ72" s="220">
        <f t="shared" si="144"/>
        <v>15.278925213138791</v>
      </c>
      <c r="AR72" s="243">
        <f t="shared" si="145"/>
        <v>35.944571499011836</v>
      </c>
      <c r="AS72" s="46"/>
    </row>
    <row r="73" spans="1:46">
      <c r="A73" s="227" t="s">
        <v>39</v>
      </c>
      <c r="B73" s="228" t="s">
        <v>233</v>
      </c>
      <c r="C73" s="64"/>
      <c r="D73" s="245">
        <v>380</v>
      </c>
      <c r="E73" s="203">
        <v>15008</v>
      </c>
      <c r="F73" s="203">
        <v>12566</v>
      </c>
      <c r="G73" s="203">
        <f t="shared" si="147"/>
        <v>-2442</v>
      </c>
      <c r="H73" s="220">
        <f t="shared" si="122"/>
        <v>39.494736842105262</v>
      </c>
      <c r="I73" s="220">
        <f t="shared" si="123"/>
        <v>33.068421052631578</v>
      </c>
      <c r="J73" s="244">
        <f>E73*Emissionsfaktorer!E$11</f>
        <v>6738.5920000000006</v>
      </c>
      <c r="K73" s="339">
        <f>F73*Emissionsfaktorer!E$12</f>
        <v>4749.9480000000003</v>
      </c>
      <c r="L73" s="203">
        <v>3094</v>
      </c>
      <c r="M73" s="203">
        <v>1742</v>
      </c>
      <c r="N73" s="220">
        <f t="shared" si="124"/>
        <v>133137.91399999999</v>
      </c>
      <c r="O73" s="220">
        <f t="shared" si="125"/>
        <v>74960.002000000008</v>
      </c>
      <c r="P73" s="230">
        <f t="shared" si="146"/>
        <v>-58177.911999999982</v>
      </c>
      <c r="Q73" s="230">
        <f t="shared" si="126"/>
        <v>350.36293157894733</v>
      </c>
      <c r="R73" s="230">
        <f t="shared" si="127"/>
        <v>197.26316315789475</v>
      </c>
      <c r="S73" s="342"/>
      <c r="T73" s="220">
        <f>Emissionsfaktorer!E$17*N73</f>
        <v>13313.7914</v>
      </c>
      <c r="U73" s="243">
        <f>Emissionsfaktorer!E$18*O73</f>
        <v>6971.2801860000009</v>
      </c>
      <c r="V73" s="244">
        <f t="shared" si="152"/>
        <v>20052.383399999999</v>
      </c>
      <c r="W73" s="220">
        <f t="shared" si="152"/>
        <v>11721.228186</v>
      </c>
      <c r="X73" s="220">
        <f t="shared" si="128"/>
        <v>-8331.1552139999985</v>
      </c>
      <c r="Y73" s="243">
        <f t="shared" si="129"/>
        <v>30.84533733157895</v>
      </c>
      <c r="Z73" s="220">
        <f t="shared" si="130"/>
        <v>114002.75195504511</v>
      </c>
      <c r="AA73" s="220">
        <f t="shared" si="131"/>
        <v>77647.941889917478</v>
      </c>
      <c r="AB73" s="220">
        <f t="shared" si="132"/>
        <v>109218.96144380639</v>
      </c>
      <c r="AC73" s="220">
        <f t="shared" si="133"/>
        <v>78319.926862396838</v>
      </c>
      <c r="AD73" s="230">
        <f t="shared" si="134"/>
        <v>-36354.810065127633</v>
      </c>
      <c r="AE73" s="230">
        <f t="shared" si="135"/>
        <v>300.00724198696082</v>
      </c>
      <c r="AF73" s="230">
        <f t="shared" si="136"/>
        <v>204.33668918399337</v>
      </c>
      <c r="AG73" s="341">
        <f>Emissionsfaktorer!E$16</f>
        <v>8.5999999999999993E-2</v>
      </c>
      <c r="AH73" s="220">
        <f t="shared" si="137"/>
        <v>9804.236668133879</v>
      </c>
      <c r="AI73" s="243">
        <f t="shared" si="138"/>
        <v>6677.7230025329027</v>
      </c>
      <c r="AJ73" s="220">
        <f t="shared" si="139"/>
        <v>9392.8306841673493</v>
      </c>
      <c r="AK73" s="220">
        <f t="shared" si="140"/>
        <v>6735.5137101661276</v>
      </c>
      <c r="AL73" s="244">
        <f t="shared" si="153"/>
        <v>16542.82866813388</v>
      </c>
      <c r="AM73" s="230">
        <f t="shared" si="153"/>
        <v>11427.671002532903</v>
      </c>
      <c r="AN73" s="220">
        <f t="shared" si="141"/>
        <v>16131.42268416735</v>
      </c>
      <c r="AO73" s="220">
        <f t="shared" si="142"/>
        <v>11485.461710166128</v>
      </c>
      <c r="AP73" s="220">
        <f t="shared" si="143"/>
        <v>-5115.1576656009765</v>
      </c>
      <c r="AQ73" s="220">
        <f t="shared" si="144"/>
        <v>-4645.960974001222</v>
      </c>
      <c r="AR73" s="243">
        <f t="shared" si="145"/>
        <v>30.072818427718165</v>
      </c>
      <c r="AS73" s="46"/>
    </row>
    <row r="74" spans="1:46" s="62" customFormat="1">
      <c r="A74" s="251" t="s">
        <v>280</v>
      </c>
      <c r="B74" s="252"/>
      <c r="C74" s="260"/>
      <c r="D74" s="253">
        <f>SUM(D59:D73)</f>
        <v>6690</v>
      </c>
      <c r="E74" s="255">
        <f>SUM(E59:E73)</f>
        <v>320542</v>
      </c>
      <c r="F74" s="256">
        <f>SUM(F59:F73)</f>
        <v>316605</v>
      </c>
      <c r="G74" s="256">
        <f>SUM(G59:G73)</f>
        <v>-3937</v>
      </c>
      <c r="H74" s="261">
        <f t="shared" si="122"/>
        <v>47.913602391629297</v>
      </c>
      <c r="I74" s="261">
        <f t="shared" si="123"/>
        <v>47.325112107623319</v>
      </c>
      <c r="J74" s="340">
        <f t="shared" ref="J74:P74" si="154">SUM(J59:J73)</f>
        <v>143923.35800000001</v>
      </c>
      <c r="K74" s="258">
        <f t="shared" si="154"/>
        <v>119676.68999999999</v>
      </c>
      <c r="L74" s="262">
        <f t="shared" si="154"/>
        <v>29141</v>
      </c>
      <c r="M74" s="262">
        <f t="shared" si="154"/>
        <v>25649.5</v>
      </c>
      <c r="N74" s="262">
        <f t="shared" si="154"/>
        <v>1253966.3710000003</v>
      </c>
      <c r="O74" s="262">
        <f t="shared" si="154"/>
        <v>1103723.6345000002</v>
      </c>
      <c r="P74" s="256">
        <f t="shared" si="154"/>
        <v>-150242.73649999994</v>
      </c>
      <c r="Q74" s="281">
        <f t="shared" si="126"/>
        <v>187.4389194319881</v>
      </c>
      <c r="R74" s="281">
        <f t="shared" si="127"/>
        <v>164.98111128550076</v>
      </c>
      <c r="S74" s="254"/>
      <c r="T74" s="256">
        <f>SUM(T59:T73)</f>
        <v>132445.11489999999</v>
      </c>
      <c r="U74" s="258">
        <f>SUM(U59:U73)</f>
        <v>108975.0823335</v>
      </c>
      <c r="V74" s="264">
        <f>SUM(V59:V73)</f>
        <v>276368.47289999999</v>
      </c>
      <c r="W74" s="262">
        <f>SUM(W59:W73)</f>
        <v>228651.77233350003</v>
      </c>
      <c r="X74" s="256">
        <f>SUM(X59:X73)</f>
        <v>-47716.700566500011</v>
      </c>
      <c r="Y74" s="265">
        <f t="shared" si="129"/>
        <v>34.178142351793724</v>
      </c>
      <c r="Z74" s="262">
        <f>SUM(Z59:Z73)</f>
        <v>1073740.8515584907</v>
      </c>
      <c r="AA74" s="262">
        <f>SUM(AA59:AA73)</f>
        <v>1143301.3120008255</v>
      </c>
      <c r="AB74" s="262">
        <f>SUM(AB59:AB73)</f>
        <v>1028684.4716981131</v>
      </c>
      <c r="AC74" s="262">
        <f>SUM(AC59:AC73)</f>
        <v>1153195.7313760316</v>
      </c>
      <c r="AD74" s="256">
        <f>SUM(AD59:AD73)</f>
        <v>69560.46044233501</v>
      </c>
      <c r="AE74" s="263">
        <f t="shared" si="135"/>
        <v>160.49937990410922</v>
      </c>
      <c r="AF74" s="263">
        <f t="shared" si="136"/>
        <v>170.89705710027289</v>
      </c>
      <c r="AG74" s="254"/>
      <c r="AH74" s="256">
        <f t="shared" ref="AH74:AQ74" si="155">SUM(AH59:AH73)</f>
        <v>99189.616094678247</v>
      </c>
      <c r="AI74" s="258">
        <f t="shared" si="155"/>
        <v>105293.0607737981</v>
      </c>
      <c r="AJ74" s="256">
        <f t="shared" si="155"/>
        <v>95027.415304347829</v>
      </c>
      <c r="AK74" s="258">
        <f t="shared" si="155"/>
        <v>106204.29361299759</v>
      </c>
      <c r="AL74" s="264">
        <f t="shared" si="155"/>
        <v>243112.97409467827</v>
      </c>
      <c r="AM74" s="262">
        <f t="shared" si="155"/>
        <v>224969.75077379812</v>
      </c>
      <c r="AN74" s="264">
        <f t="shared" si="155"/>
        <v>238950.77330434779</v>
      </c>
      <c r="AO74" s="262">
        <f t="shared" si="155"/>
        <v>225880.9836129976</v>
      </c>
      <c r="AP74" s="256">
        <f t="shared" si="155"/>
        <v>-18143.223320880174</v>
      </c>
      <c r="AQ74" s="256">
        <f t="shared" si="155"/>
        <v>-13069.789691350221</v>
      </c>
      <c r="AR74" s="265">
        <f t="shared" si="145"/>
        <v>33.627765437040075</v>
      </c>
      <c r="AS74" s="50"/>
    </row>
    <row r="75" spans="1:46" s="102" customFormat="1">
      <c r="A75" s="95" t="s">
        <v>282</v>
      </c>
      <c r="B75" s="266"/>
      <c r="C75" s="267"/>
      <c r="D75" s="268">
        <f>D74+D57</f>
        <v>31071</v>
      </c>
      <c r="E75" s="269">
        <f>E74+E57</f>
        <v>1278231</v>
      </c>
      <c r="F75" s="269">
        <f>F74+F57</f>
        <v>1239845</v>
      </c>
      <c r="G75" s="270">
        <f>G57+G74</f>
        <v>-38386</v>
      </c>
      <c r="H75" s="270">
        <f t="shared" si="122"/>
        <v>41.139036400502079</v>
      </c>
      <c r="I75" s="270">
        <f t="shared" si="123"/>
        <v>39.903607865855619</v>
      </c>
      <c r="J75" s="271">
        <f>J57+J74</f>
        <v>573925.71900000004</v>
      </c>
      <c r="K75" s="285">
        <f>K57+K74</f>
        <v>468661.41000000003</v>
      </c>
      <c r="L75" s="270">
        <f>L74+L57</f>
        <v>113027.7</v>
      </c>
      <c r="M75" s="270">
        <f>M74+M57</f>
        <v>100246.30000000002</v>
      </c>
      <c r="N75" s="270">
        <f>N74+N57</f>
        <v>4863694.9587000003</v>
      </c>
      <c r="O75" s="270">
        <f>O74+O57</f>
        <v>4313698.5353000006</v>
      </c>
      <c r="P75" s="270">
        <f>P57+P74</f>
        <v>-549996.42339999997</v>
      </c>
      <c r="Q75" s="272">
        <f t="shared" si="126"/>
        <v>156.53487041614369</v>
      </c>
      <c r="R75" s="272">
        <f t="shared" si="127"/>
        <v>138.83359194425671</v>
      </c>
      <c r="S75" s="343">
        <f>T75/N75</f>
        <v>0.11943366979952699</v>
      </c>
      <c r="T75" s="270">
        <f>T57+T74</f>
        <v>580888.93770299992</v>
      </c>
      <c r="U75" s="285">
        <f>U57+U74</f>
        <v>473261.53465230006</v>
      </c>
      <c r="V75" s="352">
        <f>V57+V74</f>
        <v>1154814.6567029997</v>
      </c>
      <c r="W75" s="353">
        <f>W57+W74</f>
        <v>941922.94465229986</v>
      </c>
      <c r="X75" s="270">
        <f>X57+X74</f>
        <v>-212891.71205070007</v>
      </c>
      <c r="Y75" s="259">
        <f t="shared" si="129"/>
        <v>30.315179577493478</v>
      </c>
      <c r="Z75" s="270">
        <f>Z57+Z74</f>
        <v>4164663.4929377032</v>
      </c>
      <c r="AA75" s="270">
        <f>AA57+AA74</f>
        <v>4468380.5264519136</v>
      </c>
      <c r="AB75" s="270">
        <f>AB57+AB74</f>
        <v>3989905.626497129</v>
      </c>
      <c r="AC75" s="270">
        <f>AC57+AC74</f>
        <v>4507051.0242398921</v>
      </c>
      <c r="AD75" s="270">
        <f>AD57+AD74</f>
        <v>303717.03351421055</v>
      </c>
      <c r="AE75" s="272">
        <f t="shared" si="135"/>
        <v>134.03699568529186</v>
      </c>
      <c r="AF75" s="272">
        <f t="shared" si="136"/>
        <v>143.81193159061226</v>
      </c>
      <c r="AG75" s="343">
        <f>AH75/Z75</f>
        <v>0.11476617767149111</v>
      </c>
      <c r="AH75" s="270">
        <f t="shared" ref="AH75:AQ75" si="156">AH57+AH74</f>
        <v>477962.51037246123</v>
      </c>
      <c r="AI75" s="285">
        <f t="shared" si="156"/>
        <v>502714.60815005458</v>
      </c>
      <c r="AJ75" s="270">
        <f t="shared" si="156"/>
        <v>457906.21802305162</v>
      </c>
      <c r="AK75" s="285">
        <f t="shared" si="156"/>
        <v>507065.22780461807</v>
      </c>
      <c r="AL75" s="271">
        <f t="shared" si="156"/>
        <v>1051888.2293724611</v>
      </c>
      <c r="AM75" s="270">
        <f t="shared" si="156"/>
        <v>971376.01815005427</v>
      </c>
      <c r="AN75" s="271">
        <f t="shared" si="156"/>
        <v>1031831.9370230515</v>
      </c>
      <c r="AO75" s="270">
        <f t="shared" si="156"/>
        <v>975726.63780461834</v>
      </c>
      <c r="AP75" s="270">
        <f t="shared" si="156"/>
        <v>-80512.211222406826</v>
      </c>
      <c r="AQ75" s="270">
        <f t="shared" si="156"/>
        <v>-56105.299218433516</v>
      </c>
      <c r="AR75" s="259">
        <f t="shared" si="145"/>
        <v>31.263107661486732</v>
      </c>
      <c r="AS75" s="101"/>
    </row>
    <row r="76" spans="1:46">
      <c r="A76" s="94" t="s">
        <v>418</v>
      </c>
      <c r="B76" s="273"/>
      <c r="C76" s="274"/>
      <c r="D76" s="275">
        <f>D75</f>
        <v>31071</v>
      </c>
      <c r="E76" s="277"/>
      <c r="F76" s="277"/>
      <c r="G76" s="283" t="s">
        <v>388</v>
      </c>
      <c r="H76" s="270">
        <f>J75/D75</f>
        <v>18.471427343825432</v>
      </c>
      <c r="I76" s="270">
        <f>K75/D75</f>
        <v>15.083563773293426</v>
      </c>
      <c r="J76" s="279">
        <f>E75*Emissionsfaktorer!E$10</f>
        <v>589264.49100000004</v>
      </c>
      <c r="K76" s="259">
        <f>F75*Emissionsfaktorer!E$10</f>
        <v>571568.54500000004</v>
      </c>
      <c r="L76" s="277"/>
      <c r="M76" s="277" t="s">
        <v>389</v>
      </c>
      <c r="N76" s="277">
        <v>37</v>
      </c>
      <c r="O76" s="277">
        <v>37</v>
      </c>
      <c r="P76" s="283" t="s">
        <v>388</v>
      </c>
      <c r="Q76" s="270">
        <f>T75/D75</f>
        <v>18.695534025393449</v>
      </c>
      <c r="R76" s="270">
        <f>U75/D75</f>
        <v>15.231615804200059</v>
      </c>
      <c r="S76" s="276"/>
      <c r="T76" s="278">
        <f>N75*S75</f>
        <v>580888.93770299992</v>
      </c>
      <c r="U76" s="259">
        <f>O75*S75</f>
        <v>515200.84647972352</v>
      </c>
      <c r="V76" s="279">
        <f>J76+T76</f>
        <v>1170153.4287029998</v>
      </c>
      <c r="W76" s="278">
        <f>K76+U76</f>
        <v>1086769.3914797236</v>
      </c>
      <c r="X76" s="278">
        <f>W76-V76</f>
        <v>-83384.037223276217</v>
      </c>
      <c r="Y76" s="280">
        <f t="shared" si="129"/>
        <v>34.97696860351207</v>
      </c>
      <c r="Z76" s="277"/>
      <c r="AA76" s="277"/>
      <c r="AB76" s="277"/>
      <c r="AC76" s="277"/>
      <c r="AD76" s="283" t="s">
        <v>388</v>
      </c>
      <c r="AE76" s="270">
        <f>AE75*AG75</f>
        <v>15.382913661371093</v>
      </c>
      <c r="AF76" s="270">
        <f>AF75*AG75</f>
        <v>16.50474569220853</v>
      </c>
      <c r="AG76" s="276"/>
      <c r="AH76" s="278">
        <f>Z75*AG75</f>
        <v>477962.51037246123</v>
      </c>
      <c r="AI76" s="259">
        <f>AA75*AG75</f>
        <v>512818.95340261131</v>
      </c>
      <c r="AJ76" s="278">
        <f>AB75*AG75</f>
        <v>457906.21802305157</v>
      </c>
      <c r="AK76" s="278">
        <f>AC75*AG75</f>
        <v>517257.01862239145</v>
      </c>
      <c r="AL76" s="350">
        <f>J76+AH75</f>
        <v>1067227.0013724612</v>
      </c>
      <c r="AM76" s="351">
        <f>K76+AI75</f>
        <v>1074283.1531500546</v>
      </c>
      <c r="AN76" s="351">
        <f>J76+AJ75</f>
        <v>1047170.7090230517</v>
      </c>
      <c r="AO76" s="351">
        <f>K76+AK75</f>
        <v>1078633.7728046181</v>
      </c>
      <c r="AP76" s="278">
        <f>AM76-AL76</f>
        <v>7056.151777593419</v>
      </c>
      <c r="AQ76" s="278">
        <f>AO76-AN76</f>
        <v>31463.063781566452</v>
      </c>
      <c r="AR76" s="280">
        <f t="shared" si="145"/>
        <v>34.575107114352761</v>
      </c>
      <c r="AS76" s="47"/>
    </row>
    <row r="77" spans="1:46">
      <c r="H77" s="270">
        <f>J76/D76</f>
        <v>18.965095780631458</v>
      </c>
      <c r="I77" s="270">
        <f>K76/D76</f>
        <v>18.395563226159442</v>
      </c>
      <c r="Q77" s="270">
        <f>T76/D76</f>
        <v>18.695534025393449</v>
      </c>
      <c r="R77" s="270">
        <f>U76/D76</f>
        <v>16.581405377352628</v>
      </c>
      <c r="T77" s="283" t="s">
        <v>388</v>
      </c>
      <c r="U77" s="284"/>
      <c r="V77" s="282">
        <f>V75/D75</f>
        <v>37.166961369218875</v>
      </c>
      <c r="W77" s="282">
        <f>W75/D75</f>
        <v>30.315179577493478</v>
      </c>
      <c r="AH77" s="283" t="s">
        <v>388</v>
      </c>
      <c r="AI77" s="284"/>
      <c r="AJ77" s="207"/>
      <c r="AK77" s="207"/>
      <c r="AL77" s="348" t="s">
        <v>442</v>
      </c>
      <c r="AM77" s="348" t="s">
        <v>442</v>
      </c>
      <c r="AN77" s="348" t="s">
        <v>441</v>
      </c>
      <c r="AO77" s="348" t="s">
        <v>441</v>
      </c>
    </row>
  </sheetData>
  <pageMargins left="0.11811023622047245" right="0.19685039370078741" top="0" bottom="0" header="0.31496062992125984" footer="0.31496062992125984"/>
  <pageSetup paperSize="8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BB72"/>
  <sheetViews>
    <sheetView topLeftCell="A46" zoomScale="85" zoomScaleNormal="85" workbookViewId="0">
      <pane xSplit="2" topLeftCell="C1" activePane="topRight" state="frozen"/>
      <selection activeCell="A23" sqref="A23"/>
      <selection pane="topRight" activeCell="A77" sqref="A77"/>
    </sheetView>
  </sheetViews>
  <sheetFormatPr defaultRowHeight="15"/>
  <cols>
    <col min="1" max="1" width="56.5703125" customWidth="1"/>
    <col min="2" max="2" width="30.85546875" customWidth="1"/>
    <col min="3" max="3" width="12" customWidth="1"/>
    <col min="4" max="4" width="11.5703125" customWidth="1"/>
    <col min="5" max="5" width="9.28515625" bestFit="1" customWidth="1"/>
    <col min="6" max="6" width="10.140625" customWidth="1"/>
    <col min="7" max="9" width="12" customWidth="1"/>
    <col min="10" max="10" width="11.42578125" customWidth="1"/>
    <col min="11" max="11" width="11.7109375" customWidth="1"/>
    <col min="12" max="12" width="11.5703125" customWidth="1"/>
    <col min="13" max="13" width="11" customWidth="1"/>
    <col min="14" max="14" width="10.85546875" customWidth="1"/>
    <col min="15" max="15" width="14.140625" customWidth="1"/>
    <col min="16" max="17" width="12.42578125" customWidth="1"/>
    <col min="18" max="18" width="14.140625" customWidth="1"/>
    <col min="19" max="20" width="12.42578125" customWidth="1"/>
    <col min="21" max="22" width="17.7109375" customWidth="1"/>
    <col min="23" max="23" width="17.85546875" customWidth="1"/>
    <col min="24" max="25" width="13.42578125" customWidth="1"/>
    <col min="26" max="26" width="10.7109375" customWidth="1"/>
    <col min="27" max="28" width="10.85546875" customWidth="1"/>
    <col min="29" max="29" width="11.7109375" customWidth="1"/>
    <col min="30" max="30" width="13.7109375" customWidth="1"/>
    <col min="31" max="31" width="12.140625" customWidth="1"/>
    <col min="32" max="32" width="11.85546875" customWidth="1"/>
    <col min="33" max="33" width="10" customWidth="1"/>
    <col min="34" max="34" width="12.7109375" customWidth="1"/>
    <col min="35" max="36" width="12.85546875" customWidth="1"/>
    <col min="37" max="37" width="10.28515625" customWidth="1"/>
    <col min="38" max="38" width="10.140625" customWidth="1"/>
    <col min="44" max="45" width="10.42578125" bestFit="1" customWidth="1"/>
    <col min="46" max="46" width="10.42578125" customWidth="1"/>
    <col min="47" max="47" width="10.85546875" customWidth="1"/>
    <col min="48" max="50" width="12" customWidth="1"/>
    <col min="51" max="51" width="10.85546875" customWidth="1"/>
    <col min="52" max="52" width="11.42578125" customWidth="1"/>
  </cols>
  <sheetData>
    <row r="1" spans="1:54" ht="90">
      <c r="A1" s="4" t="s">
        <v>234</v>
      </c>
      <c r="B1" s="89" t="s">
        <v>235</v>
      </c>
      <c r="C1" s="59" t="s">
        <v>265</v>
      </c>
      <c r="D1" s="51"/>
      <c r="E1" s="52" t="s">
        <v>266</v>
      </c>
      <c r="F1" s="52" t="s">
        <v>267</v>
      </c>
      <c r="G1" s="53" t="s">
        <v>390</v>
      </c>
      <c r="H1" s="53" t="s">
        <v>391</v>
      </c>
      <c r="I1" s="52"/>
      <c r="J1" s="52" t="s">
        <v>268</v>
      </c>
      <c r="K1" s="57" t="s">
        <v>269</v>
      </c>
      <c r="L1" s="52"/>
      <c r="M1" s="52" t="s">
        <v>270</v>
      </c>
      <c r="N1" s="57" t="s">
        <v>271</v>
      </c>
      <c r="O1" s="52"/>
      <c r="P1" s="52" t="s">
        <v>374</v>
      </c>
      <c r="Q1" s="52" t="s">
        <v>375</v>
      </c>
      <c r="R1" s="52"/>
      <c r="S1" s="52" t="s">
        <v>272</v>
      </c>
      <c r="T1" s="52" t="s">
        <v>273</v>
      </c>
      <c r="U1" s="53" t="s">
        <v>390</v>
      </c>
      <c r="V1" s="53" t="s">
        <v>391</v>
      </c>
      <c r="W1" s="52"/>
      <c r="X1" s="52" t="s">
        <v>268</v>
      </c>
      <c r="Y1" s="52" t="s">
        <v>269</v>
      </c>
      <c r="Z1" s="52" t="s">
        <v>274</v>
      </c>
      <c r="AA1" s="52"/>
      <c r="AB1" s="52" t="s">
        <v>275</v>
      </c>
      <c r="AC1" s="52" t="s">
        <v>276</v>
      </c>
      <c r="AD1" s="51"/>
      <c r="AE1" s="52" t="s">
        <v>277</v>
      </c>
      <c r="AF1" s="52" t="s">
        <v>278</v>
      </c>
      <c r="AG1" s="53" t="s">
        <v>390</v>
      </c>
      <c r="AH1" s="57" t="s">
        <v>284</v>
      </c>
      <c r="AI1" s="52" t="s">
        <v>353</v>
      </c>
      <c r="AJ1" s="52" t="s">
        <v>354</v>
      </c>
      <c r="AK1" s="55" t="s">
        <v>438</v>
      </c>
      <c r="AL1" s="55" t="s">
        <v>437</v>
      </c>
      <c r="AM1" s="53" t="s">
        <v>390</v>
      </c>
      <c r="AN1" s="52" t="s">
        <v>268</v>
      </c>
      <c r="AO1" s="52" t="s">
        <v>269</v>
      </c>
      <c r="AP1" s="52" t="s">
        <v>274</v>
      </c>
      <c r="AQ1" s="52" t="s">
        <v>275</v>
      </c>
      <c r="AR1" s="52" t="s">
        <v>276</v>
      </c>
      <c r="AS1" s="55" t="s">
        <v>439</v>
      </c>
      <c r="AT1" s="51" t="s">
        <v>440</v>
      </c>
      <c r="AU1" s="52" t="s">
        <v>277</v>
      </c>
      <c r="AV1" s="52" t="s">
        <v>278</v>
      </c>
      <c r="AW1" s="55" t="s">
        <v>439</v>
      </c>
      <c r="AX1" s="51" t="s">
        <v>440</v>
      </c>
      <c r="AY1" s="53" t="s">
        <v>390</v>
      </c>
      <c r="AZ1" s="53" t="s">
        <v>391</v>
      </c>
      <c r="BA1" s="52" t="s">
        <v>284</v>
      </c>
      <c r="BB1" s="4" t="s">
        <v>264</v>
      </c>
    </row>
    <row r="2" spans="1:54">
      <c r="A2" s="2" t="s">
        <v>53</v>
      </c>
      <c r="B2" s="6" t="s">
        <v>53</v>
      </c>
      <c r="C2" s="139">
        <v>880</v>
      </c>
      <c r="D2" s="129"/>
      <c r="E2" s="124">
        <v>26634</v>
      </c>
      <c r="F2" s="204">
        <v>22197</v>
      </c>
      <c r="G2" s="124">
        <f>F2-E2</f>
        <v>-4437</v>
      </c>
      <c r="H2" s="124">
        <f>F2-D2</f>
        <v>22197</v>
      </c>
      <c r="I2" s="134"/>
      <c r="J2" s="134">
        <f>E2/C2</f>
        <v>30.265909090909091</v>
      </c>
      <c r="K2" s="135">
        <f>F2/C2</f>
        <v>25.223863636363635</v>
      </c>
      <c r="L2" s="134"/>
      <c r="M2" s="134">
        <f>Emissionsfaktorer!E$11*E2</f>
        <v>11958.666000000001</v>
      </c>
      <c r="N2" s="135">
        <f>Emissionsfaktorer!E$12*F2</f>
        <v>8390.4660000000003</v>
      </c>
      <c r="O2" s="124"/>
      <c r="P2" s="124">
        <v>3939</v>
      </c>
      <c r="Q2" s="204">
        <v>2850</v>
      </c>
      <c r="R2" s="134"/>
      <c r="S2" s="134">
        <f t="shared" ref="S2:S33" si="0">P2*S$68*1.163</f>
        <v>169499.109</v>
      </c>
      <c r="T2" s="134">
        <f t="shared" ref="T2:T33" si="1">Q2*T$68*1.163</f>
        <v>122638.35</v>
      </c>
      <c r="U2" s="134">
        <f>T2-S2</f>
        <v>-46860.758999999991</v>
      </c>
      <c r="V2" s="134">
        <f>T2-R2</f>
        <v>122638.35</v>
      </c>
      <c r="W2" s="134"/>
      <c r="X2" s="134">
        <f t="shared" ref="X2:X33" si="2">S2/C2</f>
        <v>192.61262386363637</v>
      </c>
      <c r="Y2" s="134">
        <f t="shared" ref="Y2:Y33" si="3">T2/C2</f>
        <v>139.36176136363636</v>
      </c>
      <c r="Z2" s="124">
        <v>0.20399999999999999</v>
      </c>
      <c r="AA2" s="134"/>
      <c r="AB2" s="134">
        <f>Emissionsfaktorer!E$25*S2</f>
        <v>34577.818235999999</v>
      </c>
      <c r="AC2" s="134">
        <f>Emissionsfaktorer!E$26*T2</f>
        <v>25018.223399999999</v>
      </c>
      <c r="AD2" s="173"/>
      <c r="AE2" s="134">
        <f>M2+AB2</f>
        <v>46536.484236000004</v>
      </c>
      <c r="AF2" s="134">
        <f>N2+AC2</f>
        <v>33408.689400000003</v>
      </c>
      <c r="AG2" s="134">
        <f>AF2-AE2</f>
        <v>-13127.794836000001</v>
      </c>
      <c r="AH2" s="135">
        <f t="shared" ref="AH2:AH33" si="4">AF2/C2</f>
        <v>37.964419772727275</v>
      </c>
      <c r="AI2" s="134">
        <f t="shared" ref="AI2:AI33" si="5">((S2*0.8)/(1.219))+(S2*0.2)</f>
        <v>145137.95732091877</v>
      </c>
      <c r="AJ2" s="134">
        <f t="shared" ref="AJ2:AJ33" si="6">((T2*0.8)/(0.9571))+(T2*0.2)</f>
        <v>127035.95544561699</v>
      </c>
      <c r="AK2" s="134">
        <f>S2/1.219</f>
        <v>139047.66940114848</v>
      </c>
      <c r="AL2" s="134">
        <f>T2/0.9571</f>
        <v>128135.35680702122</v>
      </c>
      <c r="AM2" s="134">
        <f t="shared" ref="AM2:AM33" si="7">AJ2-AI2</f>
        <v>-18102.001875301779</v>
      </c>
      <c r="AN2" s="134">
        <f t="shared" ref="AN2:AN33" si="8">AI2/C2</f>
        <v>164.92949695558951</v>
      </c>
      <c r="AO2" s="134">
        <f t="shared" ref="AO2:AO33" si="9">AJ2/C2</f>
        <v>144.35904027911022</v>
      </c>
      <c r="AP2" s="124">
        <f>Emissionsfaktorer!E$24</f>
        <v>0.20399999999999999</v>
      </c>
      <c r="AQ2" s="134">
        <f t="shared" ref="AQ2:AQ33" si="10">AP2*AI2</f>
        <v>29608.143293467427</v>
      </c>
      <c r="AR2" s="134">
        <f t="shared" ref="AR2:AR33" si="11">AP2*AJ2</f>
        <v>25915.334910905862</v>
      </c>
      <c r="AS2">
        <f t="shared" ref="AS2:AS33" si="12">AK2*AP2</f>
        <v>28365.724557834288</v>
      </c>
      <c r="AT2" s="173">
        <f t="shared" ref="AT2:AT33" si="13">AL2*AP2</f>
        <v>26139.612788632327</v>
      </c>
      <c r="AU2" s="134">
        <f t="shared" ref="AU2:AU33" si="14">M2+AQ2</f>
        <v>41566.809293467428</v>
      </c>
      <c r="AV2" s="134">
        <f t="shared" ref="AV2:AV33" si="15">N2+AR2</f>
        <v>34305.800910905862</v>
      </c>
      <c r="AW2" s="134">
        <f t="shared" ref="AW2:AW33" si="16">M2+AS2</f>
        <v>40324.390557834289</v>
      </c>
      <c r="AX2" s="134">
        <f t="shared" ref="AX2:AX33" si="17">N2+AT2</f>
        <v>34530.078788632323</v>
      </c>
      <c r="AY2" s="134">
        <f>AV2-AU2</f>
        <v>-7261.0083825615657</v>
      </c>
      <c r="AZ2" s="134">
        <f>AV2-AT2</f>
        <v>8166.1881222735356</v>
      </c>
      <c r="BA2" s="134">
        <f t="shared" ref="BA2:BA33" si="18">AV2/C2</f>
        <v>38.983864671483936</v>
      </c>
      <c r="BB2" s="106"/>
    </row>
    <row r="3" spans="1:54">
      <c r="A3" s="1" t="s">
        <v>54</v>
      </c>
      <c r="B3" s="6" t="s">
        <v>54</v>
      </c>
      <c r="C3" s="139">
        <v>13149</v>
      </c>
      <c r="D3" s="129"/>
      <c r="E3" s="124">
        <v>260775</v>
      </c>
      <c r="F3" s="204">
        <v>279950</v>
      </c>
      <c r="G3" s="124">
        <f t="shared" ref="G3:G54" si="19">F3-E3</f>
        <v>19175</v>
      </c>
      <c r="H3" s="124">
        <f t="shared" ref="H3:H54" si="20">F3-D3</f>
        <v>279950</v>
      </c>
      <c r="I3" s="134"/>
      <c r="J3" s="134">
        <f t="shared" ref="J3:J54" si="21">E3/C3</f>
        <v>19.832306639288159</v>
      </c>
      <c r="K3" s="135">
        <f t="shared" ref="K3:K54" si="22">F3/C3</f>
        <v>21.290592440489771</v>
      </c>
      <c r="L3" s="134"/>
      <c r="M3" s="134">
        <f>Emissionsfaktorer!E$11*E3</f>
        <v>117087.97500000001</v>
      </c>
      <c r="N3" s="135">
        <f>Emissionsfaktorer!E$12*F3</f>
        <v>105821.1</v>
      </c>
      <c r="O3" s="124"/>
      <c r="P3" s="124">
        <v>41930</v>
      </c>
      <c r="Q3" s="179">
        <v>26948</v>
      </c>
      <c r="R3" s="134"/>
      <c r="S3" s="134">
        <f t="shared" si="0"/>
        <v>1804289.83</v>
      </c>
      <c r="T3" s="134">
        <f t="shared" si="1"/>
        <v>1159599.388</v>
      </c>
      <c r="U3" s="134">
        <f t="shared" ref="U3:U54" si="23">T3-S3</f>
        <v>-644690.44200000004</v>
      </c>
      <c r="V3" s="134">
        <f t="shared" ref="V3:V54" si="24">T3-R3</f>
        <v>1159599.388</v>
      </c>
      <c r="W3" s="134"/>
      <c r="X3" s="134">
        <f t="shared" si="2"/>
        <v>137.2187869799985</v>
      </c>
      <c r="Y3" s="134">
        <f t="shared" si="3"/>
        <v>88.189169366491754</v>
      </c>
      <c r="Z3" s="124">
        <v>9.0999999999999998E-2</v>
      </c>
      <c r="AA3" s="134"/>
      <c r="AB3" s="134">
        <f>Emissionsfaktorer!E$17*S3</f>
        <v>180428.98300000001</v>
      </c>
      <c r="AC3" s="134">
        <f>Emissionsfaktorer!E$18*T3</f>
        <v>107842.743084</v>
      </c>
      <c r="AD3" s="173"/>
      <c r="AE3" s="134">
        <f t="shared" ref="AE3:AE54" si="25">M3+AB3</f>
        <v>297516.95799999998</v>
      </c>
      <c r="AF3" s="134">
        <f t="shared" ref="AF3:AF54" si="26">N3+AC3</f>
        <v>213663.84308399999</v>
      </c>
      <c r="AG3" s="134">
        <f t="shared" ref="AG3:AG54" si="27">AF3-AE3</f>
        <v>-83853.114915999991</v>
      </c>
      <c r="AH3" s="135">
        <f t="shared" si="4"/>
        <v>16.249436693588866</v>
      </c>
      <c r="AI3" s="134">
        <f t="shared" si="5"/>
        <v>1544969.4212912223</v>
      </c>
      <c r="AJ3" s="134">
        <f t="shared" si="6"/>
        <v>1201180.6762626269</v>
      </c>
      <c r="AK3" s="134">
        <f t="shared" ref="AK3:AK54" si="28">S3/1.219</f>
        <v>1480139.3191140278</v>
      </c>
      <c r="AL3" s="134">
        <f t="shared" ref="AL3:AL54" si="29">T3/0.9571</f>
        <v>1211575.9983282834</v>
      </c>
      <c r="AM3" s="134">
        <f t="shared" si="7"/>
        <v>-343788.74502859544</v>
      </c>
      <c r="AN3" s="134">
        <f t="shared" si="8"/>
        <v>117.49710406047778</v>
      </c>
      <c r="AO3" s="134">
        <f t="shared" si="9"/>
        <v>91.351484999819519</v>
      </c>
      <c r="AP3" s="124">
        <f>Emissionsfaktorer!E$16</f>
        <v>8.5999999999999993E-2</v>
      </c>
      <c r="AQ3" s="134">
        <f t="shared" si="10"/>
        <v>132867.37023104512</v>
      </c>
      <c r="AR3" s="134">
        <f t="shared" si="11"/>
        <v>103301.5381585859</v>
      </c>
      <c r="AS3">
        <f t="shared" si="12"/>
        <v>127291.98144380638</v>
      </c>
      <c r="AT3" s="173">
        <f t="shared" si="13"/>
        <v>104195.53585623237</v>
      </c>
      <c r="AU3" s="134">
        <f t="shared" si="14"/>
        <v>249955.34523104512</v>
      </c>
      <c r="AV3" s="134">
        <f t="shared" si="15"/>
        <v>209122.63815858591</v>
      </c>
      <c r="AW3" s="134">
        <f t="shared" si="16"/>
        <v>244379.95644380638</v>
      </c>
      <c r="AX3" s="134">
        <f t="shared" si="17"/>
        <v>210016.63585623237</v>
      </c>
      <c r="AY3" s="134">
        <f t="shared" ref="AY3:AY54" si="30">AV3-AU3</f>
        <v>-40832.707072459219</v>
      </c>
      <c r="AZ3" s="134">
        <f t="shared" ref="AZ3:AZ54" si="31">AV3-AT3</f>
        <v>104927.10230235354</v>
      </c>
      <c r="BA3" s="134">
        <f t="shared" si="18"/>
        <v>15.904071652489613</v>
      </c>
      <c r="BB3" s="106"/>
    </row>
    <row r="4" spans="1:54">
      <c r="A4" s="1" t="s">
        <v>55</v>
      </c>
      <c r="B4" s="6" t="s">
        <v>55</v>
      </c>
      <c r="C4" s="139">
        <v>1631</v>
      </c>
      <c r="D4" s="129"/>
      <c r="E4" s="124">
        <v>41088</v>
      </c>
      <c r="F4" s="204">
        <v>46454</v>
      </c>
      <c r="G4" s="124">
        <f t="shared" si="19"/>
        <v>5366</v>
      </c>
      <c r="H4" s="124">
        <f t="shared" si="20"/>
        <v>46454</v>
      </c>
      <c r="I4" s="134"/>
      <c r="J4" s="134">
        <f t="shared" si="21"/>
        <v>25.191906805640713</v>
      </c>
      <c r="K4" s="135">
        <f t="shared" si="22"/>
        <v>28.481912936848559</v>
      </c>
      <c r="L4" s="134"/>
      <c r="M4" s="134">
        <f>Emissionsfaktorer!E$11*E4</f>
        <v>18448.511999999999</v>
      </c>
      <c r="N4" s="135">
        <f>Emissionsfaktorer!E$12*F4</f>
        <v>17559.612000000001</v>
      </c>
      <c r="O4" s="124"/>
      <c r="P4" s="124">
        <v>5564</v>
      </c>
      <c r="Q4" s="204">
        <v>4639</v>
      </c>
      <c r="R4" s="134"/>
      <c r="S4" s="134">
        <f t="shared" si="0"/>
        <v>239424.484</v>
      </c>
      <c r="T4" s="134">
        <f t="shared" si="1"/>
        <v>199620.80900000001</v>
      </c>
      <c r="U4" s="134">
        <f t="shared" si="23"/>
        <v>-39803.674999999988</v>
      </c>
      <c r="V4" s="134">
        <f t="shared" si="24"/>
        <v>199620.80900000001</v>
      </c>
      <c r="W4" s="134"/>
      <c r="X4" s="134">
        <f t="shared" si="2"/>
        <v>146.79612752912323</v>
      </c>
      <c r="Y4" s="134">
        <f t="shared" si="3"/>
        <v>122.39166707541386</v>
      </c>
      <c r="Z4" s="124">
        <v>0.20399999999999999</v>
      </c>
      <c r="AA4" s="134"/>
      <c r="AB4" s="134">
        <f>Emissionsfaktorer!E$14*S4</f>
        <v>62729.214808000004</v>
      </c>
      <c r="AC4" s="134">
        <f>Emissionsfaktorer!E$15*T4</f>
        <v>47908.994160000002</v>
      </c>
      <c r="AD4" s="173"/>
      <c r="AE4" s="134">
        <f t="shared" si="25"/>
        <v>81177.726808000007</v>
      </c>
      <c r="AF4" s="134">
        <f t="shared" si="26"/>
        <v>65468.606160000003</v>
      </c>
      <c r="AG4" s="134">
        <f t="shared" si="27"/>
        <v>-15709.120648000004</v>
      </c>
      <c r="AH4" s="135">
        <f t="shared" si="4"/>
        <v>40.14016318822808</v>
      </c>
      <c r="AI4" s="134">
        <f t="shared" si="5"/>
        <v>205013.35225529125</v>
      </c>
      <c r="AJ4" s="134">
        <f t="shared" si="6"/>
        <v>206778.87624990076</v>
      </c>
      <c r="AK4" s="134">
        <f t="shared" si="28"/>
        <v>196410.569319114</v>
      </c>
      <c r="AL4" s="134">
        <f t="shared" si="29"/>
        <v>208568.39306237595</v>
      </c>
      <c r="AM4" s="134">
        <f t="shared" si="7"/>
        <v>1765.5239946095098</v>
      </c>
      <c r="AN4" s="134">
        <f t="shared" si="8"/>
        <v>125.69794742813687</v>
      </c>
      <c r="AO4" s="134">
        <f t="shared" si="9"/>
        <v>126.78042688528556</v>
      </c>
      <c r="AP4" s="124">
        <f>Emissionsfaktorer!E$13</f>
        <v>0.34699999999999998</v>
      </c>
      <c r="AQ4" s="134">
        <f t="shared" si="10"/>
        <v>71139.633232586057</v>
      </c>
      <c r="AR4" s="134">
        <f t="shared" si="11"/>
        <v>71752.270058715556</v>
      </c>
      <c r="AS4">
        <f t="shared" si="12"/>
        <v>68154.467553732553</v>
      </c>
      <c r="AT4" s="173">
        <f t="shared" si="13"/>
        <v>72373.232392644451</v>
      </c>
      <c r="AU4" s="134">
        <f t="shared" si="14"/>
        <v>89588.145232586059</v>
      </c>
      <c r="AV4" s="134">
        <f t="shared" si="15"/>
        <v>89311.882058715564</v>
      </c>
      <c r="AW4" s="134">
        <f t="shared" si="16"/>
        <v>86602.979553732555</v>
      </c>
      <c r="AX4" s="134">
        <f t="shared" si="17"/>
        <v>89932.844392644445</v>
      </c>
      <c r="AY4" s="134">
        <f t="shared" si="30"/>
        <v>-276.26317387049494</v>
      </c>
      <c r="AZ4" s="134">
        <f t="shared" si="31"/>
        <v>16938.649666071113</v>
      </c>
      <c r="BA4" s="134">
        <f t="shared" si="18"/>
        <v>54.758971219322845</v>
      </c>
      <c r="BB4" s="106"/>
    </row>
    <row r="5" spans="1:54">
      <c r="A5" s="2" t="s">
        <v>56</v>
      </c>
      <c r="B5" s="6" t="s">
        <v>56</v>
      </c>
      <c r="C5" s="139">
        <v>4580</v>
      </c>
      <c r="D5" s="129"/>
      <c r="E5" s="124">
        <v>67916</v>
      </c>
      <c r="F5" s="179">
        <v>113680</v>
      </c>
      <c r="G5" s="124">
        <f t="shared" si="19"/>
        <v>45764</v>
      </c>
      <c r="H5" s="124">
        <f t="shared" si="20"/>
        <v>113680</v>
      </c>
      <c r="I5" s="134"/>
      <c r="J5" s="134">
        <f t="shared" si="21"/>
        <v>14.828820960698691</v>
      </c>
      <c r="K5" s="135">
        <f t="shared" si="22"/>
        <v>24.820960698689955</v>
      </c>
      <c r="L5" s="134"/>
      <c r="M5" s="134">
        <f>Emissionsfaktorer!E$11*E5</f>
        <v>30494.284</v>
      </c>
      <c r="N5" s="135">
        <f>Emissionsfaktorer!E$12*F5</f>
        <v>42971.040000000001</v>
      </c>
      <c r="O5" s="124"/>
      <c r="P5" s="124">
        <v>10040</v>
      </c>
      <c r="Q5" s="204">
        <v>8601</v>
      </c>
      <c r="R5" s="134"/>
      <c r="S5" s="134">
        <f t="shared" si="0"/>
        <v>432031.24</v>
      </c>
      <c r="T5" s="134">
        <f t="shared" si="1"/>
        <v>370109.63099999999</v>
      </c>
      <c r="U5" s="134">
        <f t="shared" si="23"/>
        <v>-61921.608999999997</v>
      </c>
      <c r="V5" s="134">
        <f t="shared" si="24"/>
        <v>370109.63099999999</v>
      </c>
      <c r="W5" s="134"/>
      <c r="X5" s="134">
        <f t="shared" si="2"/>
        <v>94.329965065502179</v>
      </c>
      <c r="Y5" s="134">
        <f t="shared" si="3"/>
        <v>80.809963100436676</v>
      </c>
      <c r="Z5" s="171">
        <v>0.34699999999999998</v>
      </c>
      <c r="AA5" s="134"/>
      <c r="AB5" s="134">
        <f>Emissionsfaktorer!E$14*S5</f>
        <v>113192.18488</v>
      </c>
      <c r="AC5" s="134">
        <f>Emissionsfaktorer!E$15*T5</f>
        <v>88826.31143999999</v>
      </c>
      <c r="AD5" s="173"/>
      <c r="AE5" s="134">
        <f t="shared" si="25"/>
        <v>143686.46888</v>
      </c>
      <c r="AF5" s="134">
        <f t="shared" si="26"/>
        <v>131797.35144</v>
      </c>
      <c r="AG5" s="134">
        <f t="shared" si="27"/>
        <v>-11889.117440000002</v>
      </c>
      <c r="AH5" s="135">
        <f t="shared" si="4"/>
        <v>28.776714288209607</v>
      </c>
      <c r="AI5" s="134">
        <f t="shared" si="5"/>
        <v>369937.82470221497</v>
      </c>
      <c r="AJ5" s="134">
        <f t="shared" si="6"/>
        <v>383381.14132903563</v>
      </c>
      <c r="AK5" s="134">
        <f t="shared" si="28"/>
        <v>354414.47087776865</v>
      </c>
      <c r="AL5" s="134">
        <f t="shared" si="29"/>
        <v>386699.01891129452</v>
      </c>
      <c r="AM5" s="134">
        <f t="shared" si="7"/>
        <v>13443.316626820655</v>
      </c>
      <c r="AN5" s="134">
        <f t="shared" si="8"/>
        <v>80.772450808343876</v>
      </c>
      <c r="AO5" s="134">
        <f t="shared" si="9"/>
        <v>83.707672779265422</v>
      </c>
      <c r="AP5" s="124">
        <f>Emissionsfaktorer!E$13</f>
        <v>0.34699999999999998</v>
      </c>
      <c r="AQ5" s="134">
        <f t="shared" si="10"/>
        <v>128368.42517166858</v>
      </c>
      <c r="AR5" s="134">
        <f t="shared" si="11"/>
        <v>133033.25604117537</v>
      </c>
      <c r="AS5">
        <f t="shared" si="12"/>
        <v>122981.82139458571</v>
      </c>
      <c r="AT5" s="173">
        <f t="shared" si="13"/>
        <v>134184.55956221919</v>
      </c>
      <c r="AU5" s="134">
        <f t="shared" si="14"/>
        <v>158862.70917166857</v>
      </c>
      <c r="AV5" s="134">
        <f t="shared" si="15"/>
        <v>176004.29604117537</v>
      </c>
      <c r="AW5" s="134">
        <f t="shared" si="16"/>
        <v>153476.1053945857</v>
      </c>
      <c r="AX5" s="134">
        <f t="shared" si="17"/>
        <v>177155.5995622192</v>
      </c>
      <c r="AY5" s="134">
        <f t="shared" si="30"/>
        <v>17141.586869506806</v>
      </c>
      <c r="AZ5" s="134">
        <f t="shared" si="31"/>
        <v>41819.736478956183</v>
      </c>
      <c r="BA5" s="134">
        <f t="shared" si="18"/>
        <v>38.428885598509908</v>
      </c>
      <c r="BB5" s="106"/>
    </row>
    <row r="6" spans="1:54">
      <c r="A6" s="1" t="s">
        <v>57</v>
      </c>
      <c r="B6" s="6" t="s">
        <v>57</v>
      </c>
      <c r="C6" s="139">
        <v>6718</v>
      </c>
      <c r="D6" s="129"/>
      <c r="E6" s="124">
        <v>176325</v>
      </c>
      <c r="F6" s="204">
        <v>189611</v>
      </c>
      <c r="G6" s="124">
        <f t="shared" si="19"/>
        <v>13286</v>
      </c>
      <c r="H6" s="124">
        <f t="shared" si="20"/>
        <v>189611</v>
      </c>
      <c r="I6" s="134"/>
      <c r="J6" s="134">
        <f t="shared" si="21"/>
        <v>26.246650788925276</v>
      </c>
      <c r="K6" s="135">
        <f t="shared" si="22"/>
        <v>28.224322715093777</v>
      </c>
      <c r="L6" s="134"/>
      <c r="M6" s="134">
        <f>Emissionsfaktorer!E$11*E6</f>
        <v>79169.925000000003</v>
      </c>
      <c r="N6" s="135">
        <f>Emissionsfaktorer!E$12*F6</f>
        <v>71672.957999999999</v>
      </c>
      <c r="O6" s="124"/>
      <c r="P6" s="124">
        <v>17780</v>
      </c>
      <c r="Q6" s="204">
        <v>14470</v>
      </c>
      <c r="R6" s="134"/>
      <c r="S6" s="134">
        <f t="shared" si="0"/>
        <v>765091.18</v>
      </c>
      <c r="T6" s="134">
        <f t="shared" si="1"/>
        <v>622658.57000000007</v>
      </c>
      <c r="U6" s="134">
        <f t="shared" si="23"/>
        <v>-142432.60999999999</v>
      </c>
      <c r="V6" s="134">
        <f t="shared" si="24"/>
        <v>622658.57000000007</v>
      </c>
      <c r="W6" s="134"/>
      <c r="X6" s="134">
        <f t="shared" si="2"/>
        <v>113.88674903245014</v>
      </c>
      <c r="Y6" s="134">
        <f t="shared" si="3"/>
        <v>92.685110151830912</v>
      </c>
      <c r="Z6" s="124">
        <v>9.0999999999999998E-2</v>
      </c>
      <c r="AA6" s="134"/>
      <c r="AB6" s="134">
        <f>Emissionsfaktorer!E$14*S6</f>
        <v>200453.88916000002</v>
      </c>
      <c r="AC6" s="134">
        <f>Emissionsfaktorer!E$15*T6</f>
        <v>149438.05680000002</v>
      </c>
      <c r="AD6" s="173"/>
      <c r="AE6" s="134">
        <f t="shared" si="25"/>
        <v>279623.81416000001</v>
      </c>
      <c r="AF6" s="134">
        <f t="shared" si="26"/>
        <v>221111.0148</v>
      </c>
      <c r="AG6" s="134">
        <f t="shared" si="27"/>
        <v>-58512.799360000005</v>
      </c>
      <c r="AH6" s="135">
        <f t="shared" si="4"/>
        <v>32.913220422744864</v>
      </c>
      <c r="AI6" s="134">
        <f t="shared" si="5"/>
        <v>655128.93657424115</v>
      </c>
      <c r="AJ6" s="134">
        <f t="shared" si="6"/>
        <v>644986.06150809745</v>
      </c>
      <c r="AK6" s="134">
        <f t="shared" si="28"/>
        <v>627638.37571780151</v>
      </c>
      <c r="AL6" s="134">
        <f t="shared" si="29"/>
        <v>650567.9343851218</v>
      </c>
      <c r="AM6" s="134">
        <f t="shared" si="7"/>
        <v>-10142.875066143693</v>
      </c>
      <c r="AN6" s="134">
        <f t="shared" si="8"/>
        <v>97.518448433200533</v>
      </c>
      <c r="AO6" s="134">
        <f t="shared" si="9"/>
        <v>96.008642677597123</v>
      </c>
      <c r="AP6" s="124">
        <f>Emissionsfaktorer!E$13</f>
        <v>0.34699999999999998</v>
      </c>
      <c r="AQ6" s="134">
        <f t="shared" si="10"/>
        <v>227329.74099126167</v>
      </c>
      <c r="AR6" s="134">
        <f t="shared" si="11"/>
        <v>223810.1633433098</v>
      </c>
      <c r="AS6">
        <f t="shared" si="12"/>
        <v>217790.51637407709</v>
      </c>
      <c r="AT6" s="173">
        <f t="shared" si="13"/>
        <v>225747.07323163725</v>
      </c>
      <c r="AU6" s="134">
        <f t="shared" si="14"/>
        <v>306499.66599126166</v>
      </c>
      <c r="AV6" s="134">
        <f t="shared" si="15"/>
        <v>295483.12134330982</v>
      </c>
      <c r="AW6" s="134">
        <f t="shared" si="16"/>
        <v>296960.44137407711</v>
      </c>
      <c r="AX6" s="134">
        <f t="shared" si="17"/>
        <v>297420.03123163723</v>
      </c>
      <c r="AY6" s="134">
        <f t="shared" si="30"/>
        <v>-11016.544647951843</v>
      </c>
      <c r="AZ6" s="134">
        <f t="shared" si="31"/>
        <v>69736.048111672571</v>
      </c>
      <c r="BA6" s="134">
        <f t="shared" si="18"/>
        <v>43.983792995431649</v>
      </c>
      <c r="BB6" s="106"/>
    </row>
    <row r="7" spans="1:54">
      <c r="A7" s="1" t="s">
        <v>58</v>
      </c>
      <c r="B7" s="6" t="s">
        <v>58</v>
      </c>
      <c r="C7" s="139">
        <v>14220</v>
      </c>
      <c r="D7" s="129"/>
      <c r="E7" s="124">
        <v>495819</v>
      </c>
      <c r="F7" s="204">
        <v>476725</v>
      </c>
      <c r="G7" s="124">
        <f t="shared" si="19"/>
        <v>-19094</v>
      </c>
      <c r="H7" s="124">
        <f t="shared" si="20"/>
        <v>476725</v>
      </c>
      <c r="I7" s="134"/>
      <c r="J7" s="134">
        <f t="shared" si="21"/>
        <v>34.867721518987345</v>
      </c>
      <c r="K7" s="135">
        <f t="shared" si="22"/>
        <v>33.524964838255976</v>
      </c>
      <c r="L7" s="134"/>
      <c r="M7" s="134">
        <f>Emissionsfaktorer!E$11*E7</f>
        <v>222622.731</v>
      </c>
      <c r="N7" s="135">
        <f>Emissionsfaktorer!E$12*F7</f>
        <v>180202.05</v>
      </c>
      <c r="O7" s="124"/>
      <c r="P7" s="124">
        <v>54935</v>
      </c>
      <c r="Q7" s="204">
        <v>47435</v>
      </c>
      <c r="R7" s="134"/>
      <c r="S7" s="134">
        <f t="shared" si="0"/>
        <v>2363907.9849999999</v>
      </c>
      <c r="T7" s="134">
        <f t="shared" si="1"/>
        <v>2041175.4850000001</v>
      </c>
      <c r="U7" s="134">
        <f t="shared" si="23"/>
        <v>-322732.49999999977</v>
      </c>
      <c r="V7" s="134">
        <f t="shared" si="24"/>
        <v>2041175.4850000001</v>
      </c>
      <c r="W7" s="134"/>
      <c r="X7" s="134">
        <f t="shared" si="2"/>
        <v>166.23825492264416</v>
      </c>
      <c r="Y7" s="134">
        <f t="shared" si="3"/>
        <v>143.54257981715895</v>
      </c>
      <c r="Z7" s="124">
        <v>9.0999999999999998E-2</v>
      </c>
      <c r="AA7" s="134"/>
      <c r="AB7" s="134">
        <f>Emissionsfaktorer!E$17*S7</f>
        <v>236390.7985</v>
      </c>
      <c r="AC7" s="134">
        <f>Emissionsfaktorer!E$18*T7</f>
        <v>189829.32010500002</v>
      </c>
      <c r="AD7" s="173"/>
      <c r="AE7" s="134">
        <f t="shared" si="25"/>
        <v>459013.5295</v>
      </c>
      <c r="AF7" s="134">
        <f t="shared" si="26"/>
        <v>370031.37010499998</v>
      </c>
      <c r="AG7" s="134">
        <f t="shared" si="27"/>
        <v>-88982.159395000024</v>
      </c>
      <c r="AH7" s="135">
        <f t="shared" si="4"/>
        <v>26.021896631856539</v>
      </c>
      <c r="AI7" s="134">
        <f t="shared" si="5"/>
        <v>2024156.8127506152</v>
      </c>
      <c r="AJ7" s="134">
        <f t="shared" si="6"/>
        <v>2114368.6128290677</v>
      </c>
      <c r="AK7" s="134">
        <f t="shared" si="28"/>
        <v>1939219.0196882689</v>
      </c>
      <c r="AL7" s="134">
        <f t="shared" si="29"/>
        <v>2132666.8947863341</v>
      </c>
      <c r="AM7" s="134">
        <f t="shared" si="7"/>
        <v>90211.800078452565</v>
      </c>
      <c r="AN7" s="134">
        <f t="shared" si="8"/>
        <v>142.34576742268743</v>
      </c>
      <c r="AO7" s="134">
        <f t="shared" si="9"/>
        <v>148.68977586702306</v>
      </c>
      <c r="AP7" s="124">
        <f>Emissionsfaktorer!E$16</f>
        <v>8.5999999999999993E-2</v>
      </c>
      <c r="AQ7" s="134">
        <f t="shared" si="10"/>
        <v>174077.48589655288</v>
      </c>
      <c r="AR7" s="134">
        <f t="shared" si="11"/>
        <v>181835.70070329981</v>
      </c>
      <c r="AS7">
        <f t="shared" si="12"/>
        <v>166772.83569319113</v>
      </c>
      <c r="AT7" s="173">
        <f t="shared" si="13"/>
        <v>183409.35295162472</v>
      </c>
      <c r="AU7" s="134">
        <f t="shared" si="14"/>
        <v>396700.21689655288</v>
      </c>
      <c r="AV7" s="134">
        <f t="shared" si="15"/>
        <v>362037.75070329977</v>
      </c>
      <c r="AW7" s="134">
        <f t="shared" si="16"/>
        <v>389395.56669319113</v>
      </c>
      <c r="AX7" s="134">
        <f t="shared" si="17"/>
        <v>363611.40295162471</v>
      </c>
      <c r="AY7" s="134">
        <f t="shared" si="30"/>
        <v>-34662.466193253116</v>
      </c>
      <c r="AZ7" s="134">
        <f t="shared" si="31"/>
        <v>178628.39775167505</v>
      </c>
      <c r="BA7" s="134">
        <f t="shared" si="18"/>
        <v>25.459757433424738</v>
      </c>
      <c r="BB7" s="106"/>
    </row>
    <row r="8" spans="1:54">
      <c r="A8" s="1" t="s">
        <v>59</v>
      </c>
      <c r="B8" s="6" t="s">
        <v>102</v>
      </c>
      <c r="C8" s="139">
        <v>11018</v>
      </c>
      <c r="D8" s="129"/>
      <c r="E8" s="124">
        <v>273428</v>
      </c>
      <c r="F8" s="204">
        <v>287946</v>
      </c>
      <c r="G8" s="124">
        <f t="shared" si="19"/>
        <v>14518</v>
      </c>
      <c r="H8" s="124">
        <f t="shared" si="20"/>
        <v>287946</v>
      </c>
      <c r="I8" s="134"/>
      <c r="J8" s="134">
        <f t="shared" si="21"/>
        <v>24.816482120166999</v>
      </c>
      <c r="K8" s="135">
        <f t="shared" si="22"/>
        <v>26.134144127790886</v>
      </c>
      <c r="L8" s="134"/>
      <c r="M8" s="134">
        <f>Emissionsfaktorer!E$11*E8</f>
        <v>122769.17200000001</v>
      </c>
      <c r="N8" s="135">
        <f>Emissionsfaktorer!E$12*F8</f>
        <v>108843.588</v>
      </c>
      <c r="O8" s="124"/>
      <c r="P8" s="124">
        <v>35704</v>
      </c>
      <c r="Q8" s="204">
        <v>29214</v>
      </c>
      <c r="R8" s="134"/>
      <c r="S8" s="134">
        <f t="shared" si="0"/>
        <v>1536378.824</v>
      </c>
      <c r="T8" s="134">
        <f t="shared" si="1"/>
        <v>1257107.6340000001</v>
      </c>
      <c r="U8" s="134">
        <f t="shared" si="23"/>
        <v>-279271.18999999994</v>
      </c>
      <c r="V8" s="134">
        <f t="shared" si="24"/>
        <v>1257107.6340000001</v>
      </c>
      <c r="W8" s="134"/>
      <c r="X8" s="134">
        <f t="shared" si="2"/>
        <v>139.44262334361954</v>
      </c>
      <c r="Y8" s="134">
        <f t="shared" si="3"/>
        <v>114.09580994735887</v>
      </c>
      <c r="Z8" s="124">
        <v>0.20399999999999999</v>
      </c>
      <c r="AA8" s="134"/>
      <c r="AB8" s="134">
        <f>Emissionsfaktorer!E$17*S8</f>
        <v>153637.8824</v>
      </c>
      <c r="AC8" s="134">
        <f>Emissionsfaktorer!E$18*T8</f>
        <v>116911.00996200001</v>
      </c>
      <c r="AD8" s="173"/>
      <c r="AE8" s="134">
        <f t="shared" si="25"/>
        <v>276407.05440000002</v>
      </c>
      <c r="AF8" s="134">
        <f t="shared" si="26"/>
        <v>225754.597962</v>
      </c>
      <c r="AG8" s="134">
        <f t="shared" si="27"/>
        <v>-50652.456438000023</v>
      </c>
      <c r="AH8" s="135">
        <f t="shared" si="4"/>
        <v>20.48961680540933</v>
      </c>
      <c r="AI8" s="134">
        <f t="shared" si="5"/>
        <v>1315563.7542995899</v>
      </c>
      <c r="AJ8" s="134">
        <f t="shared" si="6"/>
        <v>1302185.4043467562</v>
      </c>
      <c r="AK8" s="134">
        <f t="shared" si="28"/>
        <v>1260359.9868744873</v>
      </c>
      <c r="AL8" s="134">
        <f t="shared" si="29"/>
        <v>1313454.846933445</v>
      </c>
      <c r="AM8" s="134">
        <f t="shared" si="7"/>
        <v>-13378.349952833727</v>
      </c>
      <c r="AN8" s="134">
        <f t="shared" si="8"/>
        <v>119.40132095657923</v>
      </c>
      <c r="AO8" s="134">
        <f t="shared" si="9"/>
        <v>118.18709424094719</v>
      </c>
      <c r="AP8" s="124">
        <f>Emissionsfaktorer!E$16</f>
        <v>8.5999999999999993E-2</v>
      </c>
      <c r="AQ8" s="134">
        <f t="shared" si="10"/>
        <v>113138.48286976472</v>
      </c>
      <c r="AR8" s="134">
        <f t="shared" si="11"/>
        <v>111987.94477382101</v>
      </c>
      <c r="AS8">
        <f t="shared" si="12"/>
        <v>108390.95887120589</v>
      </c>
      <c r="AT8" s="173">
        <f t="shared" si="13"/>
        <v>112957.11683627625</v>
      </c>
      <c r="AU8" s="134">
        <f t="shared" si="14"/>
        <v>235907.65486976472</v>
      </c>
      <c r="AV8" s="134">
        <f t="shared" si="15"/>
        <v>220831.53277382103</v>
      </c>
      <c r="AW8" s="134">
        <f t="shared" si="16"/>
        <v>231160.13087120588</v>
      </c>
      <c r="AX8" s="134">
        <f t="shared" si="17"/>
        <v>221800.70483627624</v>
      </c>
      <c r="AY8" s="134">
        <f t="shared" si="30"/>
        <v>-15076.122095943691</v>
      </c>
      <c r="AZ8" s="134">
        <f t="shared" si="31"/>
        <v>107874.41593754478</v>
      </c>
      <c r="BA8" s="134">
        <f t="shared" si="18"/>
        <v>20.042796585026416</v>
      </c>
      <c r="BB8" s="106"/>
    </row>
    <row r="9" spans="1:54">
      <c r="A9" s="2" t="s">
        <v>60</v>
      </c>
      <c r="B9" s="6" t="s">
        <v>60</v>
      </c>
      <c r="C9" s="139">
        <v>4978</v>
      </c>
      <c r="D9" s="129"/>
      <c r="E9" s="124">
        <v>162908</v>
      </c>
      <c r="F9" s="204">
        <v>148129</v>
      </c>
      <c r="G9" s="124">
        <f t="shared" si="19"/>
        <v>-14779</v>
      </c>
      <c r="H9" s="124">
        <f t="shared" si="20"/>
        <v>148129</v>
      </c>
      <c r="I9" s="134"/>
      <c r="J9" s="134">
        <f t="shared" si="21"/>
        <v>32.725592607472883</v>
      </c>
      <c r="K9" s="135">
        <f t="shared" si="22"/>
        <v>29.756729610285255</v>
      </c>
      <c r="L9" s="134"/>
      <c r="M9" s="134">
        <f>Emissionsfaktorer!E$11*E9</f>
        <v>73145.691999999995</v>
      </c>
      <c r="N9" s="135">
        <f>Emissionsfaktorer!E$12*F9</f>
        <v>55992.762000000002</v>
      </c>
      <c r="O9" s="124"/>
      <c r="P9" s="124">
        <v>18670</v>
      </c>
      <c r="Q9" s="204">
        <v>12782</v>
      </c>
      <c r="R9" s="134"/>
      <c r="S9" s="134">
        <f t="shared" si="0"/>
        <v>803388.77</v>
      </c>
      <c r="T9" s="134">
        <f t="shared" si="1"/>
        <v>550022.24199999997</v>
      </c>
      <c r="U9" s="134">
        <f t="shared" si="23"/>
        <v>-253366.52800000005</v>
      </c>
      <c r="V9" s="134">
        <f t="shared" si="24"/>
        <v>550022.24199999997</v>
      </c>
      <c r="W9" s="134"/>
      <c r="X9" s="134">
        <f t="shared" si="2"/>
        <v>161.38786058658096</v>
      </c>
      <c r="Y9" s="134">
        <f t="shared" si="3"/>
        <v>110.49060707111289</v>
      </c>
      <c r="Z9" s="171">
        <v>0.34699999999999998</v>
      </c>
      <c r="AA9" s="134"/>
      <c r="AB9" s="134">
        <f>Emissionsfaktorer!E$14*S9</f>
        <v>210487.85774000001</v>
      </c>
      <c r="AC9" s="134">
        <f>Emissionsfaktorer!E$15*T9</f>
        <v>132005.33807999999</v>
      </c>
      <c r="AD9" s="173"/>
      <c r="AE9" s="134">
        <f t="shared" si="25"/>
        <v>283633.54973999999</v>
      </c>
      <c r="AF9" s="134">
        <f t="shared" si="26"/>
        <v>187998.10008</v>
      </c>
      <c r="AG9" s="134">
        <f t="shared" si="27"/>
        <v>-95635.449659999984</v>
      </c>
      <c r="AH9" s="135">
        <f t="shared" si="4"/>
        <v>37.765789489754923</v>
      </c>
      <c r="AI9" s="134">
        <f t="shared" si="5"/>
        <v>687922.22979983594</v>
      </c>
      <c r="AJ9" s="134">
        <f t="shared" si="6"/>
        <v>569745.11666872841</v>
      </c>
      <c r="AK9" s="134">
        <f t="shared" si="28"/>
        <v>659055.59474979492</v>
      </c>
      <c r="AL9" s="134">
        <f t="shared" si="29"/>
        <v>574675.83533591055</v>
      </c>
      <c r="AM9" s="134">
        <f t="shared" si="7"/>
        <v>-118177.11313110753</v>
      </c>
      <c r="AN9" s="134">
        <f t="shared" si="8"/>
        <v>138.19249292885414</v>
      </c>
      <c r="AO9" s="134">
        <f t="shared" si="9"/>
        <v>114.45261483903745</v>
      </c>
      <c r="AP9" s="124">
        <f>Emissionsfaktorer!E$13</f>
        <v>0.34699999999999998</v>
      </c>
      <c r="AQ9" s="134">
        <f t="shared" si="10"/>
        <v>238709.01374054304</v>
      </c>
      <c r="AR9" s="134">
        <f t="shared" si="11"/>
        <v>197701.55548404873</v>
      </c>
      <c r="AS9">
        <f t="shared" si="12"/>
        <v>228692.29137817881</v>
      </c>
      <c r="AT9" s="173">
        <f t="shared" si="13"/>
        <v>199412.51486156095</v>
      </c>
      <c r="AU9" s="134">
        <f t="shared" si="14"/>
        <v>311854.70574054302</v>
      </c>
      <c r="AV9" s="134">
        <f t="shared" si="15"/>
        <v>253694.31748404872</v>
      </c>
      <c r="AW9" s="134">
        <f t="shared" si="16"/>
        <v>301837.98337817879</v>
      </c>
      <c r="AX9" s="134">
        <f t="shared" si="17"/>
        <v>255405.27686156094</v>
      </c>
      <c r="AY9" s="134">
        <f t="shared" si="30"/>
        <v>-58160.388256494305</v>
      </c>
      <c r="AZ9" s="134">
        <f t="shared" si="31"/>
        <v>54281.802622487769</v>
      </c>
      <c r="BA9" s="134">
        <f t="shared" si="18"/>
        <v>50.96310114183381</v>
      </c>
      <c r="BB9" s="106"/>
    </row>
    <row r="10" spans="1:54">
      <c r="A10" s="11" t="s">
        <v>61</v>
      </c>
      <c r="B10" s="6" t="s">
        <v>61</v>
      </c>
      <c r="C10" s="174">
        <v>19032</v>
      </c>
      <c r="D10" s="129"/>
      <c r="E10" s="124">
        <v>370922</v>
      </c>
      <c r="F10" s="179">
        <v>448613</v>
      </c>
      <c r="G10" s="124">
        <f t="shared" si="19"/>
        <v>77691</v>
      </c>
      <c r="H10" s="124">
        <f t="shared" si="20"/>
        <v>448613</v>
      </c>
      <c r="I10" s="134"/>
      <c r="J10" s="134">
        <f t="shared" si="21"/>
        <v>19.489386296763346</v>
      </c>
      <c r="K10" s="135">
        <f t="shared" si="22"/>
        <v>23.571511139134088</v>
      </c>
      <c r="L10" s="134"/>
      <c r="M10" s="134">
        <f>Emissionsfaktorer!E$11*E10</f>
        <v>166543.978</v>
      </c>
      <c r="N10" s="135">
        <f>Emissionsfaktorer!E$12*F10</f>
        <v>169575.71400000001</v>
      </c>
      <c r="O10" s="124"/>
      <c r="P10" s="124">
        <v>48797</v>
      </c>
      <c r="Q10" s="179">
        <v>35260</v>
      </c>
      <c r="R10" s="134"/>
      <c r="S10" s="134">
        <f t="shared" si="0"/>
        <v>2099783.7069999999</v>
      </c>
      <c r="T10" s="134">
        <f t="shared" si="1"/>
        <v>1517273.06</v>
      </c>
      <c r="U10" s="134">
        <f t="shared" si="23"/>
        <v>-582510.64699999988</v>
      </c>
      <c r="V10" s="134">
        <f t="shared" si="24"/>
        <v>1517273.06</v>
      </c>
      <c r="W10" s="134"/>
      <c r="X10" s="134">
        <f t="shared" si="2"/>
        <v>110.32911449138292</v>
      </c>
      <c r="Y10" s="134">
        <f t="shared" si="3"/>
        <v>79.722207860445565</v>
      </c>
      <c r="Z10" s="124">
        <v>9.0999999999999998E-2</v>
      </c>
      <c r="AA10" s="134"/>
      <c r="AB10" s="134">
        <f>Emissionsfaktorer!E$17*S10</f>
        <v>209978.3707</v>
      </c>
      <c r="AC10" s="134">
        <f>Emissionsfaktorer!E$18*T10</f>
        <v>141106.39457999999</v>
      </c>
      <c r="AD10" s="173"/>
      <c r="AE10" s="134">
        <f t="shared" si="25"/>
        <v>376522.34869999997</v>
      </c>
      <c r="AF10" s="134">
        <f t="shared" si="26"/>
        <v>310682.10858</v>
      </c>
      <c r="AG10" s="134">
        <f t="shared" si="27"/>
        <v>-65840.240119999973</v>
      </c>
      <c r="AH10" s="135">
        <f t="shared" si="4"/>
        <v>16.324196541614125</v>
      </c>
      <c r="AI10" s="134">
        <f t="shared" si="5"/>
        <v>1797993.6286846595</v>
      </c>
      <c r="AJ10" s="134">
        <f t="shared" si="6"/>
        <v>1571679.9259692824</v>
      </c>
      <c r="AK10" s="134">
        <f t="shared" si="28"/>
        <v>1722546.1091058243</v>
      </c>
      <c r="AL10" s="134">
        <f t="shared" si="29"/>
        <v>1585281.6424616028</v>
      </c>
      <c r="AM10" s="134">
        <f t="shared" si="7"/>
        <v>-226313.70271537709</v>
      </c>
      <c r="AN10" s="134">
        <f t="shared" si="8"/>
        <v>94.472132654721491</v>
      </c>
      <c r="AO10" s="134">
        <f t="shared" si="9"/>
        <v>82.580912461605848</v>
      </c>
      <c r="AP10" s="124">
        <f>Emissionsfaktorer!E$16</f>
        <v>8.5999999999999993E-2</v>
      </c>
      <c r="AQ10" s="134">
        <f t="shared" si="10"/>
        <v>154627.45206688071</v>
      </c>
      <c r="AR10" s="134">
        <f t="shared" si="11"/>
        <v>135164.47363335828</v>
      </c>
      <c r="AS10">
        <f t="shared" si="12"/>
        <v>148138.96538310088</v>
      </c>
      <c r="AT10" s="173">
        <f t="shared" si="13"/>
        <v>136334.22125169783</v>
      </c>
      <c r="AU10" s="134">
        <f t="shared" si="14"/>
        <v>321171.43006688071</v>
      </c>
      <c r="AV10" s="134">
        <f t="shared" si="15"/>
        <v>304740.18763335829</v>
      </c>
      <c r="AW10" s="134">
        <f t="shared" si="16"/>
        <v>314682.94338310091</v>
      </c>
      <c r="AX10" s="134">
        <f t="shared" si="17"/>
        <v>305909.93525169784</v>
      </c>
      <c r="AY10" s="134">
        <f t="shared" si="30"/>
        <v>-16431.24243352242</v>
      </c>
      <c r="AZ10" s="134">
        <f t="shared" si="31"/>
        <v>168405.96638166046</v>
      </c>
      <c r="BA10" s="134">
        <f t="shared" si="18"/>
        <v>16.011989682290789</v>
      </c>
      <c r="BB10" s="106"/>
    </row>
    <row r="11" spans="1:54">
      <c r="A11" s="1" t="s">
        <v>62</v>
      </c>
      <c r="B11" s="6" t="s">
        <v>62</v>
      </c>
      <c r="C11" s="139">
        <v>12138</v>
      </c>
      <c r="D11" s="129"/>
      <c r="E11" s="124">
        <v>320442</v>
      </c>
      <c r="F11" s="204">
        <v>290303</v>
      </c>
      <c r="G11" s="124">
        <f t="shared" si="19"/>
        <v>-30139</v>
      </c>
      <c r="H11" s="124">
        <f t="shared" si="20"/>
        <v>290303</v>
      </c>
      <c r="I11" s="134"/>
      <c r="J11" s="134">
        <f t="shared" si="21"/>
        <v>26.399901136925358</v>
      </c>
      <c r="K11" s="135">
        <f t="shared" si="22"/>
        <v>23.916872631405504</v>
      </c>
      <c r="L11" s="134"/>
      <c r="M11" s="134">
        <f>Emissionsfaktorer!E$11*E11</f>
        <v>143878.45800000001</v>
      </c>
      <c r="N11" s="135">
        <f>Emissionsfaktorer!E$12*F11</f>
        <v>109734.534</v>
      </c>
      <c r="O11" s="124"/>
      <c r="P11" s="124">
        <v>42170</v>
      </c>
      <c r="Q11" s="204">
        <v>35774</v>
      </c>
      <c r="R11" s="134"/>
      <c r="S11" s="134">
        <f t="shared" si="0"/>
        <v>1814617.27</v>
      </c>
      <c r="T11" s="134">
        <f t="shared" si="1"/>
        <v>1539390.9939999999</v>
      </c>
      <c r="U11" s="134">
        <f t="shared" si="23"/>
        <v>-275226.27600000007</v>
      </c>
      <c r="V11" s="134">
        <f t="shared" si="24"/>
        <v>1539390.9939999999</v>
      </c>
      <c r="W11" s="134"/>
      <c r="X11" s="134">
        <f t="shared" si="2"/>
        <v>149.49886884165431</v>
      </c>
      <c r="Y11" s="134">
        <f t="shared" si="3"/>
        <v>126.82410561871806</v>
      </c>
      <c r="Z11" s="124">
        <v>9.0999999999999998E-2</v>
      </c>
      <c r="AA11" s="134"/>
      <c r="AB11" s="134">
        <f>Emissionsfaktorer!E$17*S11</f>
        <v>181461.72700000001</v>
      </c>
      <c r="AC11" s="134">
        <f>Emissionsfaktorer!E$18*T11</f>
        <v>143163.36244199998</v>
      </c>
      <c r="AD11" s="173"/>
      <c r="AE11" s="134">
        <f t="shared" si="25"/>
        <v>325340.18500000006</v>
      </c>
      <c r="AF11" s="134">
        <f t="shared" si="26"/>
        <v>252897.896442</v>
      </c>
      <c r="AG11" s="134">
        <f t="shared" si="27"/>
        <v>-72442.288558000058</v>
      </c>
      <c r="AH11" s="135">
        <f t="shared" si="4"/>
        <v>20.835219677212063</v>
      </c>
      <c r="AI11" s="134">
        <f t="shared" si="5"/>
        <v>1553812.556543068</v>
      </c>
      <c r="AJ11" s="134">
        <f t="shared" si="6"/>
        <v>1594590.9719689479</v>
      </c>
      <c r="AK11" s="134">
        <f t="shared" si="28"/>
        <v>1488611.3781788349</v>
      </c>
      <c r="AL11" s="134">
        <f t="shared" si="29"/>
        <v>1608390.9664611849</v>
      </c>
      <c r="AM11" s="134">
        <f t="shared" si="7"/>
        <v>40778.415425879881</v>
      </c>
      <c r="AN11" s="134">
        <f t="shared" si="8"/>
        <v>128.0122389638382</v>
      </c>
      <c r="AO11" s="134">
        <f t="shared" si="9"/>
        <v>131.3718052371847</v>
      </c>
      <c r="AP11" s="124">
        <f>Emissionsfaktorer!E$16</f>
        <v>8.5999999999999993E-2</v>
      </c>
      <c r="AQ11" s="134">
        <f t="shared" si="10"/>
        <v>133627.87986270385</v>
      </c>
      <c r="AR11" s="134">
        <f t="shared" si="11"/>
        <v>137134.82358932952</v>
      </c>
      <c r="AS11">
        <f t="shared" si="12"/>
        <v>128020.57852337979</v>
      </c>
      <c r="AT11" s="173">
        <f t="shared" si="13"/>
        <v>138321.6231156619</v>
      </c>
      <c r="AU11" s="134">
        <f t="shared" si="14"/>
        <v>277506.33786270383</v>
      </c>
      <c r="AV11" s="134">
        <f t="shared" si="15"/>
        <v>246869.35758932953</v>
      </c>
      <c r="AW11" s="134">
        <f t="shared" si="16"/>
        <v>271899.03652337979</v>
      </c>
      <c r="AX11" s="134">
        <f t="shared" si="17"/>
        <v>248056.15711566189</v>
      </c>
      <c r="AY11" s="134">
        <f t="shared" si="30"/>
        <v>-30636.980273374298</v>
      </c>
      <c r="AZ11" s="134">
        <f t="shared" si="31"/>
        <v>108547.73447366763</v>
      </c>
      <c r="BA11" s="134">
        <f t="shared" si="18"/>
        <v>20.338553105069167</v>
      </c>
      <c r="BB11" s="106"/>
    </row>
    <row r="12" spans="1:54">
      <c r="A12" s="1" t="s">
        <v>63</v>
      </c>
      <c r="B12" s="6" t="s">
        <v>63</v>
      </c>
      <c r="C12" s="175">
        <v>20392</v>
      </c>
      <c r="D12" s="225"/>
      <c r="E12" s="204">
        <v>268709</v>
      </c>
      <c r="F12" s="204">
        <v>234663</v>
      </c>
      <c r="G12" s="124">
        <f t="shared" si="19"/>
        <v>-34046</v>
      </c>
      <c r="H12" s="124">
        <f t="shared" si="20"/>
        <v>234663</v>
      </c>
      <c r="I12" s="134"/>
      <c r="J12" s="134">
        <f t="shared" si="21"/>
        <v>13.177177324440958</v>
      </c>
      <c r="K12" s="135">
        <f t="shared" si="22"/>
        <v>11.507601020007845</v>
      </c>
      <c r="L12" s="134"/>
      <c r="M12" s="134">
        <f>Emissionsfaktorer!E$11*E12</f>
        <v>120650.341</v>
      </c>
      <c r="N12" s="135">
        <f>Emissionsfaktorer!E$12*F12</f>
        <v>88702.614000000001</v>
      </c>
      <c r="O12" s="124"/>
      <c r="P12" s="124">
        <v>25234</v>
      </c>
      <c r="Q12" s="204">
        <v>32012</v>
      </c>
      <c r="R12" s="134"/>
      <c r="S12" s="134">
        <f t="shared" si="0"/>
        <v>1085844.254</v>
      </c>
      <c r="T12" s="134">
        <f t="shared" si="1"/>
        <v>1377508.372</v>
      </c>
      <c r="U12" s="134">
        <f t="shared" si="23"/>
        <v>291664.11800000002</v>
      </c>
      <c r="V12" s="134">
        <f t="shared" si="24"/>
        <v>1377508.372</v>
      </c>
      <c r="W12" s="134"/>
      <c r="X12" s="134">
        <f t="shared" si="2"/>
        <v>53.248541290702235</v>
      </c>
      <c r="Y12" s="134">
        <f t="shared" si="3"/>
        <v>67.551410945468817</v>
      </c>
      <c r="Z12" s="124">
        <v>9.0999999999999998E-2</v>
      </c>
      <c r="AA12" s="134"/>
      <c r="AB12" s="134">
        <f>Emissionsfaktorer!E$17*S12</f>
        <v>108584.42540000001</v>
      </c>
      <c r="AC12" s="134">
        <f>Emissionsfaktorer!E$18*T12</f>
        <v>128108.278596</v>
      </c>
      <c r="AD12" s="173"/>
      <c r="AE12" s="134">
        <f t="shared" si="25"/>
        <v>229234.76640000002</v>
      </c>
      <c r="AF12" s="134">
        <f t="shared" si="26"/>
        <v>216810.89259599999</v>
      </c>
      <c r="AG12" s="134">
        <f t="shared" si="27"/>
        <v>-12423.873804000032</v>
      </c>
      <c r="AH12" s="135">
        <f t="shared" si="4"/>
        <v>10.632154403491565</v>
      </c>
      <c r="AI12" s="134">
        <f t="shared" si="5"/>
        <v>929781.97893781785</v>
      </c>
      <c r="AJ12" s="134">
        <f t="shared" si="6"/>
        <v>1426903.5107807335</v>
      </c>
      <c r="AK12" s="134">
        <f t="shared" si="28"/>
        <v>890766.41017227224</v>
      </c>
      <c r="AL12" s="134">
        <f t="shared" si="29"/>
        <v>1439252.2954759169</v>
      </c>
      <c r="AM12" s="134">
        <f t="shared" si="7"/>
        <v>497121.53184291569</v>
      </c>
      <c r="AN12" s="134">
        <f t="shared" si="8"/>
        <v>45.595428547362587</v>
      </c>
      <c r="AO12" s="134">
        <f t="shared" si="9"/>
        <v>69.973691191679748</v>
      </c>
      <c r="AP12" s="124">
        <f>Emissionsfaktorer!E$16</f>
        <v>8.5999999999999993E-2</v>
      </c>
      <c r="AQ12" s="134">
        <f t="shared" si="10"/>
        <v>79961.250188652324</v>
      </c>
      <c r="AR12" s="134">
        <f t="shared" si="11"/>
        <v>122713.70192714308</v>
      </c>
      <c r="AS12">
        <f t="shared" si="12"/>
        <v>76605.9112748154</v>
      </c>
      <c r="AT12" s="173">
        <f t="shared" si="13"/>
        <v>123775.69741092884</v>
      </c>
      <c r="AU12" s="134">
        <f t="shared" si="14"/>
        <v>200611.59118865232</v>
      </c>
      <c r="AV12" s="134">
        <f t="shared" si="15"/>
        <v>211416.31592714309</v>
      </c>
      <c r="AW12" s="134">
        <f t="shared" si="16"/>
        <v>197256.2522748154</v>
      </c>
      <c r="AX12" s="134">
        <f t="shared" si="17"/>
        <v>212478.31141092884</v>
      </c>
      <c r="AY12" s="134">
        <f t="shared" si="30"/>
        <v>10804.724738490768</v>
      </c>
      <c r="AZ12" s="134">
        <f t="shared" si="31"/>
        <v>87640.61851621425</v>
      </c>
      <c r="BA12" s="134">
        <f t="shared" si="18"/>
        <v>10.367610628047425</v>
      </c>
      <c r="BB12" s="106"/>
    </row>
    <row r="13" spans="1:54">
      <c r="A13" s="1" t="s">
        <v>64</v>
      </c>
      <c r="B13" s="6" t="s">
        <v>64</v>
      </c>
      <c r="C13" s="175">
        <v>4675</v>
      </c>
      <c r="D13" s="129"/>
      <c r="E13" s="124">
        <v>102009</v>
      </c>
      <c r="F13" s="204">
        <v>97017</v>
      </c>
      <c r="G13" s="124">
        <f t="shared" si="19"/>
        <v>-4992</v>
      </c>
      <c r="H13" s="124">
        <f t="shared" si="20"/>
        <v>97017</v>
      </c>
      <c r="I13" s="134"/>
      <c r="J13" s="134">
        <f t="shared" si="21"/>
        <v>21.820106951871658</v>
      </c>
      <c r="K13" s="135">
        <f t="shared" si="22"/>
        <v>20.752299465240643</v>
      </c>
      <c r="L13" s="134"/>
      <c r="M13" s="134">
        <f>Emissionsfaktorer!E$11*E13</f>
        <v>45802.040999999997</v>
      </c>
      <c r="N13" s="135">
        <f>Emissionsfaktorer!E$12*F13</f>
        <v>36672.425999999999</v>
      </c>
      <c r="O13" s="124"/>
      <c r="P13" s="124">
        <v>12896</v>
      </c>
      <c r="Q13" s="204">
        <v>10800</v>
      </c>
      <c r="R13" s="134"/>
      <c r="S13" s="134">
        <f t="shared" si="0"/>
        <v>554927.77600000007</v>
      </c>
      <c r="T13" s="134">
        <f t="shared" si="1"/>
        <v>464734.8</v>
      </c>
      <c r="U13" s="134">
        <f t="shared" si="23"/>
        <v>-90192.976000000082</v>
      </c>
      <c r="V13" s="134">
        <f t="shared" si="24"/>
        <v>464734.8</v>
      </c>
      <c r="W13" s="134"/>
      <c r="X13" s="134">
        <f t="shared" si="2"/>
        <v>118.70112855614975</v>
      </c>
      <c r="Y13" s="134">
        <f t="shared" si="3"/>
        <v>99.408513368983961</v>
      </c>
      <c r="Z13" s="124">
        <v>0.20399999999999999</v>
      </c>
      <c r="AA13" s="134"/>
      <c r="AB13" s="134">
        <f>Emissionsfaktorer!E$14*S13</f>
        <v>145391.07731200004</v>
      </c>
      <c r="AC13" s="134">
        <f>Emissionsfaktorer!E$15*T13</f>
        <v>111536.352</v>
      </c>
      <c r="AD13" s="173"/>
      <c r="AE13" s="134">
        <f t="shared" si="25"/>
        <v>191193.11831200004</v>
      </c>
      <c r="AF13" s="134">
        <f t="shared" si="26"/>
        <v>148208.77799999999</v>
      </c>
      <c r="AG13" s="134">
        <f t="shared" si="27"/>
        <v>-42984.340312000044</v>
      </c>
      <c r="AH13" s="135">
        <f t="shared" si="4"/>
        <v>31.70241240641711</v>
      </c>
      <c r="AI13" s="134">
        <f t="shared" si="5"/>
        <v>475171.13419917971</v>
      </c>
      <c r="AJ13" s="134">
        <f t="shared" si="6"/>
        <v>481399.41010970646</v>
      </c>
      <c r="AK13" s="134">
        <f t="shared" si="28"/>
        <v>455231.97374897462</v>
      </c>
      <c r="AL13" s="134">
        <f t="shared" si="29"/>
        <v>485565.562637133</v>
      </c>
      <c r="AM13" s="134">
        <f t="shared" si="7"/>
        <v>6228.2759105267469</v>
      </c>
      <c r="AN13" s="134">
        <f t="shared" si="8"/>
        <v>101.64088432068016</v>
      </c>
      <c r="AO13" s="134">
        <f t="shared" si="9"/>
        <v>102.97313585234363</v>
      </c>
      <c r="AP13" s="124">
        <f>Emissionsfaktorer!E$13</f>
        <v>0.34699999999999998</v>
      </c>
      <c r="AQ13" s="134">
        <f t="shared" si="10"/>
        <v>164884.38356711535</v>
      </c>
      <c r="AR13" s="134">
        <f t="shared" si="11"/>
        <v>167045.59530806812</v>
      </c>
      <c r="AS13">
        <f t="shared" si="12"/>
        <v>157965.49489089419</v>
      </c>
      <c r="AT13" s="173">
        <f t="shared" si="13"/>
        <v>168491.25023508514</v>
      </c>
      <c r="AU13" s="134">
        <f t="shared" si="14"/>
        <v>210686.42456711535</v>
      </c>
      <c r="AV13" s="134">
        <f t="shared" si="15"/>
        <v>203718.02130806813</v>
      </c>
      <c r="AW13" s="134">
        <f t="shared" si="16"/>
        <v>203767.53589089419</v>
      </c>
      <c r="AX13" s="134">
        <f t="shared" si="17"/>
        <v>205163.67623508515</v>
      </c>
      <c r="AY13" s="134">
        <f t="shared" si="30"/>
        <v>-6968.4032590472198</v>
      </c>
      <c r="AZ13" s="134">
        <f t="shared" si="31"/>
        <v>35226.771072982985</v>
      </c>
      <c r="BA13" s="134">
        <f t="shared" si="18"/>
        <v>43.5760473386242</v>
      </c>
      <c r="BB13" s="106"/>
    </row>
    <row r="14" spans="1:54">
      <c r="A14" s="2" t="s">
        <v>65</v>
      </c>
      <c r="B14" s="6" t="s">
        <v>65</v>
      </c>
      <c r="C14" s="139">
        <v>4967</v>
      </c>
      <c r="D14" s="129"/>
      <c r="E14" s="124">
        <v>123725</v>
      </c>
      <c r="F14" s="204">
        <v>114279</v>
      </c>
      <c r="G14" s="124">
        <f t="shared" si="19"/>
        <v>-9446</v>
      </c>
      <c r="H14" s="124">
        <f t="shared" si="20"/>
        <v>114279</v>
      </c>
      <c r="I14" s="134"/>
      <c r="J14" s="134">
        <f t="shared" si="21"/>
        <v>24.909402053553453</v>
      </c>
      <c r="K14" s="135">
        <f t="shared" si="22"/>
        <v>23.007650493255486</v>
      </c>
      <c r="L14" s="134"/>
      <c r="M14" s="134">
        <f>Emissionsfaktorer!E$11*E14</f>
        <v>55552.525000000001</v>
      </c>
      <c r="N14" s="135">
        <f>Emissionsfaktorer!E$12*F14</f>
        <v>43197.462</v>
      </c>
      <c r="O14" s="124"/>
      <c r="P14" s="124">
        <v>14376</v>
      </c>
      <c r="Q14" s="179">
        <v>10902</v>
      </c>
      <c r="R14" s="134"/>
      <c r="S14" s="134">
        <f t="shared" si="0"/>
        <v>618613.65600000008</v>
      </c>
      <c r="T14" s="134">
        <f t="shared" si="1"/>
        <v>469123.962</v>
      </c>
      <c r="U14" s="134">
        <f t="shared" si="23"/>
        <v>-149489.69400000008</v>
      </c>
      <c r="V14" s="134">
        <f t="shared" si="24"/>
        <v>469123.962</v>
      </c>
      <c r="W14" s="134"/>
      <c r="X14" s="134">
        <f t="shared" si="2"/>
        <v>124.54472639420175</v>
      </c>
      <c r="Y14" s="134">
        <f t="shared" si="3"/>
        <v>94.448150191262329</v>
      </c>
      <c r="Z14" s="124">
        <v>0.20399999999999999</v>
      </c>
      <c r="AA14" s="134"/>
      <c r="AB14" s="134">
        <f>Emissionsfaktorer!E$25*S14</f>
        <v>126197.185824</v>
      </c>
      <c r="AC14" s="134">
        <f>Emissionsfaktorer!E$26*T14</f>
        <v>95701.288247999997</v>
      </c>
      <c r="AD14" s="173"/>
      <c r="AE14" s="134">
        <f t="shared" si="25"/>
        <v>181749.71082400001</v>
      </c>
      <c r="AF14" s="134">
        <f t="shared" si="26"/>
        <v>138898.750248</v>
      </c>
      <c r="AG14" s="134">
        <f t="shared" si="27"/>
        <v>-42850.960576000012</v>
      </c>
      <c r="AH14" s="135">
        <f t="shared" si="4"/>
        <v>27.96431452546809</v>
      </c>
      <c r="AI14" s="134">
        <f t="shared" si="5"/>
        <v>529703.80158556195</v>
      </c>
      <c r="AJ14" s="134">
        <f t="shared" si="6"/>
        <v>485945.96009407588</v>
      </c>
      <c r="AK14" s="134">
        <f t="shared" si="28"/>
        <v>507476.33798195247</v>
      </c>
      <c r="AL14" s="134">
        <f t="shared" si="29"/>
        <v>490151.45961759484</v>
      </c>
      <c r="AM14" s="134">
        <f t="shared" si="7"/>
        <v>-43757.841491486062</v>
      </c>
      <c r="AN14" s="134">
        <f t="shared" si="8"/>
        <v>106.64461477462491</v>
      </c>
      <c r="AO14" s="134">
        <f t="shared" si="9"/>
        <v>97.834902374486788</v>
      </c>
      <c r="AP14" s="124">
        <f>Emissionsfaktorer!E$24</f>
        <v>0.20399999999999999</v>
      </c>
      <c r="AQ14" s="134">
        <f t="shared" si="10"/>
        <v>108059.57552345462</v>
      </c>
      <c r="AR14" s="134">
        <f t="shared" si="11"/>
        <v>99132.975859191472</v>
      </c>
      <c r="AS14">
        <f t="shared" si="12"/>
        <v>103525.1729483183</v>
      </c>
      <c r="AT14" s="173">
        <f t="shared" si="13"/>
        <v>99990.897761989341</v>
      </c>
      <c r="AU14" s="134">
        <f t="shared" si="14"/>
        <v>163612.10052345463</v>
      </c>
      <c r="AV14" s="134">
        <f t="shared" si="15"/>
        <v>142330.43785919147</v>
      </c>
      <c r="AW14" s="134">
        <f t="shared" si="16"/>
        <v>159077.69794831829</v>
      </c>
      <c r="AX14" s="134">
        <f t="shared" si="17"/>
        <v>143188.35976198933</v>
      </c>
      <c r="AY14" s="134">
        <f t="shared" si="30"/>
        <v>-21281.66266426316</v>
      </c>
      <c r="AZ14" s="134">
        <f t="shared" si="31"/>
        <v>42339.540097202131</v>
      </c>
      <c r="BA14" s="134">
        <f t="shared" si="18"/>
        <v>28.655211970845876</v>
      </c>
      <c r="BB14" s="106"/>
    </row>
    <row r="15" spans="1:54">
      <c r="A15" s="2"/>
      <c r="B15" s="6" t="s">
        <v>103</v>
      </c>
      <c r="C15" s="139">
        <v>1535</v>
      </c>
      <c r="D15" s="129"/>
      <c r="E15" s="124">
        <v>61151</v>
      </c>
      <c r="F15" s="204">
        <v>58031</v>
      </c>
      <c r="G15" s="124">
        <f t="shared" si="19"/>
        <v>-3120</v>
      </c>
      <c r="H15" s="124">
        <f t="shared" si="20"/>
        <v>58031</v>
      </c>
      <c r="I15" s="134"/>
      <c r="J15" s="134">
        <f t="shared" si="21"/>
        <v>39.837785016286645</v>
      </c>
      <c r="K15" s="135">
        <f t="shared" si="22"/>
        <v>37.805211726384364</v>
      </c>
      <c r="L15" s="134"/>
      <c r="M15" s="134">
        <f>Emissionsfaktorer!E$11*E15</f>
        <v>27456.798999999999</v>
      </c>
      <c r="N15" s="135">
        <f>Emissionsfaktorer!E$12*F15</f>
        <v>21935.718000000001</v>
      </c>
      <c r="O15" s="124"/>
      <c r="P15" s="124">
        <v>3393</v>
      </c>
      <c r="Q15" s="204">
        <v>2610</v>
      </c>
      <c r="R15" s="134"/>
      <c r="S15" s="134">
        <f t="shared" si="0"/>
        <v>146004.18299999999</v>
      </c>
      <c r="T15" s="134">
        <f t="shared" si="1"/>
        <v>112310.91</v>
      </c>
      <c r="U15" s="134">
        <f t="shared" si="23"/>
        <v>-33693.272999999986</v>
      </c>
      <c r="V15" s="134">
        <f t="shared" si="24"/>
        <v>112310.91</v>
      </c>
      <c r="W15" s="134"/>
      <c r="X15" s="134">
        <f t="shared" si="2"/>
        <v>95.116731596091199</v>
      </c>
      <c r="Y15" s="134">
        <f t="shared" si="3"/>
        <v>73.166716612377854</v>
      </c>
      <c r="Z15" s="124">
        <v>9.0999999999999998E-2</v>
      </c>
      <c r="AA15" s="134"/>
      <c r="AB15" s="134">
        <f>Emissionsfaktorer!E$17*S15</f>
        <v>14600.418299999999</v>
      </c>
      <c r="AC15" s="134">
        <f>Emissionsfaktorer!E$18*T15</f>
        <v>10444.914630000001</v>
      </c>
      <c r="AD15" s="173"/>
      <c r="AE15" s="134">
        <f t="shared" si="25"/>
        <v>42057.217299999997</v>
      </c>
      <c r="AF15" s="134">
        <f t="shared" si="26"/>
        <v>32380.63263</v>
      </c>
      <c r="AG15" s="134">
        <f t="shared" si="27"/>
        <v>-9676.5846699999965</v>
      </c>
      <c r="AH15" s="135">
        <f t="shared" si="4"/>
        <v>21.09487467752443</v>
      </c>
      <c r="AI15" s="134">
        <f t="shared" si="5"/>
        <v>125019.82462296964</v>
      </c>
      <c r="AJ15" s="134">
        <f t="shared" si="6"/>
        <v>116338.19077651239</v>
      </c>
      <c r="AK15" s="134">
        <f t="shared" si="28"/>
        <v>119773.73502871205</v>
      </c>
      <c r="AL15" s="134">
        <f t="shared" si="29"/>
        <v>117345.01097064049</v>
      </c>
      <c r="AM15" s="134">
        <f t="shared" si="7"/>
        <v>-8681.6338464572473</v>
      </c>
      <c r="AN15" s="134">
        <f t="shared" si="8"/>
        <v>81.446139819524191</v>
      </c>
      <c r="AO15" s="134">
        <f t="shared" si="9"/>
        <v>75.790352297402208</v>
      </c>
      <c r="AP15" s="124">
        <f>Emissionsfaktorer!E$16</f>
        <v>8.5999999999999993E-2</v>
      </c>
      <c r="AQ15" s="134">
        <f t="shared" si="10"/>
        <v>10751.704917575387</v>
      </c>
      <c r="AR15" s="134">
        <f t="shared" si="11"/>
        <v>10005.084406780064</v>
      </c>
      <c r="AS15">
        <f t="shared" si="12"/>
        <v>10300.541212469236</v>
      </c>
      <c r="AT15" s="173">
        <f t="shared" si="13"/>
        <v>10091.670943475081</v>
      </c>
      <c r="AU15" s="134">
        <f t="shared" si="14"/>
        <v>38208.503917575385</v>
      </c>
      <c r="AV15" s="134">
        <f t="shared" si="15"/>
        <v>31940.802406780065</v>
      </c>
      <c r="AW15" s="134">
        <f t="shared" si="16"/>
        <v>37757.340212469237</v>
      </c>
      <c r="AX15" s="134">
        <f t="shared" si="17"/>
        <v>32027.388943475082</v>
      </c>
      <c r="AY15" s="134">
        <f t="shared" si="30"/>
        <v>-6267.7015107953193</v>
      </c>
      <c r="AZ15" s="134">
        <f t="shared" si="31"/>
        <v>21849.131463304984</v>
      </c>
      <c r="BA15" s="134">
        <f t="shared" si="18"/>
        <v>20.808340330149878</v>
      </c>
      <c r="BB15" s="106"/>
    </row>
    <row r="16" spans="1:54">
      <c r="A16" s="1" t="s">
        <v>66</v>
      </c>
      <c r="B16" s="6" t="s">
        <v>66</v>
      </c>
      <c r="C16" s="139">
        <v>11741</v>
      </c>
      <c r="D16" s="129"/>
      <c r="E16" s="124">
        <v>271751</v>
      </c>
      <c r="F16" s="204">
        <v>284791</v>
      </c>
      <c r="G16" s="124">
        <f t="shared" si="19"/>
        <v>13040</v>
      </c>
      <c r="H16" s="124">
        <f t="shared" si="20"/>
        <v>284791</v>
      </c>
      <c r="I16" s="134"/>
      <c r="J16" s="134">
        <f t="shared" si="21"/>
        <v>23.145473128353633</v>
      </c>
      <c r="K16" s="135">
        <f t="shared" si="22"/>
        <v>24.256111063793544</v>
      </c>
      <c r="L16" s="134"/>
      <c r="M16" s="134">
        <f>Emissionsfaktorer!E$11*E16</f>
        <v>122016.19900000001</v>
      </c>
      <c r="N16" s="135">
        <f>Emissionsfaktorer!E$12*F16</f>
        <v>107650.99800000001</v>
      </c>
      <c r="O16" s="124"/>
      <c r="P16" s="124">
        <v>37876</v>
      </c>
      <c r="Q16" s="204">
        <v>32099</v>
      </c>
      <c r="R16" s="134"/>
      <c r="S16" s="134">
        <f t="shared" si="0"/>
        <v>1629842.156</v>
      </c>
      <c r="T16" s="134">
        <f t="shared" si="1"/>
        <v>1381252.0690000001</v>
      </c>
      <c r="U16" s="134">
        <f t="shared" si="23"/>
        <v>-248590.08699999982</v>
      </c>
      <c r="V16" s="134">
        <f t="shared" si="24"/>
        <v>1381252.0690000001</v>
      </c>
      <c r="W16" s="134"/>
      <c r="X16" s="134">
        <f t="shared" si="2"/>
        <v>138.81629810067284</v>
      </c>
      <c r="Y16" s="134">
        <f t="shared" si="3"/>
        <v>117.64347747210631</v>
      </c>
      <c r="Z16" s="124">
        <v>9.0999999999999998E-2</v>
      </c>
      <c r="AA16" s="134"/>
      <c r="AB16" s="134">
        <f>Emissionsfaktorer!E$17*S16</f>
        <v>162984.2156</v>
      </c>
      <c r="AC16" s="134">
        <f>Emissionsfaktorer!E$18*T16</f>
        <v>128456.44241700001</v>
      </c>
      <c r="AD16" s="173"/>
      <c r="AE16" s="134">
        <f t="shared" si="25"/>
        <v>285000.41460000002</v>
      </c>
      <c r="AF16" s="134">
        <f t="shared" si="26"/>
        <v>236107.44041700003</v>
      </c>
      <c r="AG16" s="134">
        <f t="shared" si="27"/>
        <v>-48892.974182999984</v>
      </c>
      <c r="AH16" s="135">
        <f t="shared" si="4"/>
        <v>20.109653387019847</v>
      </c>
      <c r="AI16" s="134">
        <f t="shared" si="5"/>
        <v>1395594.1283287939</v>
      </c>
      <c r="AJ16" s="134">
        <f t="shared" si="6"/>
        <v>1430781.4504732841</v>
      </c>
      <c r="AK16" s="134">
        <f t="shared" si="28"/>
        <v>1337032.1214109925</v>
      </c>
      <c r="AL16" s="134">
        <f t="shared" si="29"/>
        <v>1443163.7958416052</v>
      </c>
      <c r="AM16" s="134">
        <f t="shared" si="7"/>
        <v>35187.322144490201</v>
      </c>
      <c r="AN16" s="134">
        <f t="shared" si="8"/>
        <v>118.86501391097811</v>
      </c>
      <c r="AO16" s="134">
        <f t="shared" si="9"/>
        <v>121.8619751701971</v>
      </c>
      <c r="AP16" s="124">
        <f>Emissionsfaktorer!E$16</f>
        <v>8.5999999999999993E-2</v>
      </c>
      <c r="AQ16" s="134">
        <f t="shared" si="10"/>
        <v>120021.09503627627</v>
      </c>
      <c r="AR16" s="134">
        <f t="shared" si="11"/>
        <v>123047.20474070242</v>
      </c>
      <c r="AS16">
        <f t="shared" si="12"/>
        <v>114984.76244134534</v>
      </c>
      <c r="AT16" s="173">
        <f t="shared" si="13"/>
        <v>124112.08644237803</v>
      </c>
      <c r="AU16" s="134">
        <f t="shared" si="14"/>
        <v>242037.29403627629</v>
      </c>
      <c r="AV16" s="134">
        <f t="shared" si="15"/>
        <v>230698.20274070243</v>
      </c>
      <c r="AW16" s="134">
        <f t="shared" si="16"/>
        <v>237000.96144134534</v>
      </c>
      <c r="AX16" s="134">
        <f t="shared" si="17"/>
        <v>231763.08444237802</v>
      </c>
      <c r="AY16" s="134">
        <f t="shared" si="30"/>
        <v>-11339.09129557386</v>
      </c>
      <c r="AZ16" s="134">
        <f t="shared" si="31"/>
        <v>106586.1162983244</v>
      </c>
      <c r="BA16" s="134">
        <f t="shared" si="18"/>
        <v>19.64893984675091</v>
      </c>
      <c r="BB16" s="106"/>
    </row>
    <row r="17" spans="1:54">
      <c r="A17" s="2" t="s">
        <v>67</v>
      </c>
      <c r="B17" s="6" t="s">
        <v>67</v>
      </c>
      <c r="C17" s="139">
        <v>9462</v>
      </c>
      <c r="D17" s="129"/>
      <c r="E17" s="124">
        <v>219337</v>
      </c>
      <c r="F17" s="204">
        <v>205377</v>
      </c>
      <c r="G17" s="124">
        <f t="shared" si="19"/>
        <v>-13960</v>
      </c>
      <c r="H17" s="124">
        <f t="shared" si="20"/>
        <v>205377</v>
      </c>
      <c r="I17" s="134"/>
      <c r="J17" s="134">
        <f t="shared" si="21"/>
        <v>23.180828577467764</v>
      </c>
      <c r="K17" s="135">
        <f t="shared" si="22"/>
        <v>21.705453392517438</v>
      </c>
      <c r="L17" s="134"/>
      <c r="M17" s="134">
        <f>Emissionsfaktorer!E$11*E17</f>
        <v>98482.313000000009</v>
      </c>
      <c r="N17" s="135">
        <f>Emissionsfaktorer!E$12*F17</f>
        <v>77632.505999999994</v>
      </c>
      <c r="O17" s="124"/>
      <c r="P17" s="124">
        <v>20568</v>
      </c>
      <c r="Q17" s="204">
        <v>17819</v>
      </c>
      <c r="R17" s="134"/>
      <c r="S17" s="134">
        <f t="shared" si="0"/>
        <v>885061.60800000001</v>
      </c>
      <c r="T17" s="134">
        <f t="shared" si="1"/>
        <v>766769.38899999997</v>
      </c>
      <c r="U17" s="134">
        <f t="shared" si="23"/>
        <v>-118292.21900000004</v>
      </c>
      <c r="V17" s="134">
        <f t="shared" si="24"/>
        <v>766769.38899999997</v>
      </c>
      <c r="W17" s="134"/>
      <c r="X17" s="134">
        <f t="shared" si="2"/>
        <v>93.538533925174377</v>
      </c>
      <c r="Y17" s="134">
        <f t="shared" si="3"/>
        <v>81.036714119636443</v>
      </c>
      <c r="Z17" s="124">
        <v>9.0999999999999998E-2</v>
      </c>
      <c r="AA17" s="134"/>
      <c r="AB17" s="134">
        <f>Emissionsfaktorer!E$14*S17</f>
        <v>231886.14129600002</v>
      </c>
      <c r="AC17" s="134">
        <f>Emissionsfaktorer!E$15*T17</f>
        <v>184024.65336</v>
      </c>
      <c r="AD17" s="173"/>
      <c r="AE17" s="134">
        <f t="shared" si="25"/>
        <v>330368.45429600001</v>
      </c>
      <c r="AF17" s="134">
        <f t="shared" si="26"/>
        <v>261657.15935999999</v>
      </c>
      <c r="AG17" s="134">
        <f t="shared" si="27"/>
        <v>-68711.29493600002</v>
      </c>
      <c r="AH17" s="135">
        <f t="shared" si="4"/>
        <v>27.653472771084335</v>
      </c>
      <c r="AI17" s="134">
        <f t="shared" si="5"/>
        <v>757856.69108318305</v>
      </c>
      <c r="AJ17" s="134">
        <f t="shared" si="6"/>
        <v>794264.45266156096</v>
      </c>
      <c r="AK17" s="134">
        <f t="shared" si="28"/>
        <v>726055.46185397857</v>
      </c>
      <c r="AL17" s="134">
        <f t="shared" si="29"/>
        <v>801138.21857695119</v>
      </c>
      <c r="AM17" s="134">
        <f t="shared" si="7"/>
        <v>36407.761578377918</v>
      </c>
      <c r="AN17" s="134">
        <f t="shared" si="8"/>
        <v>80.094767605493871</v>
      </c>
      <c r="AO17" s="134">
        <f t="shared" si="9"/>
        <v>83.94255470952875</v>
      </c>
      <c r="AP17" s="124">
        <f>Emissionsfaktorer!E$13</f>
        <v>0.34699999999999998</v>
      </c>
      <c r="AQ17" s="134">
        <f t="shared" si="10"/>
        <v>262976.27180586453</v>
      </c>
      <c r="AR17" s="134">
        <f t="shared" si="11"/>
        <v>275609.76507356163</v>
      </c>
      <c r="AS17">
        <f t="shared" si="12"/>
        <v>251941.24526333055</v>
      </c>
      <c r="AT17" s="173">
        <f t="shared" si="13"/>
        <v>277994.96184620203</v>
      </c>
      <c r="AU17" s="134">
        <f t="shared" si="14"/>
        <v>361458.58480586455</v>
      </c>
      <c r="AV17" s="134">
        <f t="shared" si="15"/>
        <v>353242.27107356163</v>
      </c>
      <c r="AW17" s="134">
        <f t="shared" si="16"/>
        <v>350423.55826333055</v>
      </c>
      <c r="AX17" s="134">
        <f t="shared" si="17"/>
        <v>355627.46784620202</v>
      </c>
      <c r="AY17" s="134">
        <f t="shared" si="30"/>
        <v>-8216.3137323029223</v>
      </c>
      <c r="AZ17" s="134">
        <f t="shared" si="31"/>
        <v>75247.309227359598</v>
      </c>
      <c r="BA17" s="134">
        <f t="shared" si="18"/>
        <v>37.332727866578061</v>
      </c>
      <c r="BB17" s="106"/>
    </row>
    <row r="18" spans="1:54">
      <c r="A18" s="2"/>
      <c r="B18" s="6" t="s">
        <v>104</v>
      </c>
      <c r="C18" s="139">
        <f>839+3998+2420+302</f>
        <v>7559</v>
      </c>
      <c r="D18" s="129"/>
      <c r="E18" s="124">
        <v>110998</v>
      </c>
      <c r="F18" s="204">
        <v>121329</v>
      </c>
      <c r="G18" s="124">
        <f t="shared" si="19"/>
        <v>10331</v>
      </c>
      <c r="H18" s="124">
        <f t="shared" si="20"/>
        <v>121329</v>
      </c>
      <c r="I18" s="134"/>
      <c r="J18" s="134">
        <f t="shared" si="21"/>
        <v>14.684217489085858</v>
      </c>
      <c r="K18" s="135">
        <f t="shared" si="22"/>
        <v>16.050932663050666</v>
      </c>
      <c r="L18" s="134"/>
      <c r="M18" s="134">
        <f>Emissionsfaktorer!E$11*E18</f>
        <v>49838.101999999999</v>
      </c>
      <c r="N18" s="135">
        <f>Emissionsfaktorer!E$12*F18</f>
        <v>45862.362000000001</v>
      </c>
      <c r="O18" s="124"/>
      <c r="P18" s="124">
        <v>15333</v>
      </c>
      <c r="Q18" s="179">
        <v>10847</v>
      </c>
      <c r="R18" s="134"/>
      <c r="S18" s="134">
        <f t="shared" si="0"/>
        <v>659794.32299999997</v>
      </c>
      <c r="T18" s="134">
        <f t="shared" si="1"/>
        <v>466757.25700000004</v>
      </c>
      <c r="U18" s="134">
        <f t="shared" si="23"/>
        <v>-193037.06599999993</v>
      </c>
      <c r="V18" s="134">
        <f t="shared" si="24"/>
        <v>466757.25700000004</v>
      </c>
      <c r="W18" s="134"/>
      <c r="X18" s="134">
        <f t="shared" si="2"/>
        <v>87.285927106760155</v>
      </c>
      <c r="Y18" s="134">
        <f t="shared" si="3"/>
        <v>61.748545707104121</v>
      </c>
      <c r="Z18" s="124">
        <v>9.0999999999999998E-2</v>
      </c>
      <c r="AA18" s="134"/>
      <c r="AB18" s="134">
        <f>Emissionsfaktorer!E$17*S18</f>
        <v>65979.4323</v>
      </c>
      <c r="AC18" s="134">
        <f>Emissionsfaktorer!E$18*T18</f>
        <v>43408.424901000006</v>
      </c>
      <c r="AD18" s="173"/>
      <c r="AE18" s="134">
        <f t="shared" si="25"/>
        <v>115817.5343</v>
      </c>
      <c r="AF18" s="134">
        <f t="shared" si="26"/>
        <v>89270.786901000014</v>
      </c>
      <c r="AG18" s="134">
        <f t="shared" si="27"/>
        <v>-26546.747398999985</v>
      </c>
      <c r="AH18" s="135">
        <f t="shared" si="4"/>
        <v>11.809867297393836</v>
      </c>
      <c r="AI18" s="134">
        <f t="shared" si="5"/>
        <v>564965.80340229697</v>
      </c>
      <c r="AJ18" s="134">
        <f t="shared" si="6"/>
        <v>483494.38902407285</v>
      </c>
      <c r="AK18" s="134">
        <f t="shared" si="28"/>
        <v>541258.67350287118</v>
      </c>
      <c r="AL18" s="134">
        <f t="shared" si="29"/>
        <v>487678.67203009099</v>
      </c>
      <c r="AM18" s="134">
        <f t="shared" si="7"/>
        <v>-81471.414378224115</v>
      </c>
      <c r="AN18" s="134">
        <f t="shared" si="8"/>
        <v>74.740812726854998</v>
      </c>
      <c r="AO18" s="134">
        <f t="shared" si="9"/>
        <v>63.962744942991513</v>
      </c>
      <c r="AP18" s="124">
        <f>Emissionsfaktorer!E$16</f>
        <v>8.5999999999999993E-2</v>
      </c>
      <c r="AQ18" s="134">
        <f t="shared" si="10"/>
        <v>48587.059092597534</v>
      </c>
      <c r="AR18" s="134">
        <f t="shared" si="11"/>
        <v>41580.517456070265</v>
      </c>
      <c r="AS18">
        <f t="shared" si="12"/>
        <v>46548.245921246918</v>
      </c>
      <c r="AT18" s="173">
        <f t="shared" si="13"/>
        <v>41940.365794587822</v>
      </c>
      <c r="AU18" s="134">
        <f t="shared" si="14"/>
        <v>98425.161092597526</v>
      </c>
      <c r="AV18" s="134">
        <f t="shared" si="15"/>
        <v>87442.879456070266</v>
      </c>
      <c r="AW18" s="134">
        <f t="shared" si="16"/>
        <v>96386.347921246925</v>
      </c>
      <c r="AX18" s="134">
        <f t="shared" si="17"/>
        <v>87802.727794587816</v>
      </c>
      <c r="AY18" s="134">
        <f t="shared" si="30"/>
        <v>-10982.281636527259</v>
      </c>
      <c r="AZ18" s="134">
        <f t="shared" si="31"/>
        <v>45502.513661482444</v>
      </c>
      <c r="BA18" s="134">
        <f t="shared" si="18"/>
        <v>11.568048611730422</v>
      </c>
      <c r="BB18" s="106"/>
    </row>
    <row r="19" spans="1:54">
      <c r="A19" s="2"/>
      <c r="B19" s="6" t="s">
        <v>105</v>
      </c>
      <c r="C19" s="139">
        <v>2532</v>
      </c>
      <c r="D19" s="129"/>
      <c r="E19" s="124">
        <v>100393</v>
      </c>
      <c r="F19" s="204">
        <v>104614</v>
      </c>
      <c r="G19" s="124">
        <f t="shared" si="19"/>
        <v>4221</v>
      </c>
      <c r="H19" s="124">
        <f t="shared" si="20"/>
        <v>104614</v>
      </c>
      <c r="I19" s="134"/>
      <c r="J19" s="134">
        <f t="shared" si="21"/>
        <v>39.649684044233808</v>
      </c>
      <c r="K19" s="135">
        <f t="shared" si="22"/>
        <v>41.316745655608216</v>
      </c>
      <c r="L19" s="134"/>
      <c r="M19" s="134">
        <f>Emissionsfaktorer!E$11*E19</f>
        <v>45076.457000000002</v>
      </c>
      <c r="N19" s="135">
        <f>Emissionsfaktorer!E$12*F19</f>
        <v>39544.091999999997</v>
      </c>
      <c r="O19" s="124"/>
      <c r="P19" s="124">
        <v>5789</v>
      </c>
      <c r="Q19" s="204">
        <v>5928</v>
      </c>
      <c r="R19" s="134"/>
      <c r="S19" s="134">
        <f t="shared" si="0"/>
        <v>249106.459</v>
      </c>
      <c r="T19" s="134">
        <f t="shared" si="1"/>
        <v>255087.76800000001</v>
      </c>
      <c r="U19" s="134">
        <f t="shared" si="23"/>
        <v>5981.3090000000084</v>
      </c>
      <c r="V19" s="134">
        <f t="shared" si="24"/>
        <v>255087.76800000001</v>
      </c>
      <c r="W19" s="134"/>
      <c r="X19" s="134">
        <f t="shared" si="2"/>
        <v>98.383277646129542</v>
      </c>
      <c r="Y19" s="134">
        <f t="shared" si="3"/>
        <v>100.74556398104266</v>
      </c>
      <c r="Z19" s="124">
        <v>9.0999999999999998E-2</v>
      </c>
      <c r="AA19" s="134"/>
      <c r="AB19" s="134">
        <f>Emissionsfaktorer!E$17*S19</f>
        <v>24910.645900000003</v>
      </c>
      <c r="AC19" s="134">
        <f>Emissionsfaktorer!E$18*T19</f>
        <v>23723.162424000002</v>
      </c>
      <c r="AD19" s="173"/>
      <c r="AE19" s="134">
        <f t="shared" si="25"/>
        <v>69987.102899999998</v>
      </c>
      <c r="AF19" s="134">
        <f t="shared" si="26"/>
        <v>63267.254423999999</v>
      </c>
      <c r="AG19" s="134">
        <f t="shared" si="27"/>
        <v>-6719.8484759999992</v>
      </c>
      <c r="AH19" s="135">
        <f t="shared" si="4"/>
        <v>24.987067308056872</v>
      </c>
      <c r="AI19" s="134">
        <f t="shared" si="5"/>
        <v>213303.79155389665</v>
      </c>
      <c r="AJ19" s="134">
        <f t="shared" si="6"/>
        <v>264234.78732688335</v>
      </c>
      <c r="AK19" s="134">
        <f t="shared" si="28"/>
        <v>204353.12469237079</v>
      </c>
      <c r="AL19" s="134">
        <f t="shared" si="29"/>
        <v>266521.54215860413</v>
      </c>
      <c r="AM19" s="134">
        <f t="shared" si="7"/>
        <v>50930.995772986702</v>
      </c>
      <c r="AN19" s="134">
        <f t="shared" si="8"/>
        <v>84.243203615283036</v>
      </c>
      <c r="AO19" s="134">
        <f t="shared" si="9"/>
        <v>104.35813085579912</v>
      </c>
      <c r="AP19" s="124">
        <f>Emissionsfaktorer!E$16</f>
        <v>8.5999999999999993E-2</v>
      </c>
      <c r="AQ19" s="134">
        <f t="shared" si="10"/>
        <v>18344.126073635111</v>
      </c>
      <c r="AR19" s="134">
        <f t="shared" si="11"/>
        <v>22724.191710111965</v>
      </c>
      <c r="AS19">
        <f t="shared" si="12"/>
        <v>17574.368723543888</v>
      </c>
      <c r="AT19" s="173">
        <f t="shared" si="13"/>
        <v>22920.852625639953</v>
      </c>
      <c r="AU19" s="134">
        <f t="shared" si="14"/>
        <v>63420.583073635113</v>
      </c>
      <c r="AV19" s="134">
        <f t="shared" si="15"/>
        <v>62268.283710111966</v>
      </c>
      <c r="AW19" s="134">
        <f t="shared" si="16"/>
        <v>62650.825723543894</v>
      </c>
      <c r="AX19" s="134">
        <f t="shared" si="17"/>
        <v>62464.944625639953</v>
      </c>
      <c r="AY19" s="134">
        <f t="shared" si="30"/>
        <v>-1152.2993635231469</v>
      </c>
      <c r="AZ19" s="134">
        <f t="shared" si="31"/>
        <v>39347.431084472017</v>
      </c>
      <c r="BA19" s="134">
        <f t="shared" si="18"/>
        <v>24.592529111418628</v>
      </c>
      <c r="BB19" s="106"/>
    </row>
    <row r="20" spans="1:54">
      <c r="A20" s="1" t="s">
        <v>69</v>
      </c>
      <c r="B20" s="6" t="s">
        <v>69</v>
      </c>
      <c r="C20" s="139">
        <v>8900</v>
      </c>
      <c r="D20" s="129"/>
      <c r="E20" s="124">
        <v>158726</v>
      </c>
      <c r="F20" s="204">
        <v>137219</v>
      </c>
      <c r="G20" s="124">
        <f t="shared" si="19"/>
        <v>-21507</v>
      </c>
      <c r="H20" s="124">
        <f t="shared" si="20"/>
        <v>137219</v>
      </c>
      <c r="I20" s="134"/>
      <c r="J20" s="134">
        <f t="shared" si="21"/>
        <v>17.83438202247191</v>
      </c>
      <c r="K20" s="135">
        <f t="shared" si="22"/>
        <v>15.417865168539326</v>
      </c>
      <c r="L20" s="134"/>
      <c r="M20" s="134">
        <f>Emissionsfaktorer!E$11*E20</f>
        <v>71267.974000000002</v>
      </c>
      <c r="N20" s="135">
        <f>Emissionsfaktorer!E$12*F20</f>
        <v>51868.781999999999</v>
      </c>
      <c r="O20" s="124"/>
      <c r="P20" s="124">
        <v>21331</v>
      </c>
      <c r="Q20" s="179">
        <v>23261</v>
      </c>
      <c r="R20" s="134"/>
      <c r="S20" s="134">
        <f t="shared" si="0"/>
        <v>917894.26100000006</v>
      </c>
      <c r="T20" s="134">
        <f t="shared" si="1"/>
        <v>1000944.091</v>
      </c>
      <c r="U20" s="134">
        <f t="shared" si="23"/>
        <v>83049.829999999958</v>
      </c>
      <c r="V20" s="134">
        <f t="shared" si="24"/>
        <v>1000944.091</v>
      </c>
      <c r="W20" s="134"/>
      <c r="X20" s="134">
        <f t="shared" si="2"/>
        <v>103.13418662921349</v>
      </c>
      <c r="Y20" s="134">
        <f t="shared" si="3"/>
        <v>112.46562820224719</v>
      </c>
      <c r="Z20" s="124">
        <v>9.0999999999999998E-2</v>
      </c>
      <c r="AA20" s="134"/>
      <c r="AB20" s="134">
        <f>Emissionsfaktorer!E$17*S20</f>
        <v>91789.426100000012</v>
      </c>
      <c r="AC20" s="134">
        <f>Emissionsfaktorer!E$18*T20</f>
        <v>93087.800463000007</v>
      </c>
      <c r="AD20" s="173"/>
      <c r="AE20" s="134">
        <f t="shared" si="25"/>
        <v>163057.40010000003</v>
      </c>
      <c r="AF20" s="134">
        <f t="shared" si="26"/>
        <v>144956.582463</v>
      </c>
      <c r="AG20" s="134">
        <f t="shared" si="27"/>
        <v>-18100.817637000029</v>
      </c>
      <c r="AH20" s="135">
        <f t="shared" si="4"/>
        <v>16.287256456516854</v>
      </c>
      <c r="AI20" s="134">
        <f t="shared" si="5"/>
        <v>785970.49190467596</v>
      </c>
      <c r="AJ20" s="134">
        <f t="shared" si="6"/>
        <v>1036836.2665335075</v>
      </c>
      <c r="AK20" s="134">
        <f t="shared" si="28"/>
        <v>752989.54963084497</v>
      </c>
      <c r="AL20" s="134">
        <f t="shared" si="29"/>
        <v>1045809.3104168844</v>
      </c>
      <c r="AM20" s="134">
        <f t="shared" si="7"/>
        <v>250865.77462883154</v>
      </c>
      <c r="AN20" s="134">
        <f t="shared" si="8"/>
        <v>88.311291225244489</v>
      </c>
      <c r="AO20" s="134">
        <f t="shared" si="9"/>
        <v>116.49845691387725</v>
      </c>
      <c r="AP20" s="124">
        <f>Emissionsfaktorer!E$16</f>
        <v>8.5999999999999993E-2</v>
      </c>
      <c r="AQ20" s="134">
        <f t="shared" si="10"/>
        <v>67593.462303802124</v>
      </c>
      <c r="AR20" s="134">
        <f t="shared" si="11"/>
        <v>89167.918921881632</v>
      </c>
      <c r="AS20">
        <f t="shared" si="12"/>
        <v>64757.101268252663</v>
      </c>
      <c r="AT20" s="173">
        <f t="shared" si="13"/>
        <v>89939.600695852045</v>
      </c>
      <c r="AU20" s="134">
        <f t="shared" si="14"/>
        <v>138861.43630380213</v>
      </c>
      <c r="AV20" s="134">
        <f t="shared" si="15"/>
        <v>141036.70092188162</v>
      </c>
      <c r="AW20" s="134">
        <f t="shared" si="16"/>
        <v>136025.07526825267</v>
      </c>
      <c r="AX20" s="134">
        <f t="shared" si="17"/>
        <v>141808.38269585205</v>
      </c>
      <c r="AY20" s="134">
        <f t="shared" si="30"/>
        <v>2175.2646180794982</v>
      </c>
      <c r="AZ20" s="134">
        <f t="shared" si="31"/>
        <v>51097.100226029579</v>
      </c>
      <c r="BA20" s="134">
        <f t="shared" si="18"/>
        <v>15.846820328301305</v>
      </c>
      <c r="BB20" s="106"/>
    </row>
    <row r="21" spans="1:54">
      <c r="A21" s="2" t="s">
        <v>68</v>
      </c>
      <c r="B21" s="6" t="s">
        <v>68</v>
      </c>
      <c r="C21" s="139">
        <f>39+283+317+29+18</f>
        <v>686</v>
      </c>
      <c r="D21" s="129"/>
      <c r="E21" s="124">
        <v>36246</v>
      </c>
      <c r="F21" s="204">
        <v>33485</v>
      </c>
      <c r="G21" s="124">
        <f t="shared" si="19"/>
        <v>-2761</v>
      </c>
      <c r="H21" s="124">
        <f t="shared" si="20"/>
        <v>33485</v>
      </c>
      <c r="I21" s="134"/>
      <c r="J21" s="134">
        <f t="shared" si="21"/>
        <v>52.836734693877553</v>
      </c>
      <c r="K21" s="135">
        <f t="shared" si="22"/>
        <v>48.811953352769677</v>
      </c>
      <c r="L21" s="134"/>
      <c r="M21" s="134">
        <f>Emissionsfaktorer!E$11*E21</f>
        <v>16274.454</v>
      </c>
      <c r="N21" s="135">
        <f>Emissionsfaktorer!E$12*F21</f>
        <v>12657.33</v>
      </c>
      <c r="O21" s="124"/>
      <c r="P21" s="124">
        <v>4171</v>
      </c>
      <c r="Q21" s="204">
        <v>3186</v>
      </c>
      <c r="R21" s="134"/>
      <c r="S21" s="134">
        <f t="shared" si="0"/>
        <v>179482.30100000001</v>
      </c>
      <c r="T21" s="134">
        <f t="shared" si="1"/>
        <v>137096.766</v>
      </c>
      <c r="U21" s="134">
        <f t="shared" si="23"/>
        <v>-42385.535000000003</v>
      </c>
      <c r="V21" s="134">
        <f t="shared" si="24"/>
        <v>137096.766</v>
      </c>
      <c r="W21" s="134"/>
      <c r="X21" s="134">
        <f t="shared" si="2"/>
        <v>261.63600728862974</v>
      </c>
      <c r="Y21" s="134">
        <f t="shared" si="3"/>
        <v>199.84951311953353</v>
      </c>
      <c r="Z21" s="171">
        <v>0.34699999999999998</v>
      </c>
      <c r="AA21" s="134"/>
      <c r="AB21" s="134">
        <f>Emissionsfaktorer!E$14*S21</f>
        <v>47024.362862000002</v>
      </c>
      <c r="AC21" s="134">
        <f>Emissionsfaktorer!E$15*T21</f>
        <v>32903.223839999999</v>
      </c>
      <c r="AD21" s="173"/>
      <c r="AE21" s="134">
        <f t="shared" si="25"/>
        <v>63298.816862</v>
      </c>
      <c r="AF21" s="134">
        <f t="shared" si="26"/>
        <v>45560.55384</v>
      </c>
      <c r="AG21" s="134">
        <f t="shared" si="27"/>
        <v>-17738.263021999999</v>
      </c>
      <c r="AH21" s="135">
        <f t="shared" si="4"/>
        <v>66.414801516034984</v>
      </c>
      <c r="AI21" s="134">
        <f t="shared" si="5"/>
        <v>153686.32139770302</v>
      </c>
      <c r="AJ21" s="134">
        <f t="shared" si="6"/>
        <v>142012.8259823634</v>
      </c>
      <c r="AK21" s="134">
        <f t="shared" si="28"/>
        <v>147237.32649712879</v>
      </c>
      <c r="AL21" s="134">
        <f t="shared" si="29"/>
        <v>143241.84097795424</v>
      </c>
      <c r="AM21" s="134">
        <f t="shared" si="7"/>
        <v>-11673.495415339625</v>
      </c>
      <c r="AN21" s="134">
        <f t="shared" si="8"/>
        <v>224.03253848061667</v>
      </c>
      <c r="AO21" s="134">
        <f t="shared" si="9"/>
        <v>207.01578131539856</v>
      </c>
      <c r="AP21" s="124">
        <f>Emissionsfaktorer!E$13</f>
        <v>0.34699999999999998</v>
      </c>
      <c r="AQ21" s="134">
        <f t="shared" si="10"/>
        <v>53329.153525002948</v>
      </c>
      <c r="AR21" s="134">
        <f t="shared" si="11"/>
        <v>49278.450615880094</v>
      </c>
      <c r="AS21">
        <f t="shared" si="12"/>
        <v>51091.352294503682</v>
      </c>
      <c r="AT21" s="173">
        <f t="shared" si="13"/>
        <v>49704.918819350118</v>
      </c>
      <c r="AU21" s="134">
        <f t="shared" si="14"/>
        <v>69603.607525002953</v>
      </c>
      <c r="AV21" s="134">
        <f t="shared" si="15"/>
        <v>61935.780615880096</v>
      </c>
      <c r="AW21" s="134">
        <f t="shared" si="16"/>
        <v>67365.80629450368</v>
      </c>
      <c r="AX21" s="134">
        <f t="shared" si="17"/>
        <v>62362.248819350119</v>
      </c>
      <c r="AY21" s="134">
        <f t="shared" si="30"/>
        <v>-7667.8269091228576</v>
      </c>
      <c r="AZ21" s="134">
        <f t="shared" si="31"/>
        <v>12230.861796529978</v>
      </c>
      <c r="BA21" s="134">
        <f t="shared" si="18"/>
        <v>90.285394483790228</v>
      </c>
      <c r="BB21" s="106"/>
    </row>
    <row r="22" spans="1:54">
      <c r="A22" s="1" t="s">
        <v>72</v>
      </c>
      <c r="B22" s="6" t="s">
        <v>72</v>
      </c>
      <c r="C22" s="139">
        <v>4961</v>
      </c>
      <c r="D22" s="129"/>
      <c r="E22" s="124">
        <v>135655</v>
      </c>
      <c r="F22" s="204">
        <v>130988</v>
      </c>
      <c r="G22" s="124">
        <f t="shared" si="19"/>
        <v>-4667</v>
      </c>
      <c r="H22" s="124">
        <f t="shared" si="20"/>
        <v>130988</v>
      </c>
      <c r="I22" s="134"/>
      <c r="J22" s="134">
        <f t="shared" si="21"/>
        <v>27.344285426325339</v>
      </c>
      <c r="K22" s="135">
        <f t="shared" si="22"/>
        <v>26.403547671840354</v>
      </c>
      <c r="L22" s="134"/>
      <c r="M22" s="134">
        <f>Emissionsfaktorer!E$11*E22</f>
        <v>60909.095000000001</v>
      </c>
      <c r="N22" s="135">
        <f>Emissionsfaktorer!E$12*F22</f>
        <v>49513.464</v>
      </c>
      <c r="O22" s="124"/>
      <c r="P22" s="124">
        <v>11361</v>
      </c>
      <c r="Q22" s="204">
        <v>8483</v>
      </c>
      <c r="R22" s="134"/>
      <c r="S22" s="134">
        <f t="shared" si="0"/>
        <v>488875.19099999999</v>
      </c>
      <c r="T22" s="134">
        <f t="shared" si="1"/>
        <v>365031.973</v>
      </c>
      <c r="U22" s="134">
        <f t="shared" si="23"/>
        <v>-123843.21799999999</v>
      </c>
      <c r="V22" s="134">
        <f t="shared" si="24"/>
        <v>365031.973</v>
      </c>
      <c r="W22" s="134"/>
      <c r="X22" s="134">
        <f t="shared" si="2"/>
        <v>98.543678895383991</v>
      </c>
      <c r="Y22" s="134">
        <f t="shared" si="3"/>
        <v>73.580321104616004</v>
      </c>
      <c r="Z22" s="124">
        <v>9.0999999999999998E-2</v>
      </c>
      <c r="AA22" s="134"/>
      <c r="AB22" s="134">
        <f>Emissionsfaktorer!E$17*S22</f>
        <v>48887.519100000005</v>
      </c>
      <c r="AC22" s="134">
        <f>Emissionsfaktorer!E$18*T22</f>
        <v>33947.973488999996</v>
      </c>
      <c r="AD22" s="173"/>
      <c r="AE22" s="134">
        <f t="shared" si="25"/>
        <v>109796.61410000001</v>
      </c>
      <c r="AF22" s="134">
        <f t="shared" si="26"/>
        <v>83461.437489000004</v>
      </c>
      <c r="AG22" s="134">
        <f t="shared" si="27"/>
        <v>-26335.176611000003</v>
      </c>
      <c r="AH22" s="135">
        <f t="shared" si="4"/>
        <v>16.823510882684943</v>
      </c>
      <c r="AI22" s="134">
        <f t="shared" si="5"/>
        <v>418611.91498424939</v>
      </c>
      <c r="AJ22" s="134">
        <f t="shared" si="6"/>
        <v>378121.40703339258</v>
      </c>
      <c r="AK22" s="134">
        <f t="shared" si="28"/>
        <v>401046.09598031169</v>
      </c>
      <c r="AL22" s="134">
        <f t="shared" si="29"/>
        <v>381393.76554174069</v>
      </c>
      <c r="AM22" s="134">
        <f t="shared" si="7"/>
        <v>-40490.507950856816</v>
      </c>
      <c r="AN22" s="134">
        <f t="shared" si="8"/>
        <v>84.380551296966217</v>
      </c>
      <c r="AO22" s="134">
        <f t="shared" si="9"/>
        <v>76.218787952709647</v>
      </c>
      <c r="AP22" s="124">
        <f>Emissionsfaktorer!E$16</f>
        <v>8.5999999999999993E-2</v>
      </c>
      <c r="AQ22" s="134">
        <f t="shared" si="10"/>
        <v>36000.624688645446</v>
      </c>
      <c r="AR22" s="134">
        <f t="shared" si="11"/>
        <v>32518.441004871758</v>
      </c>
      <c r="AS22">
        <f t="shared" si="12"/>
        <v>34489.964254306804</v>
      </c>
      <c r="AT22" s="173">
        <f t="shared" si="13"/>
        <v>32799.863836589699</v>
      </c>
      <c r="AU22" s="134">
        <f t="shared" si="14"/>
        <v>96909.719688645448</v>
      </c>
      <c r="AV22" s="134">
        <f t="shared" si="15"/>
        <v>82031.905004871762</v>
      </c>
      <c r="AW22" s="134">
        <f t="shared" si="16"/>
        <v>95399.059254306805</v>
      </c>
      <c r="AX22" s="134">
        <f t="shared" si="17"/>
        <v>82313.327836589699</v>
      </c>
      <c r="AY22" s="134">
        <f t="shared" si="30"/>
        <v>-14877.814683773686</v>
      </c>
      <c r="AZ22" s="134">
        <f t="shared" si="31"/>
        <v>49232.041168282063</v>
      </c>
      <c r="BA22" s="134">
        <f t="shared" si="18"/>
        <v>16.535356783888684</v>
      </c>
      <c r="BB22" s="106"/>
    </row>
    <row r="23" spans="1:54">
      <c r="A23" s="1" t="s">
        <v>70</v>
      </c>
      <c r="B23" s="6" t="s">
        <v>70</v>
      </c>
      <c r="C23" s="139">
        <v>12128</v>
      </c>
      <c r="D23" s="129"/>
      <c r="E23" s="124">
        <v>292926</v>
      </c>
      <c r="F23" s="204">
        <v>299692</v>
      </c>
      <c r="G23" s="124">
        <f t="shared" si="19"/>
        <v>6766</v>
      </c>
      <c r="H23" s="124">
        <f t="shared" si="20"/>
        <v>299692</v>
      </c>
      <c r="I23" s="134"/>
      <c r="J23" s="134">
        <f t="shared" si="21"/>
        <v>24.152869393139841</v>
      </c>
      <c r="K23" s="135">
        <f t="shared" si="22"/>
        <v>24.710751978891821</v>
      </c>
      <c r="L23" s="134"/>
      <c r="M23" s="134">
        <f>Emissionsfaktorer!E$11*E23</f>
        <v>131523.774</v>
      </c>
      <c r="N23" s="135">
        <f>Emissionsfaktorer!E$12*F23</f>
        <v>113283.576</v>
      </c>
      <c r="O23" s="124"/>
      <c r="P23" s="124">
        <v>35091</v>
      </c>
      <c r="Q23" s="204">
        <v>32924</v>
      </c>
      <c r="R23" s="134"/>
      <c r="S23" s="134">
        <f t="shared" si="0"/>
        <v>1510000.821</v>
      </c>
      <c r="T23" s="134">
        <f t="shared" si="1"/>
        <v>1416752.6440000001</v>
      </c>
      <c r="U23" s="134">
        <f t="shared" si="23"/>
        <v>-93248.176999999909</v>
      </c>
      <c r="V23" s="134">
        <f t="shared" si="24"/>
        <v>1416752.6440000001</v>
      </c>
      <c r="W23" s="134"/>
      <c r="X23" s="134">
        <f t="shared" si="2"/>
        <v>124.50534473944592</v>
      </c>
      <c r="Y23" s="134">
        <f t="shared" si="3"/>
        <v>116.81667579155673</v>
      </c>
      <c r="Z23" s="124">
        <v>9.0999999999999998E-2</v>
      </c>
      <c r="AA23" s="134"/>
      <c r="AB23" s="134">
        <f>Emissionsfaktorer!E$17*S23</f>
        <v>151000.0821</v>
      </c>
      <c r="AC23" s="134">
        <f>Emissionsfaktorer!E$18*T23</f>
        <v>131757.99589200001</v>
      </c>
      <c r="AD23" s="173"/>
      <c r="AE23" s="134">
        <f t="shared" si="25"/>
        <v>282523.85609999998</v>
      </c>
      <c r="AF23" s="134">
        <f t="shared" si="26"/>
        <v>245041.57189200001</v>
      </c>
      <c r="AG23" s="134">
        <f t="shared" si="27"/>
        <v>-37482.284207999968</v>
      </c>
      <c r="AH23" s="135">
        <f t="shared" si="4"/>
        <v>20.204615096635884</v>
      </c>
      <c r="AI23" s="134">
        <f t="shared" si="5"/>
        <v>1292976.9130105004</v>
      </c>
      <c r="AJ23" s="134">
        <f t="shared" si="6"/>
        <v>1467555.0165233309</v>
      </c>
      <c r="AK23" s="134">
        <f t="shared" si="28"/>
        <v>1238720.9360131253</v>
      </c>
      <c r="AL23" s="134">
        <f t="shared" si="29"/>
        <v>1480255.6096541637</v>
      </c>
      <c r="AM23" s="134">
        <f t="shared" si="7"/>
        <v>174578.10351283057</v>
      </c>
      <c r="AN23" s="134">
        <f t="shared" si="8"/>
        <v>106.61089322316131</v>
      </c>
      <c r="AO23" s="134">
        <f t="shared" si="9"/>
        <v>121.00552576874431</v>
      </c>
      <c r="AP23" s="124">
        <f>Emissionsfaktorer!E$16</f>
        <v>8.5999999999999993E-2</v>
      </c>
      <c r="AQ23" s="134">
        <f t="shared" si="10"/>
        <v>111196.01451890303</v>
      </c>
      <c r="AR23" s="134">
        <f t="shared" si="11"/>
        <v>126209.73142100645</v>
      </c>
      <c r="AS23">
        <f t="shared" si="12"/>
        <v>106530.00049712877</v>
      </c>
      <c r="AT23" s="173">
        <f t="shared" si="13"/>
        <v>127301.98243025807</v>
      </c>
      <c r="AU23" s="134">
        <f t="shared" si="14"/>
        <v>242719.78851890302</v>
      </c>
      <c r="AV23" s="134">
        <f t="shared" si="15"/>
        <v>239493.30742100644</v>
      </c>
      <c r="AW23" s="134">
        <f t="shared" si="16"/>
        <v>238053.77449712879</v>
      </c>
      <c r="AX23" s="134">
        <f t="shared" si="17"/>
        <v>240585.55843025807</v>
      </c>
      <c r="AY23" s="134">
        <f t="shared" si="30"/>
        <v>-3226.4810978965834</v>
      </c>
      <c r="AZ23" s="134">
        <f t="shared" si="31"/>
        <v>112191.32499074837</v>
      </c>
      <c r="BA23" s="134">
        <f t="shared" si="18"/>
        <v>19.747139464133117</v>
      </c>
      <c r="BB23" s="106"/>
    </row>
    <row r="24" spans="1:54">
      <c r="A24" s="2" t="s">
        <v>71</v>
      </c>
      <c r="B24" s="6" t="s">
        <v>106</v>
      </c>
      <c r="C24" s="139">
        <v>5405</v>
      </c>
      <c r="D24" s="129"/>
      <c r="E24" s="124">
        <v>123422</v>
      </c>
      <c r="F24" s="204">
        <v>114927</v>
      </c>
      <c r="G24" s="124">
        <f t="shared" si="19"/>
        <v>-8495</v>
      </c>
      <c r="H24" s="124">
        <f t="shared" si="20"/>
        <v>114927</v>
      </c>
      <c r="I24" s="134"/>
      <c r="J24" s="134">
        <f t="shared" si="21"/>
        <v>22.834782608695651</v>
      </c>
      <c r="K24" s="135">
        <f t="shared" si="22"/>
        <v>21.263089731729881</v>
      </c>
      <c r="L24" s="134"/>
      <c r="M24" s="134">
        <f>Emissionsfaktorer!E$11*E24</f>
        <v>55416.478000000003</v>
      </c>
      <c r="N24" s="135">
        <f>Emissionsfaktorer!E$12*F24</f>
        <v>43442.406000000003</v>
      </c>
      <c r="O24" s="124"/>
      <c r="P24" s="124">
        <v>14688</v>
      </c>
      <c r="Q24" s="204">
        <v>13484</v>
      </c>
      <c r="R24" s="134"/>
      <c r="S24" s="134">
        <f t="shared" si="0"/>
        <v>632039.32799999998</v>
      </c>
      <c r="T24" s="134">
        <f t="shared" si="1"/>
        <v>580230.00400000007</v>
      </c>
      <c r="U24" s="134">
        <f t="shared" si="23"/>
        <v>-51809.323999999906</v>
      </c>
      <c r="V24" s="134">
        <f t="shared" si="24"/>
        <v>580230.00400000007</v>
      </c>
      <c r="W24" s="134"/>
      <c r="X24" s="134">
        <f t="shared" si="2"/>
        <v>116.93604588344125</v>
      </c>
      <c r="Y24" s="134">
        <f t="shared" si="3"/>
        <v>107.35060203515265</v>
      </c>
      <c r="Z24" s="124">
        <v>0.20399999999999999</v>
      </c>
      <c r="AA24" s="134"/>
      <c r="AB24" s="134">
        <f>Emissionsfaktorer!E$14*S24</f>
        <v>165594.30393600001</v>
      </c>
      <c r="AC24" s="134">
        <f>Emissionsfaktorer!E$15*T24</f>
        <v>139255.20096000002</v>
      </c>
      <c r="AD24" s="173"/>
      <c r="AE24" s="134">
        <f t="shared" si="25"/>
        <v>221010.78193600001</v>
      </c>
      <c r="AF24" s="134">
        <f t="shared" si="26"/>
        <v>182697.60696</v>
      </c>
      <c r="AG24" s="134">
        <f t="shared" si="27"/>
        <v>-38313.174976000009</v>
      </c>
      <c r="AH24" s="135">
        <f t="shared" si="4"/>
        <v>33.801592407030526</v>
      </c>
      <c r="AI24" s="134">
        <f t="shared" si="5"/>
        <v>541199.87741296145</v>
      </c>
      <c r="AJ24" s="134">
        <f t="shared" si="6"/>
        <v>601036.0783258595</v>
      </c>
      <c r="AK24" s="134">
        <f t="shared" si="28"/>
        <v>518490.01476620173</v>
      </c>
      <c r="AL24" s="134">
        <f t="shared" si="29"/>
        <v>606237.59690732427</v>
      </c>
      <c r="AM24" s="134">
        <f t="shared" si="7"/>
        <v>59836.200912898057</v>
      </c>
      <c r="AN24" s="134">
        <f t="shared" si="8"/>
        <v>100.12948703292534</v>
      </c>
      <c r="AO24" s="134">
        <f t="shared" si="9"/>
        <v>111.20001449137087</v>
      </c>
      <c r="AP24" s="124">
        <f>Emissionsfaktorer!E$13</f>
        <v>0.34699999999999998</v>
      </c>
      <c r="AQ24" s="134">
        <f t="shared" si="10"/>
        <v>187796.3574622976</v>
      </c>
      <c r="AR24" s="134">
        <f t="shared" si="11"/>
        <v>208559.51917907322</v>
      </c>
      <c r="AS24">
        <f t="shared" si="12"/>
        <v>179916.03512387199</v>
      </c>
      <c r="AT24" s="173">
        <f t="shared" si="13"/>
        <v>210364.4461268415</v>
      </c>
      <c r="AU24" s="134">
        <f t="shared" si="14"/>
        <v>243212.8354622976</v>
      </c>
      <c r="AV24" s="134">
        <f t="shared" si="15"/>
        <v>252001.92517907324</v>
      </c>
      <c r="AW24" s="134">
        <f t="shared" si="16"/>
        <v>235332.51312387199</v>
      </c>
      <c r="AX24" s="134">
        <f t="shared" si="17"/>
        <v>253806.85212684149</v>
      </c>
      <c r="AY24" s="134">
        <f t="shared" si="30"/>
        <v>8789.0897167756339</v>
      </c>
      <c r="AZ24" s="134">
        <f t="shared" si="31"/>
        <v>41637.479052231734</v>
      </c>
      <c r="BA24" s="134">
        <f t="shared" si="18"/>
        <v>46.623852947099579</v>
      </c>
      <c r="BB24" s="106"/>
    </row>
    <row r="25" spans="1:54">
      <c r="A25" s="1" t="s">
        <v>73</v>
      </c>
      <c r="B25" s="6" t="s">
        <v>73</v>
      </c>
      <c r="C25" s="139">
        <v>1286</v>
      </c>
      <c r="D25" s="129"/>
      <c r="E25" s="124">
        <v>60939</v>
      </c>
      <c r="F25" s="204">
        <v>59703</v>
      </c>
      <c r="G25" s="124">
        <f t="shared" si="19"/>
        <v>-1236</v>
      </c>
      <c r="H25" s="124">
        <f t="shared" si="20"/>
        <v>59703</v>
      </c>
      <c r="I25" s="134"/>
      <c r="J25" s="134">
        <f t="shared" si="21"/>
        <v>47.386469673405912</v>
      </c>
      <c r="K25" s="135">
        <f t="shared" si="22"/>
        <v>46.425349922239505</v>
      </c>
      <c r="L25" s="134"/>
      <c r="M25" s="134">
        <f>Emissionsfaktorer!E$11*E25</f>
        <v>27361.611000000001</v>
      </c>
      <c r="N25" s="135">
        <f>Emissionsfaktorer!E$12*F25</f>
        <v>22567.734</v>
      </c>
      <c r="O25" s="124"/>
      <c r="P25" s="124">
        <v>10271</v>
      </c>
      <c r="Q25" s="204">
        <v>9681</v>
      </c>
      <c r="R25" s="134"/>
      <c r="S25" s="134">
        <f t="shared" si="0"/>
        <v>441971.40100000001</v>
      </c>
      <c r="T25" s="134">
        <f t="shared" si="1"/>
        <v>416583.11100000003</v>
      </c>
      <c r="U25" s="134">
        <f t="shared" si="23"/>
        <v>-25388.289999999979</v>
      </c>
      <c r="V25" s="134">
        <f t="shared" si="24"/>
        <v>416583.11100000003</v>
      </c>
      <c r="W25" s="134"/>
      <c r="X25" s="134">
        <f t="shared" si="2"/>
        <v>343.67916096423016</v>
      </c>
      <c r="Y25" s="134">
        <f t="shared" si="3"/>
        <v>323.937100311042</v>
      </c>
      <c r="Z25" s="124">
        <v>9.0999999999999998E-2</v>
      </c>
      <c r="AA25" s="134"/>
      <c r="AB25" s="134">
        <f>Emissionsfaktorer!E$17*S25</f>
        <v>44197.140100000004</v>
      </c>
      <c r="AC25" s="134">
        <f>Emissionsfaktorer!E$18*T25</f>
        <v>38742.229323</v>
      </c>
      <c r="AD25" s="173"/>
      <c r="AE25" s="134">
        <f t="shared" si="25"/>
        <v>71558.751100000009</v>
      </c>
      <c r="AF25" s="134">
        <f t="shared" si="26"/>
        <v>61309.963323000004</v>
      </c>
      <c r="AG25" s="134">
        <f t="shared" si="27"/>
        <v>-10248.787777000005</v>
      </c>
      <c r="AH25" s="135">
        <f t="shared" si="4"/>
        <v>47.674932599533442</v>
      </c>
      <c r="AI25" s="134">
        <f t="shared" si="5"/>
        <v>378449.34238211648</v>
      </c>
      <c r="AJ25" s="134">
        <f t="shared" si="6"/>
        <v>431521.08234000637</v>
      </c>
      <c r="AK25" s="134">
        <f t="shared" si="28"/>
        <v>362568.82772764558</v>
      </c>
      <c r="AL25" s="134">
        <f t="shared" si="29"/>
        <v>435255.57517500792</v>
      </c>
      <c r="AM25" s="134">
        <f t="shared" si="7"/>
        <v>53071.739957889891</v>
      </c>
      <c r="AN25" s="134">
        <f t="shared" si="8"/>
        <v>294.28409205452294</v>
      </c>
      <c r="AO25" s="134">
        <f t="shared" si="9"/>
        <v>335.55294116641244</v>
      </c>
      <c r="AP25" s="124">
        <f>Emissionsfaktorer!E$16</f>
        <v>8.5999999999999993E-2</v>
      </c>
      <c r="AQ25" s="134">
        <f t="shared" si="10"/>
        <v>32546.643444862013</v>
      </c>
      <c r="AR25" s="134">
        <f t="shared" si="11"/>
        <v>37110.813081240543</v>
      </c>
      <c r="AS25">
        <f t="shared" si="12"/>
        <v>31180.919184577517</v>
      </c>
      <c r="AT25" s="173">
        <f t="shared" si="13"/>
        <v>37431.979465050681</v>
      </c>
      <c r="AU25" s="134">
        <f t="shared" si="14"/>
        <v>59908.254444862017</v>
      </c>
      <c r="AV25" s="134">
        <f t="shared" si="15"/>
        <v>59678.54708124054</v>
      </c>
      <c r="AW25" s="134">
        <f t="shared" si="16"/>
        <v>58542.530184577518</v>
      </c>
      <c r="AX25" s="134">
        <f t="shared" si="17"/>
        <v>59999.713465050678</v>
      </c>
      <c r="AY25" s="134">
        <f t="shared" si="30"/>
        <v>-229.70736362147727</v>
      </c>
      <c r="AZ25" s="134">
        <f t="shared" si="31"/>
        <v>22246.567616189859</v>
      </c>
      <c r="BA25" s="134">
        <f t="shared" si="18"/>
        <v>46.406335210917995</v>
      </c>
      <c r="BB25" s="106"/>
    </row>
    <row r="26" spans="1:54">
      <c r="A26" s="1" t="s">
        <v>74</v>
      </c>
      <c r="B26" s="6" t="s">
        <v>74</v>
      </c>
      <c r="C26" s="139">
        <v>14623</v>
      </c>
      <c r="D26" s="129"/>
      <c r="E26" s="124">
        <v>761409</v>
      </c>
      <c r="F26" s="179">
        <v>693596</v>
      </c>
      <c r="G26" s="124">
        <f t="shared" si="19"/>
        <v>-67813</v>
      </c>
      <c r="H26" s="124">
        <f t="shared" si="20"/>
        <v>693596</v>
      </c>
      <c r="I26" s="134"/>
      <c r="J26" s="134">
        <f t="shared" si="21"/>
        <v>52.06927443069138</v>
      </c>
      <c r="K26" s="135">
        <f t="shared" si="22"/>
        <v>47.431853928742392</v>
      </c>
      <c r="L26" s="134"/>
      <c r="M26" s="134">
        <f>Emissionsfaktorer!E$11*E26</f>
        <v>341872.641</v>
      </c>
      <c r="N26" s="135">
        <f>Emissionsfaktorer!E$12*F26</f>
        <v>262179.288</v>
      </c>
      <c r="O26" s="124"/>
      <c r="P26" s="124">
        <v>32760</v>
      </c>
      <c r="Q26" s="204">
        <v>30175</v>
      </c>
      <c r="R26" s="134"/>
      <c r="S26" s="134">
        <f t="shared" si="0"/>
        <v>1409695.56</v>
      </c>
      <c r="T26" s="134">
        <f t="shared" si="1"/>
        <v>1298460.425</v>
      </c>
      <c r="U26" s="134">
        <f t="shared" si="23"/>
        <v>-111235.13500000001</v>
      </c>
      <c r="V26" s="134">
        <f t="shared" si="24"/>
        <v>1298460.425</v>
      </c>
      <c r="W26" s="134"/>
      <c r="X26" s="134">
        <f t="shared" si="2"/>
        <v>96.402623264719963</v>
      </c>
      <c r="Y26" s="134">
        <f t="shared" si="3"/>
        <v>88.79576181358135</v>
      </c>
      <c r="Z26" s="124">
        <v>9.0999999999999998E-2</v>
      </c>
      <c r="AA26" s="134"/>
      <c r="AB26" s="134">
        <f>Emissionsfaktorer!E$17*S26</f>
        <v>140969.55600000001</v>
      </c>
      <c r="AC26" s="134">
        <f>Emissionsfaktorer!E$18*T26</f>
        <v>120756.819525</v>
      </c>
      <c r="AD26" s="173"/>
      <c r="AE26" s="134">
        <f t="shared" si="25"/>
        <v>482842.19700000004</v>
      </c>
      <c r="AF26" s="134">
        <f t="shared" si="26"/>
        <v>382936.107525</v>
      </c>
      <c r="AG26" s="134">
        <f t="shared" si="27"/>
        <v>-99906.089475000044</v>
      </c>
      <c r="AH26" s="135">
        <f t="shared" si="4"/>
        <v>26.187246633727689</v>
      </c>
      <c r="AI26" s="134">
        <f t="shared" si="5"/>
        <v>1207087.9618769484</v>
      </c>
      <c r="AJ26" s="134">
        <f t="shared" si="6"/>
        <v>1345021.037042629</v>
      </c>
      <c r="AK26" s="134">
        <f t="shared" si="28"/>
        <v>1156436.0623461853</v>
      </c>
      <c r="AL26" s="134">
        <f t="shared" si="29"/>
        <v>1356661.190053286</v>
      </c>
      <c r="AM26" s="134">
        <f t="shared" si="7"/>
        <v>137933.07516568061</v>
      </c>
      <c r="AN26" s="134">
        <f t="shared" si="8"/>
        <v>82.547217525606811</v>
      </c>
      <c r="AO26" s="134">
        <f t="shared" si="9"/>
        <v>91.979828834208362</v>
      </c>
      <c r="AP26" s="124">
        <f>Emissionsfaktorer!E$16</f>
        <v>8.5999999999999993E-2</v>
      </c>
      <c r="AQ26" s="134">
        <f t="shared" si="10"/>
        <v>103809.56472141756</v>
      </c>
      <c r="AR26" s="134">
        <f t="shared" si="11"/>
        <v>115671.80918566608</v>
      </c>
      <c r="AS26">
        <f t="shared" si="12"/>
        <v>99453.501361771923</v>
      </c>
      <c r="AT26" s="173">
        <f t="shared" si="13"/>
        <v>116672.86234458259</v>
      </c>
      <c r="AU26" s="134">
        <f t="shared" si="14"/>
        <v>445682.20572141756</v>
      </c>
      <c r="AV26" s="134">
        <f t="shared" si="15"/>
        <v>377851.09718566609</v>
      </c>
      <c r="AW26" s="134">
        <f t="shared" si="16"/>
        <v>441326.1423617719</v>
      </c>
      <c r="AX26" s="134">
        <f t="shared" si="17"/>
        <v>378852.15034458262</v>
      </c>
      <c r="AY26" s="134">
        <f t="shared" si="30"/>
        <v>-67831.108535751468</v>
      </c>
      <c r="AZ26" s="134">
        <f t="shared" si="31"/>
        <v>261178.2348410835</v>
      </c>
      <c r="BA26" s="134">
        <f t="shared" si="18"/>
        <v>25.839506064806542</v>
      </c>
      <c r="BB26" s="106"/>
    </row>
    <row r="27" spans="1:54">
      <c r="A27" s="1" t="s">
        <v>75</v>
      </c>
      <c r="B27" s="6" t="s">
        <v>75</v>
      </c>
      <c r="C27" s="139">
        <v>11864</v>
      </c>
      <c r="D27" s="129"/>
      <c r="E27" s="124">
        <v>234086</v>
      </c>
      <c r="F27" s="204">
        <v>217671</v>
      </c>
      <c r="G27" s="124">
        <f t="shared" si="19"/>
        <v>-16415</v>
      </c>
      <c r="H27" s="124">
        <f t="shared" si="20"/>
        <v>217671</v>
      </c>
      <c r="I27" s="134"/>
      <c r="J27" s="134">
        <f t="shared" si="21"/>
        <v>19.730782198246796</v>
      </c>
      <c r="K27" s="135">
        <f t="shared" si="22"/>
        <v>18.347184760620365</v>
      </c>
      <c r="L27" s="134"/>
      <c r="M27" s="134">
        <f>Emissionsfaktorer!E$11*E27</f>
        <v>105104.614</v>
      </c>
      <c r="N27" s="135">
        <f>Emissionsfaktorer!E$12*F27</f>
        <v>82279.638000000006</v>
      </c>
      <c r="O27" s="124"/>
      <c r="P27" s="124">
        <v>43672</v>
      </c>
      <c r="Q27" s="204">
        <v>35917</v>
      </c>
      <c r="R27" s="134"/>
      <c r="S27" s="134">
        <f t="shared" si="0"/>
        <v>1879249.8320000002</v>
      </c>
      <c r="T27" s="134">
        <f t="shared" si="1"/>
        <v>1545544.4270000001</v>
      </c>
      <c r="U27" s="134">
        <f t="shared" si="23"/>
        <v>-333705.40500000003</v>
      </c>
      <c r="V27" s="134">
        <f t="shared" si="24"/>
        <v>1545544.4270000001</v>
      </c>
      <c r="W27" s="134"/>
      <c r="X27" s="134">
        <f t="shared" si="2"/>
        <v>158.39934524612275</v>
      </c>
      <c r="Y27" s="134">
        <f t="shared" si="3"/>
        <v>130.27178245111261</v>
      </c>
      <c r="Z27" s="124">
        <v>9.0999999999999998E-2</v>
      </c>
      <c r="AA27" s="134"/>
      <c r="AB27" s="134">
        <f>Emissionsfaktorer!E$17*S27</f>
        <v>187924.98320000002</v>
      </c>
      <c r="AC27" s="134">
        <f>Emissionsfaktorer!E$18*T27</f>
        <v>143735.63171100002</v>
      </c>
      <c r="AD27" s="173"/>
      <c r="AE27" s="134">
        <f t="shared" si="25"/>
        <v>293029.59720000002</v>
      </c>
      <c r="AF27" s="134">
        <f t="shared" si="26"/>
        <v>226015.26971100003</v>
      </c>
      <c r="AG27" s="134">
        <f t="shared" si="27"/>
        <v>-67014.327488999988</v>
      </c>
      <c r="AH27" s="135">
        <f t="shared" si="4"/>
        <v>19.050511607467971</v>
      </c>
      <c r="AI27" s="134">
        <f t="shared" si="5"/>
        <v>1609155.8446608696</v>
      </c>
      <c r="AJ27" s="134">
        <f t="shared" si="6"/>
        <v>1600965.0567509562</v>
      </c>
      <c r="AK27" s="134">
        <f t="shared" si="28"/>
        <v>1541632.3478260869</v>
      </c>
      <c r="AL27" s="134">
        <f t="shared" si="29"/>
        <v>1614820.2141886952</v>
      </c>
      <c r="AM27" s="134">
        <f t="shared" si="7"/>
        <v>-8190.7879099133424</v>
      </c>
      <c r="AN27" s="134">
        <f t="shared" si="8"/>
        <v>135.63350005570376</v>
      </c>
      <c r="AO27" s="134">
        <f t="shared" si="9"/>
        <v>134.9431099756369</v>
      </c>
      <c r="AP27" s="124">
        <f>Emissionsfaktorer!E$16</f>
        <v>8.5999999999999993E-2</v>
      </c>
      <c r="AQ27" s="134">
        <f t="shared" si="10"/>
        <v>138387.40264083477</v>
      </c>
      <c r="AR27" s="134">
        <f t="shared" si="11"/>
        <v>137682.99488058224</v>
      </c>
      <c r="AS27">
        <f t="shared" si="12"/>
        <v>132580.38191304347</v>
      </c>
      <c r="AT27" s="173">
        <f t="shared" si="13"/>
        <v>138874.53842022776</v>
      </c>
      <c r="AU27" s="134">
        <f t="shared" si="14"/>
        <v>243492.01664083477</v>
      </c>
      <c r="AV27" s="134">
        <f t="shared" si="15"/>
        <v>219962.63288058224</v>
      </c>
      <c r="AW27" s="134">
        <f t="shared" si="16"/>
        <v>237684.99591304347</v>
      </c>
      <c r="AX27" s="134">
        <f t="shared" si="17"/>
        <v>221154.17642022777</v>
      </c>
      <c r="AY27" s="134">
        <f t="shared" si="30"/>
        <v>-23529.383760252531</v>
      </c>
      <c r="AZ27" s="134">
        <f t="shared" si="31"/>
        <v>81088.094460354478</v>
      </c>
      <c r="BA27" s="134">
        <f t="shared" si="18"/>
        <v>18.540343297419273</v>
      </c>
      <c r="BB27" s="106"/>
    </row>
    <row r="28" spans="1:54">
      <c r="A28" s="2" t="s">
        <v>76</v>
      </c>
      <c r="B28" s="6" t="s">
        <v>76</v>
      </c>
      <c r="C28" s="139">
        <v>4049</v>
      </c>
      <c r="D28" s="129"/>
      <c r="E28" s="124">
        <v>67665</v>
      </c>
      <c r="F28" s="204">
        <v>61490</v>
      </c>
      <c r="G28" s="124">
        <f t="shared" si="19"/>
        <v>-6175</v>
      </c>
      <c r="H28" s="124">
        <f t="shared" si="20"/>
        <v>61490</v>
      </c>
      <c r="I28" s="134"/>
      <c r="J28" s="134">
        <f t="shared" si="21"/>
        <v>16.711533712027663</v>
      </c>
      <c r="K28" s="135">
        <f t="shared" si="22"/>
        <v>15.186465794023215</v>
      </c>
      <c r="L28" s="134"/>
      <c r="M28" s="134">
        <f>Emissionsfaktorer!E$11*E28</f>
        <v>30381.584999999999</v>
      </c>
      <c r="N28" s="135">
        <f>Emissionsfaktorer!E$12*F28</f>
        <v>23243.22</v>
      </c>
      <c r="O28" s="124"/>
      <c r="P28" s="124">
        <v>9881</v>
      </c>
      <c r="Q28" s="204">
        <v>6896</v>
      </c>
      <c r="R28" s="134"/>
      <c r="S28" s="134">
        <f t="shared" si="0"/>
        <v>425189.31099999999</v>
      </c>
      <c r="T28" s="134">
        <f t="shared" si="1"/>
        <v>296741.77600000001</v>
      </c>
      <c r="U28" s="134">
        <f t="shared" si="23"/>
        <v>-128447.53499999997</v>
      </c>
      <c r="V28" s="134">
        <f t="shared" si="24"/>
        <v>296741.77600000001</v>
      </c>
      <c r="W28" s="134"/>
      <c r="X28" s="134">
        <f t="shared" si="2"/>
        <v>105.01094368979994</v>
      </c>
      <c r="Y28" s="134">
        <f t="shared" si="3"/>
        <v>73.287670041985677</v>
      </c>
      <c r="Z28" s="171">
        <v>0.34699999999999998</v>
      </c>
      <c r="AA28" s="134"/>
      <c r="AB28" s="134">
        <f>Emissionsfaktorer!E$14*S28</f>
        <v>111399.59948200001</v>
      </c>
      <c r="AC28" s="134">
        <f>Emissionsfaktorer!E$15*T28</f>
        <v>71218.026240000007</v>
      </c>
      <c r="AD28" s="173"/>
      <c r="AE28" s="134">
        <f t="shared" si="25"/>
        <v>141781.18448200001</v>
      </c>
      <c r="AF28" s="134">
        <f t="shared" si="26"/>
        <v>94461.246240000008</v>
      </c>
      <c r="AG28" s="134">
        <f t="shared" si="27"/>
        <v>-47319.938242000004</v>
      </c>
      <c r="AH28" s="135">
        <f t="shared" si="4"/>
        <v>23.329524880217338</v>
      </c>
      <c r="AI28" s="134">
        <f t="shared" si="5"/>
        <v>364079.24759786704</v>
      </c>
      <c r="AJ28" s="134">
        <f t="shared" si="6"/>
        <v>307382.43815893849</v>
      </c>
      <c r="AK28" s="134">
        <f t="shared" si="28"/>
        <v>348801.73174733383</v>
      </c>
      <c r="AL28" s="134">
        <f t="shared" si="29"/>
        <v>310042.60369867308</v>
      </c>
      <c r="AM28" s="134">
        <f t="shared" si="7"/>
        <v>-56696.809438928554</v>
      </c>
      <c r="AN28" s="134">
        <f t="shared" si="8"/>
        <v>89.918312570478406</v>
      </c>
      <c r="AO28" s="134">
        <f t="shared" si="9"/>
        <v>75.915642914037662</v>
      </c>
      <c r="AP28" s="124">
        <f>Emissionsfaktorer!E$13</f>
        <v>0.34699999999999998</v>
      </c>
      <c r="AQ28" s="134">
        <f t="shared" si="10"/>
        <v>126335.49891645985</v>
      </c>
      <c r="AR28" s="134">
        <f t="shared" si="11"/>
        <v>106661.70604115164</v>
      </c>
      <c r="AS28">
        <f t="shared" si="12"/>
        <v>121034.20091632483</v>
      </c>
      <c r="AT28" s="173">
        <f t="shared" si="13"/>
        <v>107584.78348343955</v>
      </c>
      <c r="AU28" s="134">
        <f t="shared" si="14"/>
        <v>156717.08391645984</v>
      </c>
      <c r="AV28" s="134">
        <f t="shared" si="15"/>
        <v>129904.92604115164</v>
      </c>
      <c r="AW28" s="134">
        <f t="shared" si="16"/>
        <v>151415.78591632482</v>
      </c>
      <c r="AX28" s="134">
        <f t="shared" si="17"/>
        <v>130828.00348343955</v>
      </c>
      <c r="AY28" s="134">
        <f t="shared" si="30"/>
        <v>-26812.157875308199</v>
      </c>
      <c r="AZ28" s="134">
        <f t="shared" si="31"/>
        <v>22320.142557712097</v>
      </c>
      <c r="BA28" s="134">
        <f t="shared" si="18"/>
        <v>32.083212161311842</v>
      </c>
      <c r="BB28" s="106"/>
    </row>
    <row r="29" spans="1:54">
      <c r="A29" s="2" t="s">
        <v>77</v>
      </c>
      <c r="B29" s="6" t="s">
        <v>77</v>
      </c>
      <c r="C29" s="139">
        <v>10477</v>
      </c>
      <c r="D29" s="129"/>
      <c r="E29" s="124">
        <v>507341</v>
      </c>
      <c r="F29" s="204">
        <v>471567</v>
      </c>
      <c r="G29" s="124">
        <f t="shared" si="19"/>
        <v>-35774</v>
      </c>
      <c r="H29" s="124">
        <f t="shared" si="20"/>
        <v>471567</v>
      </c>
      <c r="I29" s="134"/>
      <c r="J29" s="134">
        <f t="shared" si="21"/>
        <v>48.424262670611817</v>
      </c>
      <c r="K29" s="135">
        <f t="shared" si="22"/>
        <v>45.009735611339124</v>
      </c>
      <c r="L29" s="134"/>
      <c r="M29" s="134">
        <f>Emissionsfaktorer!E$11*E29</f>
        <v>227796.109</v>
      </c>
      <c r="N29" s="135">
        <f>Emissionsfaktorer!E$12*F29</f>
        <v>178252.326</v>
      </c>
      <c r="O29" s="124"/>
      <c r="P29" s="124">
        <v>33753</v>
      </c>
      <c r="Q29" s="204">
        <v>26882</v>
      </c>
      <c r="R29" s="134"/>
      <c r="S29" s="134">
        <f t="shared" si="0"/>
        <v>1452425.3430000001</v>
      </c>
      <c r="T29" s="134">
        <f t="shared" si="1"/>
        <v>1156759.3419999999</v>
      </c>
      <c r="U29" s="134">
        <f t="shared" si="23"/>
        <v>-295666.00100000016</v>
      </c>
      <c r="V29" s="134">
        <f t="shared" si="24"/>
        <v>1156759.3419999999</v>
      </c>
      <c r="W29" s="134"/>
      <c r="X29" s="134">
        <f t="shared" si="2"/>
        <v>138.62988861315264</v>
      </c>
      <c r="Y29" s="134">
        <f t="shared" si="3"/>
        <v>110.40940555502529</v>
      </c>
      <c r="Z29" s="124">
        <v>0.20399999999999999</v>
      </c>
      <c r="AA29" s="134"/>
      <c r="AB29" s="134">
        <f>Emissionsfaktorer!E$14*S29</f>
        <v>380535.43986600003</v>
      </c>
      <c r="AC29" s="134">
        <f>Emissionsfaktorer!E$15*T29</f>
        <v>277622.24208</v>
      </c>
      <c r="AD29" s="173"/>
      <c r="AE29" s="134">
        <f t="shared" si="25"/>
        <v>608331.54886600003</v>
      </c>
      <c r="AF29" s="134">
        <f t="shared" si="26"/>
        <v>455874.56808</v>
      </c>
      <c r="AG29" s="134">
        <f t="shared" si="27"/>
        <v>-152456.98078600003</v>
      </c>
      <c r="AH29" s="135">
        <f t="shared" si="4"/>
        <v>43.511937394292261</v>
      </c>
      <c r="AI29" s="134">
        <f t="shared" si="5"/>
        <v>1243676.4339814603</v>
      </c>
      <c r="AJ29" s="134">
        <f t="shared" si="6"/>
        <v>1198238.7909786231</v>
      </c>
      <c r="AK29" s="134">
        <f t="shared" si="28"/>
        <v>1191489.2067268253</v>
      </c>
      <c r="AL29" s="134">
        <f t="shared" si="29"/>
        <v>1208608.6532232787</v>
      </c>
      <c r="AM29" s="134">
        <f t="shared" si="7"/>
        <v>-45437.643002837198</v>
      </c>
      <c r="AN29" s="134">
        <f t="shared" si="8"/>
        <v>118.70539600853873</v>
      </c>
      <c r="AO29" s="134">
        <f t="shared" si="9"/>
        <v>114.36850157283794</v>
      </c>
      <c r="AP29" s="124">
        <f>Emissionsfaktorer!E$13</f>
        <v>0.34699999999999998</v>
      </c>
      <c r="AQ29" s="134">
        <f t="shared" si="10"/>
        <v>431555.72259156668</v>
      </c>
      <c r="AR29" s="134">
        <f t="shared" si="11"/>
        <v>415788.8604695822</v>
      </c>
      <c r="AS29">
        <f t="shared" si="12"/>
        <v>413446.75473420834</v>
      </c>
      <c r="AT29" s="173">
        <f t="shared" si="13"/>
        <v>419387.20266847766</v>
      </c>
      <c r="AU29" s="134">
        <f t="shared" si="14"/>
        <v>659351.83159156668</v>
      </c>
      <c r="AV29" s="134">
        <f t="shared" si="15"/>
        <v>594041.18646958214</v>
      </c>
      <c r="AW29" s="134">
        <f t="shared" si="16"/>
        <v>641242.86373420828</v>
      </c>
      <c r="AX29" s="134">
        <f t="shared" si="17"/>
        <v>597639.52866847767</v>
      </c>
      <c r="AY29" s="134">
        <f t="shared" si="30"/>
        <v>-65310.645121984533</v>
      </c>
      <c r="AZ29" s="134">
        <f t="shared" si="31"/>
        <v>174653.98380110448</v>
      </c>
      <c r="BA29" s="134">
        <f t="shared" si="18"/>
        <v>56.699550106860947</v>
      </c>
      <c r="BB29" s="106"/>
    </row>
    <row r="30" spans="1:54">
      <c r="A30" s="1" t="s">
        <v>78</v>
      </c>
      <c r="B30" s="6" t="s">
        <v>78</v>
      </c>
      <c r="C30" s="139">
        <v>1760</v>
      </c>
      <c r="D30" s="129"/>
      <c r="E30" s="124">
        <v>58096</v>
      </c>
      <c r="F30" s="179">
        <v>78966</v>
      </c>
      <c r="G30" s="124">
        <f t="shared" si="19"/>
        <v>20870</v>
      </c>
      <c r="H30" s="124">
        <f t="shared" si="20"/>
        <v>78966</v>
      </c>
      <c r="I30" s="134"/>
      <c r="J30" s="134">
        <f t="shared" si="21"/>
        <v>33.009090909090908</v>
      </c>
      <c r="K30" s="135">
        <f t="shared" si="22"/>
        <v>44.867045454545455</v>
      </c>
      <c r="L30" s="134"/>
      <c r="M30" s="134">
        <f>Emissionsfaktorer!E$11*E30</f>
        <v>26085.103999999999</v>
      </c>
      <c r="N30" s="135">
        <f>Emissionsfaktorer!E$12*F30</f>
        <v>29849.148000000001</v>
      </c>
      <c r="O30" s="124"/>
      <c r="P30" s="124">
        <v>6285</v>
      </c>
      <c r="Q30" s="179">
        <v>3211</v>
      </c>
      <c r="R30" s="134"/>
      <c r="S30" s="134">
        <f t="shared" si="0"/>
        <v>270449.83500000002</v>
      </c>
      <c r="T30" s="134">
        <f t="shared" si="1"/>
        <v>138172.541</v>
      </c>
      <c r="U30" s="134">
        <f t="shared" si="23"/>
        <v>-132277.29400000002</v>
      </c>
      <c r="V30" s="134">
        <f t="shared" si="24"/>
        <v>138172.541</v>
      </c>
      <c r="W30" s="134"/>
      <c r="X30" s="134">
        <f t="shared" si="2"/>
        <v>153.66467897727273</v>
      </c>
      <c r="Y30" s="134">
        <f t="shared" si="3"/>
        <v>78.50712556818182</v>
      </c>
      <c r="Z30" s="171">
        <v>0.26600000000000001</v>
      </c>
      <c r="AA30" s="134"/>
      <c r="AB30" s="134">
        <f>Emissionsfaktorer!E$22*S30</f>
        <v>69235.157760000002</v>
      </c>
      <c r="AC30" s="134">
        <f>Emissionsfaktorer!E$23*T30</f>
        <v>35372.170495999999</v>
      </c>
      <c r="AD30" s="173"/>
      <c r="AE30" s="134">
        <f t="shared" si="25"/>
        <v>95320.261759999994</v>
      </c>
      <c r="AF30" s="134">
        <f t="shared" si="26"/>
        <v>65221.318496</v>
      </c>
      <c r="AG30" s="134">
        <f t="shared" si="27"/>
        <v>-30098.943263999994</v>
      </c>
      <c r="AH30" s="135">
        <f t="shared" si="4"/>
        <v>37.057567327272729</v>
      </c>
      <c r="AI30" s="134">
        <f t="shared" si="5"/>
        <v>231579.60440771125</v>
      </c>
      <c r="AJ30" s="134">
        <f t="shared" si="6"/>
        <v>143127.17646872846</v>
      </c>
      <c r="AK30" s="134">
        <f t="shared" si="28"/>
        <v>221862.04675963905</v>
      </c>
      <c r="AL30" s="134">
        <f t="shared" si="29"/>
        <v>144365.83533591058</v>
      </c>
      <c r="AM30" s="134">
        <f t="shared" si="7"/>
        <v>-88452.427938982786</v>
      </c>
      <c r="AN30" s="134">
        <f t="shared" si="8"/>
        <v>131.57932068619957</v>
      </c>
      <c r="AO30" s="134">
        <f t="shared" si="9"/>
        <v>81.322259357232085</v>
      </c>
      <c r="AP30" s="171">
        <f>Emissionsfaktorer!E$21</f>
        <v>0.25600000000000001</v>
      </c>
      <c r="AQ30" s="134">
        <f t="shared" si="10"/>
        <v>59284.378728374082</v>
      </c>
      <c r="AR30" s="134">
        <f t="shared" si="11"/>
        <v>36640.557175994487</v>
      </c>
      <c r="AS30">
        <f t="shared" si="12"/>
        <v>56796.683970467595</v>
      </c>
      <c r="AT30" s="173">
        <f t="shared" si="13"/>
        <v>36957.653845993111</v>
      </c>
      <c r="AU30" s="134">
        <f t="shared" si="14"/>
        <v>85369.482728374074</v>
      </c>
      <c r="AV30" s="134">
        <f t="shared" si="15"/>
        <v>66489.705175994488</v>
      </c>
      <c r="AW30" s="134">
        <f t="shared" si="16"/>
        <v>82881.787970467587</v>
      </c>
      <c r="AX30" s="134">
        <f t="shared" si="17"/>
        <v>66806.801845993119</v>
      </c>
      <c r="AY30" s="134">
        <f t="shared" si="30"/>
        <v>-18879.777552379586</v>
      </c>
      <c r="AZ30" s="134">
        <f t="shared" si="31"/>
        <v>29532.051330001377</v>
      </c>
      <c r="BA30" s="134">
        <f t="shared" si="18"/>
        <v>37.778241577269597</v>
      </c>
      <c r="BB30" s="106"/>
    </row>
    <row r="31" spans="1:54">
      <c r="A31" s="1" t="s">
        <v>80</v>
      </c>
      <c r="B31" s="6" t="s">
        <v>80</v>
      </c>
      <c r="C31" s="139">
        <v>1842</v>
      </c>
      <c r="D31" s="129"/>
      <c r="E31" s="124">
        <v>58550</v>
      </c>
      <c r="F31" s="204">
        <v>55737</v>
      </c>
      <c r="G31" s="124">
        <f t="shared" si="19"/>
        <v>-2813</v>
      </c>
      <c r="H31" s="124">
        <f t="shared" si="20"/>
        <v>55737</v>
      </c>
      <c r="I31" s="134"/>
      <c r="J31" s="134">
        <f t="shared" si="21"/>
        <v>31.786102062975026</v>
      </c>
      <c r="K31" s="135">
        <f t="shared" si="22"/>
        <v>30.258957654723126</v>
      </c>
      <c r="L31" s="134"/>
      <c r="M31" s="134">
        <f>Emissionsfaktorer!E$11*E31</f>
        <v>26288.95</v>
      </c>
      <c r="N31" s="135">
        <f>Emissionsfaktorer!E$12*F31</f>
        <v>21068.585999999999</v>
      </c>
      <c r="O31" s="124"/>
      <c r="P31" s="124">
        <v>9765</v>
      </c>
      <c r="Q31" s="204">
        <v>8943</v>
      </c>
      <c r="R31" s="134"/>
      <c r="S31" s="134">
        <f t="shared" si="0"/>
        <v>420197.71500000003</v>
      </c>
      <c r="T31" s="134">
        <f t="shared" si="1"/>
        <v>384826.23300000001</v>
      </c>
      <c r="U31" s="134">
        <f t="shared" si="23"/>
        <v>-35371.482000000018</v>
      </c>
      <c r="V31" s="134">
        <f t="shared" si="24"/>
        <v>384826.23300000001</v>
      </c>
      <c r="W31" s="134"/>
      <c r="X31" s="134">
        <f t="shared" si="2"/>
        <v>228.12036644951141</v>
      </c>
      <c r="Y31" s="134">
        <f t="shared" si="3"/>
        <v>208.91760749185667</v>
      </c>
      <c r="Z31" s="124">
        <v>9.0999999999999998E-2</v>
      </c>
      <c r="AA31" s="134"/>
      <c r="AB31" s="134">
        <f>Emissionsfaktorer!E$17*S31</f>
        <v>42019.771500000003</v>
      </c>
      <c r="AC31" s="134">
        <f>Emissionsfaktorer!E$18*T31</f>
        <v>35788.839669000001</v>
      </c>
      <c r="AD31" s="173"/>
      <c r="AE31" s="134">
        <f t="shared" si="25"/>
        <v>68308.7215</v>
      </c>
      <c r="AF31" s="134">
        <f t="shared" si="26"/>
        <v>56857.425669000004</v>
      </c>
      <c r="AG31" s="134">
        <f t="shared" si="27"/>
        <v>-11451.295830999996</v>
      </c>
      <c r="AH31" s="135">
        <f t="shared" si="4"/>
        <v>30.867223490228014</v>
      </c>
      <c r="AI31" s="134">
        <f t="shared" si="5"/>
        <v>359805.06555947498</v>
      </c>
      <c r="AJ31" s="134">
        <f t="shared" si="6"/>
        <v>398625.45598250971</v>
      </c>
      <c r="AK31" s="134">
        <f t="shared" si="28"/>
        <v>344706.90319934371</v>
      </c>
      <c r="AL31" s="134">
        <f t="shared" si="29"/>
        <v>402075.26172813709</v>
      </c>
      <c r="AM31" s="134">
        <f t="shared" si="7"/>
        <v>38820.390423034725</v>
      </c>
      <c r="AN31" s="134">
        <f t="shared" si="8"/>
        <v>195.33391181296145</v>
      </c>
      <c r="AO31" s="134">
        <f t="shared" si="9"/>
        <v>216.40904233578161</v>
      </c>
      <c r="AP31" s="124">
        <f>Emissionsfaktorer!E$16</f>
        <v>8.5999999999999993E-2</v>
      </c>
      <c r="AQ31" s="134">
        <f t="shared" si="10"/>
        <v>30943.235638114846</v>
      </c>
      <c r="AR31" s="134">
        <f t="shared" si="11"/>
        <v>34281.789214495831</v>
      </c>
      <c r="AS31">
        <f t="shared" si="12"/>
        <v>29644.793675143555</v>
      </c>
      <c r="AT31" s="173">
        <f t="shared" si="13"/>
        <v>34578.472508619787</v>
      </c>
      <c r="AU31" s="134">
        <f t="shared" si="14"/>
        <v>57232.185638114846</v>
      </c>
      <c r="AV31" s="134">
        <f t="shared" si="15"/>
        <v>55350.375214495827</v>
      </c>
      <c r="AW31" s="134">
        <f t="shared" si="16"/>
        <v>55933.74367514356</v>
      </c>
      <c r="AX31" s="134">
        <f t="shared" si="17"/>
        <v>55647.058508619783</v>
      </c>
      <c r="AY31" s="134">
        <f t="shared" si="30"/>
        <v>-1881.8104236190193</v>
      </c>
      <c r="AZ31" s="134">
        <f t="shared" si="31"/>
        <v>20771.90270587604</v>
      </c>
      <c r="BA31" s="134">
        <f t="shared" si="18"/>
        <v>30.049063634362554</v>
      </c>
      <c r="BB31" s="106"/>
    </row>
    <row r="32" spans="1:54">
      <c r="A32" s="1" t="s">
        <v>79</v>
      </c>
      <c r="B32" s="6" t="s">
        <v>107</v>
      </c>
      <c r="C32" s="139">
        <v>7626</v>
      </c>
      <c r="D32" s="129"/>
      <c r="E32" s="204">
        <v>140291</v>
      </c>
      <c r="F32" s="204">
        <v>169132</v>
      </c>
      <c r="G32" s="124">
        <f t="shared" si="19"/>
        <v>28841</v>
      </c>
      <c r="H32" s="124">
        <f t="shared" si="20"/>
        <v>169132</v>
      </c>
      <c r="I32" s="134"/>
      <c r="J32" s="134">
        <f t="shared" si="21"/>
        <v>18.396407028586413</v>
      </c>
      <c r="K32" s="135">
        <f t="shared" si="22"/>
        <v>22.178337267243641</v>
      </c>
      <c r="L32" s="134"/>
      <c r="M32" s="134">
        <f>Emissionsfaktorer!E$11*E32</f>
        <v>62990.659</v>
      </c>
      <c r="N32" s="135">
        <f>Emissionsfaktorer!E$12*F32</f>
        <v>63931.896000000001</v>
      </c>
      <c r="O32" s="124"/>
      <c r="P32" s="204">
        <v>19823</v>
      </c>
      <c r="Q32" s="204">
        <v>16889</v>
      </c>
      <c r="R32" s="134"/>
      <c r="S32" s="134">
        <f t="shared" si="0"/>
        <v>853003.51300000004</v>
      </c>
      <c r="T32" s="134">
        <f t="shared" si="1"/>
        <v>726750.55900000001</v>
      </c>
      <c r="U32" s="134">
        <f t="shared" si="23"/>
        <v>-126252.95400000003</v>
      </c>
      <c r="V32" s="134">
        <f t="shared" si="24"/>
        <v>726750.55900000001</v>
      </c>
      <c r="W32" s="134"/>
      <c r="X32" s="134">
        <f t="shared" si="2"/>
        <v>111.85464371885655</v>
      </c>
      <c r="Y32" s="134">
        <f t="shared" si="3"/>
        <v>95.299050485182278</v>
      </c>
      <c r="Z32" s="124">
        <v>9.0999999999999998E-2</v>
      </c>
      <c r="AA32" s="134"/>
      <c r="AB32" s="134">
        <f>Emissionsfaktorer!E$17*S32</f>
        <v>85300.351300000009</v>
      </c>
      <c r="AC32" s="134">
        <f>Emissionsfaktorer!E$18*T32</f>
        <v>67587.801986999999</v>
      </c>
      <c r="AD32" s="173"/>
      <c r="AE32" s="134">
        <f t="shared" si="25"/>
        <v>148291.01030000002</v>
      </c>
      <c r="AF32" s="134">
        <f t="shared" si="26"/>
        <v>131519.69798699999</v>
      </c>
      <c r="AG32" s="134">
        <f t="shared" si="27"/>
        <v>-16771.312313000031</v>
      </c>
      <c r="AH32" s="135">
        <f t="shared" si="4"/>
        <v>17.246223182140046</v>
      </c>
      <c r="AI32" s="134">
        <f t="shared" si="5"/>
        <v>730406.12540557841</v>
      </c>
      <c r="AJ32" s="134">
        <f t="shared" si="6"/>
        <v>752810.61456878087</v>
      </c>
      <c r="AK32" s="134">
        <f t="shared" si="28"/>
        <v>699756.77850697294</v>
      </c>
      <c r="AL32" s="134">
        <f t="shared" si="29"/>
        <v>759325.62846097595</v>
      </c>
      <c r="AM32" s="134">
        <f t="shared" si="7"/>
        <v>22404.489163202466</v>
      </c>
      <c r="AN32" s="134">
        <f t="shared" si="8"/>
        <v>95.778406163857639</v>
      </c>
      <c r="AO32" s="134">
        <f t="shared" si="9"/>
        <v>98.716314525148292</v>
      </c>
      <c r="AP32" s="124">
        <f>Emissionsfaktorer!E$16</f>
        <v>8.5999999999999993E-2</v>
      </c>
      <c r="AQ32" s="134">
        <f t="shared" si="10"/>
        <v>62814.926784879739</v>
      </c>
      <c r="AR32" s="134">
        <f t="shared" si="11"/>
        <v>64741.712852915152</v>
      </c>
      <c r="AS32">
        <f t="shared" si="12"/>
        <v>60179.082951599667</v>
      </c>
      <c r="AT32" s="173">
        <f t="shared" si="13"/>
        <v>65302.004047643924</v>
      </c>
      <c r="AU32" s="134">
        <f t="shared" si="14"/>
        <v>125805.58578487975</v>
      </c>
      <c r="AV32" s="134">
        <f t="shared" si="15"/>
        <v>128673.60885291515</v>
      </c>
      <c r="AW32" s="134">
        <f t="shared" si="16"/>
        <v>123169.74195159966</v>
      </c>
      <c r="AX32" s="134">
        <f t="shared" si="17"/>
        <v>129233.90004764393</v>
      </c>
      <c r="AY32" s="134">
        <f t="shared" si="30"/>
        <v>2868.0230680353998</v>
      </c>
      <c r="AZ32" s="134">
        <f t="shared" si="31"/>
        <v>63371.604805271221</v>
      </c>
      <c r="BA32" s="134">
        <f t="shared" si="18"/>
        <v>16.873014536180847</v>
      </c>
      <c r="BB32" s="106"/>
    </row>
    <row r="33" spans="1:54">
      <c r="A33" s="2" t="s">
        <v>81</v>
      </c>
      <c r="B33" s="6" t="s">
        <v>108</v>
      </c>
      <c r="C33" s="139">
        <v>1467</v>
      </c>
      <c r="D33" s="129"/>
      <c r="E33" s="124">
        <v>73007</v>
      </c>
      <c r="F33" s="204">
        <v>62003</v>
      </c>
      <c r="G33" s="124">
        <f t="shared" si="19"/>
        <v>-11004</v>
      </c>
      <c r="H33" s="124">
        <f t="shared" si="20"/>
        <v>62003</v>
      </c>
      <c r="I33" s="134"/>
      <c r="J33" s="134">
        <f t="shared" si="21"/>
        <v>49.766189502385821</v>
      </c>
      <c r="K33" s="135">
        <f t="shared" si="22"/>
        <v>42.265167007498299</v>
      </c>
      <c r="L33" s="134"/>
      <c r="M33" s="134">
        <f>Emissionsfaktorer!E$11*E33</f>
        <v>32780.143000000004</v>
      </c>
      <c r="N33" s="135">
        <f>Emissionsfaktorer!E$12*F33</f>
        <v>23437.134000000002</v>
      </c>
      <c r="O33" s="124"/>
      <c r="P33" s="124">
        <v>5211</v>
      </c>
      <c r="Q33" s="204">
        <v>4416</v>
      </c>
      <c r="R33" s="134"/>
      <c r="S33" s="134">
        <f t="shared" si="0"/>
        <v>224234.541</v>
      </c>
      <c r="T33" s="134">
        <f t="shared" si="1"/>
        <v>190024.89600000001</v>
      </c>
      <c r="U33" s="134">
        <f t="shared" si="23"/>
        <v>-34209.64499999999</v>
      </c>
      <c r="V33" s="134">
        <f t="shared" si="24"/>
        <v>190024.89600000001</v>
      </c>
      <c r="W33" s="134"/>
      <c r="X33" s="134">
        <f t="shared" si="2"/>
        <v>152.85244785276075</v>
      </c>
      <c r="Y33" s="134">
        <f t="shared" si="3"/>
        <v>129.53298977505113</v>
      </c>
      <c r="Z33" s="124">
        <v>0.26600000000000001</v>
      </c>
      <c r="AA33" s="134"/>
      <c r="AB33" s="134">
        <f>Emissionsfaktorer!E$22*S33</f>
        <v>57404.042496000002</v>
      </c>
      <c r="AC33" s="134">
        <f>Emissionsfaktorer!E$23*T33</f>
        <v>48646.373376000003</v>
      </c>
      <c r="AD33" s="173"/>
      <c r="AE33" s="134">
        <f t="shared" si="25"/>
        <v>90184.185496000006</v>
      </c>
      <c r="AF33" s="134">
        <f t="shared" si="26"/>
        <v>72083.507376000009</v>
      </c>
      <c r="AG33" s="134">
        <f t="shared" si="27"/>
        <v>-18100.678119999997</v>
      </c>
      <c r="AH33" s="135">
        <f t="shared" si="4"/>
        <v>49.136678511247453</v>
      </c>
      <c r="AI33" s="134">
        <f t="shared" si="5"/>
        <v>192006.57415570141</v>
      </c>
      <c r="AJ33" s="134">
        <f t="shared" si="6"/>
        <v>196838.86991152441</v>
      </c>
      <c r="AK33" s="134">
        <f t="shared" si="28"/>
        <v>183949.58244462672</v>
      </c>
      <c r="AL33" s="134">
        <f t="shared" si="29"/>
        <v>198542.36338940551</v>
      </c>
      <c r="AM33" s="134">
        <f t="shared" si="7"/>
        <v>4832.2957558229973</v>
      </c>
      <c r="AN33" s="134">
        <f t="shared" si="8"/>
        <v>130.8838269636683</v>
      </c>
      <c r="AO33" s="134">
        <f t="shared" si="9"/>
        <v>134.17782543389529</v>
      </c>
      <c r="AP33" s="171">
        <f>Emissionsfaktorer!E$21</f>
        <v>0.25600000000000001</v>
      </c>
      <c r="AQ33" s="134">
        <f t="shared" si="10"/>
        <v>49153.682983859566</v>
      </c>
      <c r="AR33" s="134">
        <f t="shared" si="11"/>
        <v>50390.750697350253</v>
      </c>
      <c r="AS33">
        <f t="shared" si="12"/>
        <v>47091.093105824439</v>
      </c>
      <c r="AT33" s="173">
        <f t="shared" si="13"/>
        <v>50826.845027687814</v>
      </c>
      <c r="AU33" s="134">
        <f t="shared" si="14"/>
        <v>81933.82598385957</v>
      </c>
      <c r="AV33" s="134">
        <f t="shared" si="15"/>
        <v>73827.884697350251</v>
      </c>
      <c r="AW33" s="134">
        <f t="shared" si="16"/>
        <v>79871.236105824442</v>
      </c>
      <c r="AX33" s="134">
        <f t="shared" si="17"/>
        <v>74263.979027687819</v>
      </c>
      <c r="AY33" s="134">
        <f t="shared" si="30"/>
        <v>-8105.9412865093182</v>
      </c>
      <c r="AZ33" s="134">
        <f t="shared" si="31"/>
        <v>23001.039669662438</v>
      </c>
      <c r="BA33" s="134">
        <f t="shared" si="18"/>
        <v>50.325756439911558</v>
      </c>
      <c r="BB33" s="106"/>
    </row>
    <row r="34" spans="1:54">
      <c r="A34" s="1" t="s">
        <v>82</v>
      </c>
      <c r="B34" s="6" t="s">
        <v>82</v>
      </c>
      <c r="C34" s="139">
        <v>14976</v>
      </c>
      <c r="D34" s="129"/>
      <c r="E34" s="124">
        <v>335737</v>
      </c>
      <c r="F34" s="204">
        <v>293945</v>
      </c>
      <c r="G34" s="124">
        <f t="shared" si="19"/>
        <v>-41792</v>
      </c>
      <c r="H34" s="124">
        <f t="shared" si="20"/>
        <v>293945</v>
      </c>
      <c r="I34" s="134"/>
      <c r="J34" s="134">
        <f t="shared" si="21"/>
        <v>22.418336004273506</v>
      </c>
      <c r="K34" s="135">
        <f t="shared" si="22"/>
        <v>19.627737713675213</v>
      </c>
      <c r="L34" s="134"/>
      <c r="M34" s="134">
        <f>Emissionsfaktorer!E$11*E34</f>
        <v>150745.913</v>
      </c>
      <c r="N34" s="135">
        <f>Emissionsfaktorer!E$12*F34</f>
        <v>111111.21</v>
      </c>
      <c r="O34" s="124"/>
      <c r="P34" s="124">
        <v>56758</v>
      </c>
      <c r="Q34" s="204">
        <v>38321</v>
      </c>
      <c r="R34" s="134"/>
      <c r="S34" s="134">
        <f t="shared" ref="S34:S54" si="32">P34*S$68*1.163</f>
        <v>2442353.4980000001</v>
      </c>
      <c r="T34" s="134">
        <f t="shared" ref="T34:T54" si="33">Q34*T$68*1.163</f>
        <v>1648990.9510000001</v>
      </c>
      <c r="U34" s="134">
        <f t="shared" si="23"/>
        <v>-793362.54700000002</v>
      </c>
      <c r="V34" s="134">
        <f t="shared" si="24"/>
        <v>1648990.9510000001</v>
      </c>
      <c r="W34" s="134"/>
      <c r="X34" s="134">
        <f t="shared" ref="X34:X55" si="34">S34/C34</f>
        <v>163.08450173611112</v>
      </c>
      <c r="Y34" s="134">
        <f t="shared" ref="Y34:Y55" si="35">T34/C34</f>
        <v>110.10890431356839</v>
      </c>
      <c r="Z34" s="124">
        <v>9.0999999999999998E-2</v>
      </c>
      <c r="AA34" s="134"/>
      <c r="AB34" s="134">
        <f>Emissionsfaktorer!E$17*S34</f>
        <v>244235.34980000003</v>
      </c>
      <c r="AC34" s="134">
        <f>Emissionsfaktorer!E$18*T34</f>
        <v>153356.15844300002</v>
      </c>
      <c r="AD34" s="173"/>
      <c r="AE34" s="134">
        <f t="shared" si="25"/>
        <v>394981.26280000003</v>
      </c>
      <c r="AF34" s="134">
        <f t="shared" si="26"/>
        <v>264467.36844300001</v>
      </c>
      <c r="AG34" s="134">
        <f t="shared" si="27"/>
        <v>-130513.89435700001</v>
      </c>
      <c r="AH34" s="135">
        <f t="shared" ref="AH34:AH55" si="36">AF34/C34</f>
        <v>17.659412956931092</v>
      </c>
      <c r="AI34" s="134">
        <f t="shared" ref="AI34:AI54" si="37">((S34*0.8)/(1.219))+(S34*0.2)</f>
        <v>2091327.7942677606</v>
      </c>
      <c r="AJ34" s="134">
        <f t="shared" ref="AJ34:AJ54" si="38">((T34*0.8)/(0.9571))+(T34*0.2)</f>
        <v>1708120.9995198208</v>
      </c>
      <c r="AK34" s="134">
        <f t="shared" si="28"/>
        <v>2003571.3683347006</v>
      </c>
      <c r="AL34" s="134">
        <f t="shared" si="29"/>
        <v>1722903.5116497756</v>
      </c>
      <c r="AM34" s="134">
        <f t="shared" ref="AM34:AM54" si="39">AJ34-AI34</f>
        <v>-383206.7947479398</v>
      </c>
      <c r="AN34" s="134">
        <f t="shared" ref="AN34:AN54" si="40">AI34/C34</f>
        <v>139.64528540783658</v>
      </c>
      <c r="AO34" s="134">
        <f t="shared" ref="AO34:AO54" si="41">AJ34/C34</f>
        <v>114.05722486109914</v>
      </c>
      <c r="AP34" s="124">
        <f>Emissionsfaktorer!E$16</f>
        <v>8.5999999999999993E-2</v>
      </c>
      <c r="AQ34" s="134">
        <f t="shared" ref="AQ34:AQ54" si="42">AP34*AI34</f>
        <v>179854.1903070274</v>
      </c>
      <c r="AR34" s="134">
        <f t="shared" ref="AR34:AR54" si="43">AP34*AJ34</f>
        <v>146898.40595870456</v>
      </c>
      <c r="AS34">
        <f t="shared" ref="AS34:AS54" si="44">AK34*AP34</f>
        <v>172307.13767678424</v>
      </c>
      <c r="AT34" s="173">
        <f t="shared" ref="AT34:AT54" si="45">AL34*AP34</f>
        <v>148169.70200188068</v>
      </c>
      <c r="AU34" s="134">
        <f t="shared" ref="AU34:AU54" si="46">M34+AQ34</f>
        <v>330600.10330702737</v>
      </c>
      <c r="AV34" s="134">
        <f t="shared" ref="AV34:AV54" si="47">N34+AR34</f>
        <v>258009.61595870455</v>
      </c>
      <c r="AW34" s="134">
        <f t="shared" ref="AW34:AW54" si="48">M34+AS34</f>
        <v>323053.05067678425</v>
      </c>
      <c r="AX34" s="134">
        <f t="shared" ref="AX34:AX54" si="49">N34+AT34</f>
        <v>259280.9120018807</v>
      </c>
      <c r="AY34" s="134">
        <f t="shared" si="30"/>
        <v>-72590.487348322815</v>
      </c>
      <c r="AZ34" s="134">
        <f t="shared" si="31"/>
        <v>109839.91395682388</v>
      </c>
      <c r="BA34" s="134">
        <f t="shared" ref="BA34:BA54" si="50">AV34/C34</f>
        <v>17.228206193823755</v>
      </c>
      <c r="BB34" s="106"/>
    </row>
    <row r="35" spans="1:54">
      <c r="A35" s="1" t="s">
        <v>83</v>
      </c>
      <c r="B35" s="6" t="s">
        <v>83</v>
      </c>
      <c r="C35" s="139">
        <v>8533</v>
      </c>
      <c r="D35" s="129"/>
      <c r="E35" s="124">
        <v>160570</v>
      </c>
      <c r="F35" s="204">
        <v>179506</v>
      </c>
      <c r="G35" s="124">
        <f t="shared" si="19"/>
        <v>18936</v>
      </c>
      <c r="H35" s="124">
        <f t="shared" si="20"/>
        <v>179506</v>
      </c>
      <c r="I35" s="134"/>
      <c r="J35" s="134">
        <f t="shared" si="21"/>
        <v>18.817531934841206</v>
      </c>
      <c r="K35" s="135">
        <f t="shared" si="22"/>
        <v>21.036681120356263</v>
      </c>
      <c r="L35" s="134"/>
      <c r="M35" s="134">
        <f>Emissionsfaktorer!E$11*E35</f>
        <v>72095.930000000008</v>
      </c>
      <c r="N35" s="135">
        <f>Emissionsfaktorer!E$12*F35</f>
        <v>67853.267999999996</v>
      </c>
      <c r="O35" s="124"/>
      <c r="P35" s="124">
        <v>11458</v>
      </c>
      <c r="Q35" s="204">
        <v>14271</v>
      </c>
      <c r="R35" s="134"/>
      <c r="S35" s="134">
        <f t="shared" si="32"/>
        <v>493049.19800000003</v>
      </c>
      <c r="T35" s="134">
        <f t="shared" si="33"/>
        <v>614095.40100000007</v>
      </c>
      <c r="U35" s="134">
        <f t="shared" si="23"/>
        <v>121046.20300000004</v>
      </c>
      <c r="V35" s="134">
        <f t="shared" si="24"/>
        <v>614095.40100000007</v>
      </c>
      <c r="W35" s="134"/>
      <c r="X35" s="134">
        <f t="shared" si="34"/>
        <v>57.781459978905431</v>
      </c>
      <c r="Y35" s="134">
        <f t="shared" si="35"/>
        <v>71.96711602015705</v>
      </c>
      <c r="Z35" s="124">
        <v>9.0999999999999998E-2</v>
      </c>
      <c r="AA35" s="134"/>
      <c r="AB35" s="134">
        <f>Emissionsfaktorer!E$17*S35</f>
        <v>49304.919800000003</v>
      </c>
      <c r="AC35" s="134">
        <f>Emissionsfaktorer!E$18*T35</f>
        <v>57110.872293000008</v>
      </c>
      <c r="AD35" s="173"/>
      <c r="AE35" s="134">
        <f t="shared" si="25"/>
        <v>121400.84980000001</v>
      </c>
      <c r="AF35" s="134">
        <f t="shared" si="26"/>
        <v>124964.140293</v>
      </c>
      <c r="AG35" s="134">
        <f t="shared" si="27"/>
        <v>3563.2904929999931</v>
      </c>
      <c r="AH35" s="135">
        <f t="shared" si="36"/>
        <v>14.644807253369272</v>
      </c>
      <c r="AI35" s="134">
        <f t="shared" si="37"/>
        <v>422186.01548187039</v>
      </c>
      <c r="AJ35" s="134">
        <f t="shared" si="38"/>
        <v>636115.83163663163</v>
      </c>
      <c r="AK35" s="134">
        <f t="shared" si="28"/>
        <v>404470.21985233796</v>
      </c>
      <c r="AL35" s="134">
        <f t="shared" si="29"/>
        <v>641620.93929578946</v>
      </c>
      <c r="AM35" s="134">
        <f t="shared" si="39"/>
        <v>213929.81615476124</v>
      </c>
      <c r="AN35" s="134">
        <f t="shared" si="40"/>
        <v>49.476856378983989</v>
      </c>
      <c r="AO35" s="134">
        <f t="shared" si="41"/>
        <v>74.547736040856861</v>
      </c>
      <c r="AP35" s="124">
        <f>Emissionsfaktorer!E$16</f>
        <v>8.5999999999999993E-2</v>
      </c>
      <c r="AQ35" s="134">
        <f t="shared" si="42"/>
        <v>36307.997331440849</v>
      </c>
      <c r="AR35" s="134">
        <f t="shared" si="43"/>
        <v>54705.961520750316</v>
      </c>
      <c r="AS35">
        <f t="shared" si="44"/>
        <v>34784.438907301061</v>
      </c>
      <c r="AT35" s="173">
        <f t="shared" si="45"/>
        <v>55179.400779437892</v>
      </c>
      <c r="AU35" s="134">
        <f t="shared" si="46"/>
        <v>108403.92733144085</v>
      </c>
      <c r="AV35" s="134">
        <f t="shared" si="47"/>
        <v>122559.22952075032</v>
      </c>
      <c r="AW35" s="134">
        <f t="shared" si="48"/>
        <v>106880.36890730108</v>
      </c>
      <c r="AX35" s="134">
        <f t="shared" si="49"/>
        <v>123032.6687794379</v>
      </c>
      <c r="AY35" s="134">
        <f t="shared" si="30"/>
        <v>14155.30218930947</v>
      </c>
      <c r="AZ35" s="134">
        <f t="shared" si="31"/>
        <v>67379.828741312434</v>
      </c>
      <c r="BA35" s="134">
        <f t="shared" si="50"/>
        <v>14.362970763008358</v>
      </c>
      <c r="BB35" s="106"/>
    </row>
    <row r="36" spans="1:54">
      <c r="A36" s="1" t="s">
        <v>84</v>
      </c>
      <c r="B36" s="6" t="s">
        <v>84</v>
      </c>
      <c r="C36" s="139">
        <v>9489</v>
      </c>
      <c r="D36" s="129"/>
      <c r="E36" s="124">
        <v>513672</v>
      </c>
      <c r="F36" s="204">
        <v>504503</v>
      </c>
      <c r="G36" s="124">
        <f t="shared" si="19"/>
        <v>-9169</v>
      </c>
      <c r="H36" s="124">
        <f t="shared" si="20"/>
        <v>504503</v>
      </c>
      <c r="I36" s="134"/>
      <c r="J36" s="134">
        <f t="shared" si="21"/>
        <v>54.13341764147961</v>
      </c>
      <c r="K36" s="135">
        <f t="shared" si="22"/>
        <v>53.167140899989462</v>
      </c>
      <c r="L36" s="134"/>
      <c r="M36" s="134">
        <f>Emissionsfaktorer!E$11*E36</f>
        <v>230638.728</v>
      </c>
      <c r="N36" s="135">
        <f>Emissionsfaktorer!E$12*F36</f>
        <v>190702.13399999999</v>
      </c>
      <c r="O36" s="124"/>
      <c r="P36" s="124">
        <v>50787</v>
      </c>
      <c r="Q36" s="204">
        <v>41531</v>
      </c>
      <c r="R36" s="134"/>
      <c r="S36" s="134">
        <f t="shared" si="32"/>
        <v>2185415.3969999999</v>
      </c>
      <c r="T36" s="134">
        <f t="shared" si="33"/>
        <v>1787120.4610000001</v>
      </c>
      <c r="U36" s="134">
        <f t="shared" si="23"/>
        <v>-398294.93599999975</v>
      </c>
      <c r="V36" s="134">
        <f t="shared" si="24"/>
        <v>1787120.4610000001</v>
      </c>
      <c r="W36" s="134"/>
      <c r="X36" s="134">
        <f t="shared" si="34"/>
        <v>230.31040120139107</v>
      </c>
      <c r="Y36" s="134">
        <f t="shared" si="35"/>
        <v>188.33601654547371</v>
      </c>
      <c r="Z36" s="124">
        <v>9.0999999999999998E-2</v>
      </c>
      <c r="AA36" s="134"/>
      <c r="AB36" s="134">
        <f>Emissionsfaktorer!E$17*S36</f>
        <v>218541.53969999999</v>
      </c>
      <c r="AC36" s="134">
        <f>Emissionsfaktorer!E$18*T36</f>
        <v>166202.202873</v>
      </c>
      <c r="AD36" s="173"/>
      <c r="AE36" s="134">
        <f t="shared" si="25"/>
        <v>449180.26769999997</v>
      </c>
      <c r="AF36" s="134">
        <f t="shared" si="26"/>
        <v>356904.33687300002</v>
      </c>
      <c r="AG36" s="134">
        <f t="shared" si="27"/>
        <v>-92275.930826999946</v>
      </c>
      <c r="AH36" s="135">
        <f t="shared" si="36"/>
        <v>37.612428798925073</v>
      </c>
      <c r="AI36" s="134">
        <f t="shared" si="37"/>
        <v>1871317.958481214</v>
      </c>
      <c r="AJ36" s="134">
        <f t="shared" si="38"/>
        <v>1851203.6019690945</v>
      </c>
      <c r="AK36" s="134">
        <f t="shared" si="28"/>
        <v>1792793.5988515173</v>
      </c>
      <c r="AL36" s="134">
        <f t="shared" si="29"/>
        <v>1867224.387211368</v>
      </c>
      <c r="AM36" s="134">
        <f t="shared" si="39"/>
        <v>-20114.356512119528</v>
      </c>
      <c r="AN36" s="134">
        <f t="shared" si="40"/>
        <v>197.20918521247907</v>
      </c>
      <c r="AO36" s="134">
        <f t="shared" si="41"/>
        <v>195.08943007367421</v>
      </c>
      <c r="AP36" s="124">
        <f>Emissionsfaktorer!E$16</f>
        <v>8.5999999999999993E-2</v>
      </c>
      <c r="AQ36" s="134">
        <f t="shared" si="42"/>
        <v>160933.34442938439</v>
      </c>
      <c r="AR36" s="134">
        <f t="shared" si="43"/>
        <v>159203.50976934211</v>
      </c>
      <c r="AS36">
        <f t="shared" si="44"/>
        <v>154180.24950123049</v>
      </c>
      <c r="AT36" s="173">
        <f t="shared" si="45"/>
        <v>160581.29730017763</v>
      </c>
      <c r="AU36" s="134">
        <f t="shared" si="46"/>
        <v>391572.0724293844</v>
      </c>
      <c r="AV36" s="134">
        <f t="shared" si="47"/>
        <v>349905.6437693421</v>
      </c>
      <c r="AW36" s="134">
        <f t="shared" si="48"/>
        <v>384818.97750123049</v>
      </c>
      <c r="AX36" s="134">
        <f t="shared" si="49"/>
        <v>351283.43130017759</v>
      </c>
      <c r="AY36" s="134">
        <f t="shared" si="30"/>
        <v>-41666.428660042293</v>
      </c>
      <c r="AZ36" s="134">
        <f t="shared" si="31"/>
        <v>189324.34646916448</v>
      </c>
      <c r="BA36" s="134">
        <f t="shared" si="50"/>
        <v>36.874870246531998</v>
      </c>
      <c r="BB36" s="106"/>
    </row>
    <row r="37" spans="1:54">
      <c r="A37" s="1" t="s">
        <v>88</v>
      </c>
      <c r="B37" s="6" t="s">
        <v>88</v>
      </c>
      <c r="C37" s="139">
        <v>6049</v>
      </c>
      <c r="D37" s="129"/>
      <c r="E37" s="124">
        <v>137462</v>
      </c>
      <c r="F37" s="204">
        <v>144261</v>
      </c>
      <c r="G37" s="124">
        <f t="shared" si="19"/>
        <v>6799</v>
      </c>
      <c r="H37" s="124">
        <f t="shared" si="20"/>
        <v>144261</v>
      </c>
      <c r="I37" s="134"/>
      <c r="J37" s="134">
        <f t="shared" si="21"/>
        <v>22.724747892213589</v>
      </c>
      <c r="K37" s="135">
        <f t="shared" si="22"/>
        <v>23.848735328153413</v>
      </c>
      <c r="L37" s="134"/>
      <c r="M37" s="134">
        <f>Emissionsfaktorer!E$11*E37</f>
        <v>61720.438000000002</v>
      </c>
      <c r="N37" s="135">
        <f>Emissionsfaktorer!E$12*F37</f>
        <v>54530.658000000003</v>
      </c>
      <c r="O37" s="124"/>
      <c r="P37" s="124">
        <v>23663</v>
      </c>
      <c r="Q37" s="204">
        <v>17974</v>
      </c>
      <c r="R37" s="134"/>
      <c r="S37" s="134">
        <f t="shared" si="32"/>
        <v>1018242.5530000001</v>
      </c>
      <c r="T37" s="134">
        <f t="shared" si="33"/>
        <v>773439.19400000002</v>
      </c>
      <c r="U37" s="134">
        <f t="shared" si="23"/>
        <v>-244803.35900000005</v>
      </c>
      <c r="V37" s="134">
        <f t="shared" si="24"/>
        <v>773439.19400000002</v>
      </c>
      <c r="W37" s="134"/>
      <c r="X37" s="134">
        <f t="shared" si="34"/>
        <v>168.33237774838818</v>
      </c>
      <c r="Y37" s="134">
        <f t="shared" si="35"/>
        <v>127.86232335923293</v>
      </c>
      <c r="Z37" s="124">
        <v>9.0999999999999998E-2</v>
      </c>
      <c r="AA37" s="134"/>
      <c r="AB37" s="134">
        <f>Emissionsfaktorer!E$17*S37</f>
        <v>101824.25530000002</v>
      </c>
      <c r="AC37" s="134">
        <f>Emissionsfaktorer!E$18*T37</f>
        <v>71929.845042000001</v>
      </c>
      <c r="AD37" s="173"/>
      <c r="AE37" s="134">
        <f t="shared" si="25"/>
        <v>163544.69330000001</v>
      </c>
      <c r="AF37" s="134">
        <f t="shared" si="26"/>
        <v>126460.503042</v>
      </c>
      <c r="AG37" s="134">
        <f t="shared" si="27"/>
        <v>-37084.190258000017</v>
      </c>
      <c r="AH37" s="135">
        <f t="shared" si="36"/>
        <v>20.906018026450653</v>
      </c>
      <c r="AI37" s="134">
        <f t="shared" si="37"/>
        <v>871896.28943511087</v>
      </c>
      <c r="AJ37" s="134">
        <f t="shared" si="38"/>
        <v>801173.42567702441</v>
      </c>
      <c r="AK37" s="134">
        <f t="shared" si="28"/>
        <v>835309.72354388842</v>
      </c>
      <c r="AL37" s="134">
        <f t="shared" si="29"/>
        <v>808106.98359628045</v>
      </c>
      <c r="AM37" s="134">
        <f t="shared" si="39"/>
        <v>-70722.86375808646</v>
      </c>
      <c r="AN37" s="134">
        <f t="shared" si="40"/>
        <v>144.13891377667562</v>
      </c>
      <c r="AO37" s="134">
        <f t="shared" si="41"/>
        <v>132.44725172376002</v>
      </c>
      <c r="AP37" s="124">
        <f>Emissionsfaktorer!E$16</f>
        <v>8.5999999999999993E-2</v>
      </c>
      <c r="AQ37" s="134">
        <f t="shared" si="42"/>
        <v>74983.080891419522</v>
      </c>
      <c r="AR37" s="134">
        <f t="shared" si="43"/>
        <v>68900.914608224091</v>
      </c>
      <c r="AS37">
        <f t="shared" si="44"/>
        <v>71836.636224774396</v>
      </c>
      <c r="AT37" s="173">
        <f t="shared" si="45"/>
        <v>69497.20058928011</v>
      </c>
      <c r="AU37" s="134">
        <f t="shared" si="46"/>
        <v>136703.51889141952</v>
      </c>
      <c r="AV37" s="134">
        <f t="shared" si="47"/>
        <v>123431.57260822409</v>
      </c>
      <c r="AW37" s="134">
        <f t="shared" si="48"/>
        <v>133557.07422477441</v>
      </c>
      <c r="AX37" s="134">
        <f t="shared" si="49"/>
        <v>124027.85858928011</v>
      </c>
      <c r="AY37" s="134">
        <f t="shared" si="30"/>
        <v>-13271.94628319543</v>
      </c>
      <c r="AZ37" s="134">
        <f t="shared" si="31"/>
        <v>53934.372018943977</v>
      </c>
      <c r="BA37" s="134">
        <f t="shared" si="50"/>
        <v>20.40528560228535</v>
      </c>
      <c r="BB37" s="106"/>
    </row>
    <row r="38" spans="1:54">
      <c r="A38" s="1" t="s">
        <v>89</v>
      </c>
      <c r="B38" s="6" t="s">
        <v>89</v>
      </c>
      <c r="C38" s="139">
        <v>3203</v>
      </c>
      <c r="D38" s="129"/>
      <c r="E38" s="124">
        <v>81135</v>
      </c>
      <c r="F38" s="204">
        <v>81165</v>
      </c>
      <c r="G38" s="124">
        <f t="shared" si="19"/>
        <v>30</v>
      </c>
      <c r="H38" s="124">
        <f t="shared" si="20"/>
        <v>81165</v>
      </c>
      <c r="I38" s="134"/>
      <c r="J38" s="134">
        <f t="shared" si="21"/>
        <v>25.330939743990008</v>
      </c>
      <c r="K38" s="135">
        <f t="shared" si="22"/>
        <v>25.340305963159537</v>
      </c>
      <c r="L38" s="134"/>
      <c r="M38" s="134">
        <f>Emissionsfaktorer!E$11*E38</f>
        <v>36429.614999999998</v>
      </c>
      <c r="N38" s="135">
        <f>Emissionsfaktorer!E$12*F38</f>
        <v>30680.37</v>
      </c>
      <c r="O38" s="124"/>
      <c r="P38" s="124">
        <v>7922</v>
      </c>
      <c r="Q38" s="204">
        <v>6054</v>
      </c>
      <c r="R38" s="134"/>
      <c r="S38" s="134">
        <f t="shared" si="32"/>
        <v>340891.58199999999</v>
      </c>
      <c r="T38" s="134">
        <f t="shared" si="33"/>
        <v>260509.674</v>
      </c>
      <c r="U38" s="134">
        <f t="shared" si="23"/>
        <v>-80381.907999999996</v>
      </c>
      <c r="V38" s="134">
        <f t="shared" si="24"/>
        <v>260509.674</v>
      </c>
      <c r="W38" s="134"/>
      <c r="X38" s="134">
        <f t="shared" si="34"/>
        <v>106.42884233531065</v>
      </c>
      <c r="Y38" s="134">
        <f t="shared" si="35"/>
        <v>81.333023415547927</v>
      </c>
      <c r="Z38" s="124">
        <v>0.20399999999999999</v>
      </c>
      <c r="AA38" s="134"/>
      <c r="AB38" s="134">
        <f>Emissionsfaktorer!E$14*S38</f>
        <v>89313.594484000001</v>
      </c>
      <c r="AC38" s="134">
        <f>Emissionsfaktorer!E$15*T38</f>
        <v>62522.321759999999</v>
      </c>
      <c r="AD38" s="173"/>
      <c r="AE38" s="134">
        <f t="shared" si="25"/>
        <v>125743.20948399999</v>
      </c>
      <c r="AF38" s="134">
        <f t="shared" si="26"/>
        <v>93202.691760000002</v>
      </c>
      <c r="AG38" s="134">
        <f t="shared" si="27"/>
        <v>-32540.51772399999</v>
      </c>
      <c r="AH38" s="135">
        <f t="shared" si="36"/>
        <v>29.098561273805807</v>
      </c>
      <c r="AI38" s="134">
        <f t="shared" si="37"/>
        <v>291897.15610467596</v>
      </c>
      <c r="AJ38" s="134">
        <f t="shared" si="38"/>
        <v>269851.11377816321</v>
      </c>
      <c r="AK38" s="134">
        <f t="shared" si="28"/>
        <v>279648.54963084491</v>
      </c>
      <c r="AL38" s="134">
        <f t="shared" si="29"/>
        <v>272186.47372270399</v>
      </c>
      <c r="AM38" s="134">
        <f t="shared" si="39"/>
        <v>-22046.042326512747</v>
      </c>
      <c r="AN38" s="134">
        <f t="shared" si="40"/>
        <v>91.132424634616285</v>
      </c>
      <c r="AO38" s="134">
        <f t="shared" si="41"/>
        <v>84.24948915958889</v>
      </c>
      <c r="AP38" s="124">
        <f>Emissionsfaktorer!E$13</f>
        <v>0.34699999999999998</v>
      </c>
      <c r="AQ38" s="134">
        <f t="shared" si="42"/>
        <v>101288.31316832255</v>
      </c>
      <c r="AR38" s="134">
        <f t="shared" si="43"/>
        <v>93638.336481022634</v>
      </c>
      <c r="AS38">
        <f t="shared" si="44"/>
        <v>97038.046721903171</v>
      </c>
      <c r="AT38" s="173">
        <f t="shared" si="45"/>
        <v>94448.706381778276</v>
      </c>
      <c r="AU38" s="134">
        <f t="shared" si="46"/>
        <v>137717.92816832254</v>
      </c>
      <c r="AV38" s="134">
        <f t="shared" si="47"/>
        <v>124318.70648102263</v>
      </c>
      <c r="AW38" s="134">
        <f t="shared" si="48"/>
        <v>133467.66172190316</v>
      </c>
      <c r="AX38" s="134">
        <f t="shared" si="49"/>
        <v>125129.07638177827</v>
      </c>
      <c r="AY38" s="134">
        <f t="shared" si="30"/>
        <v>-13399.221687299912</v>
      </c>
      <c r="AZ38" s="134">
        <f t="shared" si="31"/>
        <v>29870.000099244353</v>
      </c>
      <c r="BA38" s="134">
        <f t="shared" si="50"/>
        <v>38.813208392451649</v>
      </c>
      <c r="BB38" s="106"/>
    </row>
    <row r="39" spans="1:54">
      <c r="A39" s="1" t="s">
        <v>85</v>
      </c>
      <c r="B39" s="6" t="s">
        <v>85</v>
      </c>
      <c r="C39" s="139">
        <v>8693</v>
      </c>
      <c r="D39" s="129"/>
      <c r="E39" s="124">
        <v>191071</v>
      </c>
      <c r="F39" s="204">
        <v>186646</v>
      </c>
      <c r="G39" s="124">
        <f t="shared" si="19"/>
        <v>-4425</v>
      </c>
      <c r="H39" s="124">
        <f t="shared" si="20"/>
        <v>186646</v>
      </c>
      <c r="I39" s="134"/>
      <c r="J39" s="134">
        <f t="shared" si="21"/>
        <v>21.979868860002302</v>
      </c>
      <c r="K39" s="135">
        <f t="shared" si="22"/>
        <v>21.470838605774762</v>
      </c>
      <c r="L39" s="134"/>
      <c r="M39" s="134">
        <f>Emissionsfaktorer!E$11*E39</f>
        <v>85790.879000000001</v>
      </c>
      <c r="N39" s="135">
        <f>Emissionsfaktorer!E$12*F39</f>
        <v>70552.187999999995</v>
      </c>
      <c r="O39" s="124"/>
      <c r="P39" s="124">
        <v>31810</v>
      </c>
      <c r="Q39" s="179">
        <v>22948</v>
      </c>
      <c r="R39" s="134"/>
      <c r="S39" s="134">
        <f t="shared" si="32"/>
        <v>1368816.11</v>
      </c>
      <c r="T39" s="134">
        <f t="shared" si="33"/>
        <v>987475.38800000004</v>
      </c>
      <c r="U39" s="134">
        <f t="shared" si="23"/>
        <v>-381340.72200000007</v>
      </c>
      <c r="V39" s="134">
        <f t="shared" si="24"/>
        <v>987475.38800000004</v>
      </c>
      <c r="W39" s="134"/>
      <c r="X39" s="134">
        <f t="shared" si="34"/>
        <v>157.46187852294952</v>
      </c>
      <c r="Y39" s="134">
        <f t="shared" si="35"/>
        <v>113.59431588634534</v>
      </c>
      <c r="Z39" s="124">
        <v>9.0999999999999998E-2</v>
      </c>
      <c r="AA39" s="134"/>
      <c r="AB39" s="134">
        <f>Emissionsfaktorer!E$17*S39</f>
        <v>136881.611</v>
      </c>
      <c r="AC39" s="134">
        <f>Emissionsfaktorer!E$18*T39</f>
        <v>91835.21108400001</v>
      </c>
      <c r="AD39" s="173"/>
      <c r="AE39" s="134">
        <f t="shared" si="25"/>
        <v>222672.49</v>
      </c>
      <c r="AF39" s="134">
        <f t="shared" si="26"/>
        <v>162387.399084</v>
      </c>
      <c r="AG39" s="134">
        <f t="shared" si="27"/>
        <v>-60285.090915999986</v>
      </c>
      <c r="AH39" s="135">
        <f t="shared" si="36"/>
        <v>18.680248370412976</v>
      </c>
      <c r="AI39" s="134">
        <f t="shared" si="37"/>
        <v>1172083.884838392</v>
      </c>
      <c r="AJ39" s="134">
        <f t="shared" si="38"/>
        <v>1022884.5984442171</v>
      </c>
      <c r="AK39" s="134">
        <f t="shared" si="28"/>
        <v>1122900.8285479902</v>
      </c>
      <c r="AL39" s="134">
        <f t="shared" si="29"/>
        <v>1031736.9010552713</v>
      </c>
      <c r="AM39" s="134">
        <f t="shared" si="39"/>
        <v>-149199.28639417491</v>
      </c>
      <c r="AN39" s="134">
        <f t="shared" si="40"/>
        <v>134.83077014130819</v>
      </c>
      <c r="AO39" s="134">
        <f t="shared" si="41"/>
        <v>117.66761744440551</v>
      </c>
      <c r="AP39" s="124">
        <f>Emissionsfaktorer!E$16</f>
        <v>8.5999999999999993E-2</v>
      </c>
      <c r="AQ39" s="134">
        <f t="shared" si="42"/>
        <v>100799.2140961017</v>
      </c>
      <c r="AR39" s="134">
        <f t="shared" si="43"/>
        <v>87968.075466202659</v>
      </c>
      <c r="AS39">
        <f t="shared" si="44"/>
        <v>96569.471255127151</v>
      </c>
      <c r="AT39" s="173">
        <f t="shared" si="45"/>
        <v>88729.373490753322</v>
      </c>
      <c r="AU39" s="134">
        <f t="shared" si="46"/>
        <v>186590.09309610171</v>
      </c>
      <c r="AV39" s="134">
        <f t="shared" si="47"/>
        <v>158520.26346620265</v>
      </c>
      <c r="AW39" s="134">
        <f t="shared" si="48"/>
        <v>182360.35025512715</v>
      </c>
      <c r="AX39" s="134">
        <f t="shared" si="49"/>
        <v>159281.56149075332</v>
      </c>
      <c r="AY39" s="134">
        <f t="shared" si="30"/>
        <v>-28069.829629899061</v>
      </c>
      <c r="AZ39" s="134">
        <f t="shared" si="31"/>
        <v>69790.889975449332</v>
      </c>
      <c r="BA39" s="134">
        <f t="shared" si="50"/>
        <v>18.235392093201732</v>
      </c>
      <c r="BB39" s="106"/>
    </row>
    <row r="40" spans="1:54">
      <c r="A40" s="1" t="s">
        <v>86</v>
      </c>
      <c r="B40" s="6" t="s">
        <v>86</v>
      </c>
      <c r="C40" s="139">
        <v>8189</v>
      </c>
      <c r="D40" s="129"/>
      <c r="E40" s="124">
        <v>212301</v>
      </c>
      <c r="F40" s="179">
        <v>188795</v>
      </c>
      <c r="G40" s="124">
        <f t="shared" si="19"/>
        <v>-23506</v>
      </c>
      <c r="H40" s="124">
        <f t="shared" si="20"/>
        <v>188795</v>
      </c>
      <c r="I40" s="134"/>
      <c r="J40" s="134">
        <f t="shared" si="21"/>
        <v>25.925143485163023</v>
      </c>
      <c r="K40" s="135">
        <f t="shared" si="22"/>
        <v>23.054707534497496</v>
      </c>
      <c r="L40" s="134"/>
      <c r="M40" s="134">
        <f>Emissionsfaktorer!E$11*E40</f>
        <v>95323.149000000005</v>
      </c>
      <c r="N40" s="135">
        <f>Emissionsfaktorer!E$12*F40</f>
        <v>71364.509999999995</v>
      </c>
      <c r="O40" s="124"/>
      <c r="P40" s="124">
        <v>26840</v>
      </c>
      <c r="Q40" s="204">
        <v>22238</v>
      </c>
      <c r="R40" s="134"/>
      <c r="S40" s="134">
        <f t="shared" si="32"/>
        <v>1154952.04</v>
      </c>
      <c r="T40" s="134">
        <f t="shared" si="33"/>
        <v>956923.37800000003</v>
      </c>
      <c r="U40" s="134">
        <f t="shared" si="23"/>
        <v>-198028.66200000001</v>
      </c>
      <c r="V40" s="134">
        <f t="shared" si="24"/>
        <v>956923.37800000003</v>
      </c>
      <c r="W40" s="134"/>
      <c r="X40" s="134">
        <f t="shared" si="34"/>
        <v>141.03700573940654</v>
      </c>
      <c r="Y40" s="134">
        <f t="shared" si="35"/>
        <v>116.85472927097327</v>
      </c>
      <c r="Z40" s="124">
        <v>0.20399999999999999</v>
      </c>
      <c r="AA40" s="134"/>
      <c r="AB40" s="134">
        <f>Emissionsfaktorer!E$25*S40</f>
        <v>235610.21615999998</v>
      </c>
      <c r="AC40" s="134">
        <f>Emissionsfaktorer!E$26*T40</f>
        <v>195212.36911199999</v>
      </c>
      <c r="AD40" s="173"/>
      <c r="AE40" s="134">
        <f t="shared" si="25"/>
        <v>330933.36515999999</v>
      </c>
      <c r="AF40" s="134">
        <f t="shared" si="26"/>
        <v>266576.879112</v>
      </c>
      <c r="AG40" s="134">
        <f t="shared" si="27"/>
        <v>-64356.486047999992</v>
      </c>
      <c r="AH40" s="135">
        <f t="shared" si="36"/>
        <v>32.5530442193186</v>
      </c>
      <c r="AI40" s="134">
        <f t="shared" si="37"/>
        <v>988957.2923314193</v>
      </c>
      <c r="AJ40" s="134">
        <f t="shared" si="38"/>
        <v>991237.04463144927</v>
      </c>
      <c r="AK40" s="134">
        <f t="shared" si="28"/>
        <v>947458.60541427392</v>
      </c>
      <c r="AL40" s="134">
        <f t="shared" si="29"/>
        <v>999815.46128931153</v>
      </c>
      <c r="AM40" s="134">
        <f t="shared" si="39"/>
        <v>2279.7523000299698</v>
      </c>
      <c r="AN40" s="134">
        <f t="shared" si="40"/>
        <v>120.76655175618748</v>
      </c>
      <c r="AO40" s="134">
        <f t="shared" si="41"/>
        <v>121.04494378207953</v>
      </c>
      <c r="AP40" s="124">
        <f>Emissionsfaktorer!E$24</f>
        <v>0.20399999999999999</v>
      </c>
      <c r="AQ40" s="134">
        <f t="shared" si="42"/>
        <v>201747.28763560954</v>
      </c>
      <c r="AR40" s="134">
        <f t="shared" si="43"/>
        <v>202212.35710481563</v>
      </c>
      <c r="AS40">
        <f t="shared" si="44"/>
        <v>193281.55550451187</v>
      </c>
      <c r="AT40" s="173">
        <f t="shared" si="45"/>
        <v>203962.35410301955</v>
      </c>
      <c r="AU40" s="134">
        <f t="shared" si="46"/>
        <v>297070.43663560954</v>
      </c>
      <c r="AV40" s="134">
        <f t="shared" si="47"/>
        <v>273576.86710481561</v>
      </c>
      <c r="AW40" s="134">
        <f t="shared" si="48"/>
        <v>288604.7045045119</v>
      </c>
      <c r="AX40" s="134">
        <f t="shared" si="49"/>
        <v>275326.86410301953</v>
      </c>
      <c r="AY40" s="134">
        <f t="shared" si="30"/>
        <v>-23493.569530793931</v>
      </c>
      <c r="AZ40" s="134">
        <f t="shared" si="31"/>
        <v>69614.513001796062</v>
      </c>
      <c r="BA40" s="134">
        <f t="shared" si="50"/>
        <v>33.407847979584275</v>
      </c>
      <c r="BB40" s="106"/>
    </row>
    <row r="41" spans="1:54">
      <c r="A41" s="1" t="s">
        <v>345</v>
      </c>
      <c r="B41" s="6" t="s">
        <v>87</v>
      </c>
      <c r="C41" s="139">
        <v>4100</v>
      </c>
      <c r="D41" s="129"/>
      <c r="E41" s="124">
        <v>197087</v>
      </c>
      <c r="F41" s="204">
        <v>192711</v>
      </c>
      <c r="G41" s="124">
        <f t="shared" si="19"/>
        <v>-4376</v>
      </c>
      <c r="H41" s="124">
        <f t="shared" si="20"/>
        <v>192711</v>
      </c>
      <c r="I41" s="134"/>
      <c r="J41" s="134">
        <f t="shared" si="21"/>
        <v>48.07</v>
      </c>
      <c r="K41" s="135">
        <f t="shared" si="22"/>
        <v>47.002682926829266</v>
      </c>
      <c r="L41" s="134"/>
      <c r="M41" s="134">
        <f>Emissionsfaktorer!E$11*E41</f>
        <v>88492.063000000009</v>
      </c>
      <c r="N41" s="135">
        <f>Emissionsfaktorer!E$12*F41</f>
        <v>72844.758000000002</v>
      </c>
      <c r="O41" s="124"/>
      <c r="P41" s="124">
        <v>28289</v>
      </c>
      <c r="Q41" s="179">
        <v>20732</v>
      </c>
      <c r="R41" s="134"/>
      <c r="S41" s="134">
        <f t="shared" si="32"/>
        <v>1217303.959</v>
      </c>
      <c r="T41" s="134">
        <f t="shared" si="33"/>
        <v>892118.69200000004</v>
      </c>
      <c r="U41" s="134">
        <f t="shared" si="23"/>
        <v>-325185.26699999999</v>
      </c>
      <c r="V41" s="134">
        <f t="shared" si="24"/>
        <v>892118.69200000004</v>
      </c>
      <c r="W41" s="134"/>
      <c r="X41" s="134">
        <f t="shared" si="34"/>
        <v>296.90340463414634</v>
      </c>
      <c r="Y41" s="134">
        <f t="shared" si="35"/>
        <v>217.58992487804878</v>
      </c>
      <c r="Z41" s="124">
        <v>9.0999999999999998E-2</v>
      </c>
      <c r="AA41" s="134"/>
      <c r="AB41" s="134">
        <f>Emissionsfaktorer!E$17*S41</f>
        <v>121730.3959</v>
      </c>
      <c r="AC41" s="134">
        <f>Emissionsfaktorer!E$18*T41</f>
        <v>82967.038356000005</v>
      </c>
      <c r="AD41" s="173"/>
      <c r="AE41" s="134">
        <f t="shared" si="25"/>
        <v>210222.45890000003</v>
      </c>
      <c r="AF41" s="134">
        <f t="shared" si="26"/>
        <v>155811.79635600001</v>
      </c>
      <c r="AG41" s="134">
        <f t="shared" si="27"/>
        <v>-54410.662544000021</v>
      </c>
      <c r="AH41" s="135">
        <f t="shared" si="36"/>
        <v>38.002877160000004</v>
      </c>
      <c r="AI41" s="134">
        <f t="shared" si="37"/>
        <v>1042347.721414438</v>
      </c>
      <c r="AJ41" s="134">
        <f t="shared" si="38"/>
        <v>924108.57133281813</v>
      </c>
      <c r="AK41" s="134">
        <f t="shared" si="28"/>
        <v>998608.66201804753</v>
      </c>
      <c r="AL41" s="134">
        <f t="shared" si="29"/>
        <v>932106.04116602242</v>
      </c>
      <c r="AM41" s="134">
        <f t="shared" si="39"/>
        <v>-118239.15008161985</v>
      </c>
      <c r="AN41" s="134">
        <f t="shared" si="40"/>
        <v>254.23115156449708</v>
      </c>
      <c r="AO41" s="134">
        <f t="shared" si="41"/>
        <v>225.39233447141905</v>
      </c>
      <c r="AP41" s="124">
        <f>Emissionsfaktorer!E$16</f>
        <v>8.5999999999999993E-2</v>
      </c>
      <c r="AQ41" s="134">
        <f t="shared" si="42"/>
        <v>89641.904041641654</v>
      </c>
      <c r="AR41" s="134">
        <f t="shared" si="43"/>
        <v>79473.337134622358</v>
      </c>
      <c r="AS41">
        <f t="shared" si="44"/>
        <v>85880.344933552085</v>
      </c>
      <c r="AT41" s="173">
        <f t="shared" si="45"/>
        <v>80161.119540277927</v>
      </c>
      <c r="AU41" s="134">
        <f t="shared" si="46"/>
        <v>178133.96704164165</v>
      </c>
      <c r="AV41" s="134">
        <f t="shared" si="47"/>
        <v>152318.09513462236</v>
      </c>
      <c r="AW41" s="134">
        <f t="shared" si="48"/>
        <v>174372.40793355211</v>
      </c>
      <c r="AX41" s="134">
        <f t="shared" si="49"/>
        <v>153005.87754027793</v>
      </c>
      <c r="AY41" s="134">
        <f t="shared" si="30"/>
        <v>-25815.871907019289</v>
      </c>
      <c r="AZ41" s="134">
        <f t="shared" si="31"/>
        <v>72156.975594344432</v>
      </c>
      <c r="BA41" s="134">
        <f t="shared" si="50"/>
        <v>37.150754910883499</v>
      </c>
      <c r="BB41" s="106"/>
    </row>
    <row r="42" spans="1:54">
      <c r="A42" s="9"/>
      <c r="B42" s="6" t="s">
        <v>109</v>
      </c>
      <c r="C42" s="139">
        <v>2730</v>
      </c>
      <c r="D42" s="129"/>
      <c r="E42" s="124">
        <v>236684</v>
      </c>
      <c r="F42" s="204">
        <v>210175</v>
      </c>
      <c r="G42" s="124">
        <f t="shared" si="19"/>
        <v>-26509</v>
      </c>
      <c r="H42" s="124">
        <f t="shared" si="20"/>
        <v>210175</v>
      </c>
      <c r="I42" s="134"/>
      <c r="J42" s="134">
        <f t="shared" si="21"/>
        <v>86.697435897435895</v>
      </c>
      <c r="K42" s="135">
        <f t="shared" si="22"/>
        <v>76.987179487179489</v>
      </c>
      <c r="L42" s="134"/>
      <c r="M42" s="134">
        <f>Emissionsfaktorer!E$11*E42</f>
        <v>106271.11600000001</v>
      </c>
      <c r="N42" s="135">
        <f>Emissionsfaktorer!E$12*F42</f>
        <v>79446.149999999994</v>
      </c>
      <c r="O42" s="124"/>
      <c r="P42" s="124">
        <v>16711</v>
      </c>
      <c r="Q42" s="179">
        <v>11897</v>
      </c>
      <c r="R42" s="134"/>
      <c r="S42" s="134">
        <f t="shared" si="32"/>
        <v>719091.04099999997</v>
      </c>
      <c r="T42" s="134">
        <f t="shared" si="33"/>
        <v>511939.80700000003</v>
      </c>
      <c r="U42" s="134">
        <f t="shared" si="23"/>
        <v>-207151.23399999994</v>
      </c>
      <c r="V42" s="134">
        <f t="shared" si="24"/>
        <v>511939.80700000003</v>
      </c>
      <c r="W42" s="134"/>
      <c r="X42" s="134">
        <f t="shared" si="34"/>
        <v>263.40331172161171</v>
      </c>
      <c r="Y42" s="134">
        <f t="shared" si="35"/>
        <v>187.52373882783883</v>
      </c>
      <c r="Z42" s="124">
        <v>9.0999999999999998E-2</v>
      </c>
      <c r="AA42" s="134"/>
      <c r="AB42" s="134">
        <f>Emissionsfaktorer!E$17*S42</f>
        <v>71909.104099999997</v>
      </c>
      <c r="AC42" s="134">
        <f>Emissionsfaktorer!E$18*T42</f>
        <v>47610.402051000005</v>
      </c>
      <c r="AD42" s="173"/>
      <c r="AE42" s="134">
        <f t="shared" si="25"/>
        <v>178180.22010000001</v>
      </c>
      <c r="AF42" s="134">
        <f t="shared" si="26"/>
        <v>127056.55205100001</v>
      </c>
      <c r="AG42" s="134">
        <f t="shared" si="27"/>
        <v>-51123.668049</v>
      </c>
      <c r="AH42" s="135">
        <f t="shared" si="36"/>
        <v>46.540861557142861</v>
      </c>
      <c r="AI42" s="134">
        <f t="shared" si="37"/>
        <v>615740.13830664475</v>
      </c>
      <c r="AJ42" s="134">
        <f t="shared" si="38"/>
        <v>530297.10945140535</v>
      </c>
      <c r="AK42" s="134">
        <f t="shared" si="28"/>
        <v>589902.41263330588</v>
      </c>
      <c r="AL42" s="134">
        <f t="shared" si="29"/>
        <v>534886.43506425666</v>
      </c>
      <c r="AM42" s="134">
        <f t="shared" si="39"/>
        <v>-85443.02885523939</v>
      </c>
      <c r="AN42" s="134">
        <f t="shared" si="40"/>
        <v>225.54583820756218</v>
      </c>
      <c r="AO42" s="134">
        <f t="shared" si="41"/>
        <v>194.24802544007522</v>
      </c>
      <c r="AP42" s="124">
        <f>Emissionsfaktorer!E$16</f>
        <v>8.5999999999999993E-2</v>
      </c>
      <c r="AQ42" s="134">
        <f t="shared" si="42"/>
        <v>52953.651894371447</v>
      </c>
      <c r="AR42" s="134">
        <f t="shared" si="43"/>
        <v>45605.55141282086</v>
      </c>
      <c r="AS42">
        <f t="shared" si="44"/>
        <v>50731.607486464301</v>
      </c>
      <c r="AT42" s="173">
        <f t="shared" si="45"/>
        <v>46000.233415526069</v>
      </c>
      <c r="AU42" s="134">
        <f t="shared" si="46"/>
        <v>159224.76789437147</v>
      </c>
      <c r="AV42" s="134">
        <f t="shared" si="47"/>
        <v>125051.70141282085</v>
      </c>
      <c r="AW42" s="134">
        <f t="shared" si="48"/>
        <v>157002.7234864643</v>
      </c>
      <c r="AX42" s="134">
        <f t="shared" si="49"/>
        <v>125446.38341552607</v>
      </c>
      <c r="AY42" s="134">
        <f t="shared" si="30"/>
        <v>-34173.066481550617</v>
      </c>
      <c r="AZ42" s="134">
        <f t="shared" si="31"/>
        <v>79051.467997294792</v>
      </c>
      <c r="BA42" s="134">
        <f t="shared" si="50"/>
        <v>45.806484034000313</v>
      </c>
      <c r="BB42" s="106"/>
    </row>
    <row r="43" spans="1:54">
      <c r="A43" s="2" t="s">
        <v>90</v>
      </c>
      <c r="B43" s="6" t="s">
        <v>110</v>
      </c>
      <c r="C43" s="139">
        <v>8000</v>
      </c>
      <c r="D43" s="129"/>
      <c r="E43" s="124">
        <v>176860</v>
      </c>
      <c r="F43" s="204">
        <v>209921</v>
      </c>
      <c r="G43" s="124">
        <f t="shared" si="19"/>
        <v>33061</v>
      </c>
      <c r="H43" s="124">
        <f t="shared" si="20"/>
        <v>209921</v>
      </c>
      <c r="I43" s="134"/>
      <c r="J43" s="134">
        <f t="shared" si="21"/>
        <v>22.107500000000002</v>
      </c>
      <c r="K43" s="135">
        <f t="shared" si="22"/>
        <v>26.240124999999999</v>
      </c>
      <c r="L43" s="134"/>
      <c r="M43" s="134">
        <f>Emissionsfaktorer!E$11*E43</f>
        <v>79410.14</v>
      </c>
      <c r="N43" s="135">
        <f>Emissionsfaktorer!E$12*F43</f>
        <v>79350.138000000006</v>
      </c>
      <c r="O43" s="124"/>
      <c r="P43" s="124">
        <v>15524</v>
      </c>
      <c r="Q43" s="204">
        <v>13646</v>
      </c>
      <c r="R43" s="134"/>
      <c r="S43" s="134">
        <f t="shared" si="32"/>
        <v>668013.24400000006</v>
      </c>
      <c r="T43" s="134">
        <f t="shared" si="33"/>
        <v>587201.02600000007</v>
      </c>
      <c r="U43" s="134">
        <f t="shared" si="23"/>
        <v>-80812.217999999993</v>
      </c>
      <c r="V43" s="134">
        <f t="shared" si="24"/>
        <v>587201.02600000007</v>
      </c>
      <c r="W43" s="134"/>
      <c r="X43" s="134">
        <f t="shared" si="34"/>
        <v>83.501655500000012</v>
      </c>
      <c r="Y43" s="134">
        <f t="shared" si="35"/>
        <v>73.400128250000009</v>
      </c>
      <c r="Z43" s="124">
        <v>0.20399999999999999</v>
      </c>
      <c r="AA43" s="134"/>
      <c r="AB43" s="134">
        <f>Emissionsfaktorer!E$25*S43</f>
        <v>136274.701776</v>
      </c>
      <c r="AC43" s="134">
        <f>Emissionsfaktorer!E$26*T43</f>
        <v>119789.00930400001</v>
      </c>
      <c r="AD43" s="173"/>
      <c r="AE43" s="134">
        <f t="shared" si="25"/>
        <v>215684.84177599999</v>
      </c>
      <c r="AF43" s="134">
        <f t="shared" si="26"/>
        <v>199139.14730400001</v>
      </c>
      <c r="AG43" s="134">
        <f t="shared" si="27"/>
        <v>-16545.694471999974</v>
      </c>
      <c r="AH43" s="135">
        <f t="shared" si="36"/>
        <v>24.892393413000001</v>
      </c>
      <c r="AI43" s="134">
        <f t="shared" si="37"/>
        <v>572003.46520689095</v>
      </c>
      <c r="AJ43" s="134">
        <f t="shared" si="38"/>
        <v>608257.06947750505</v>
      </c>
      <c r="AK43" s="134">
        <f t="shared" si="28"/>
        <v>548001.02050861367</v>
      </c>
      <c r="AL43" s="134">
        <f t="shared" si="29"/>
        <v>613521.0803468813</v>
      </c>
      <c r="AM43" s="134">
        <f t="shared" si="39"/>
        <v>36253.604270614102</v>
      </c>
      <c r="AN43" s="134">
        <f t="shared" si="40"/>
        <v>71.500433150861369</v>
      </c>
      <c r="AO43" s="134">
        <f t="shared" si="41"/>
        <v>76.032133684688134</v>
      </c>
      <c r="AP43" s="124">
        <f>Emissionsfaktorer!E$24</f>
        <v>0.20399999999999999</v>
      </c>
      <c r="AQ43" s="134">
        <f t="shared" si="42"/>
        <v>116688.70690220574</v>
      </c>
      <c r="AR43" s="134">
        <f t="shared" si="43"/>
        <v>124084.44217341102</v>
      </c>
      <c r="AS43">
        <f t="shared" si="44"/>
        <v>111792.20818375717</v>
      </c>
      <c r="AT43" s="173">
        <f t="shared" si="45"/>
        <v>125158.30039076378</v>
      </c>
      <c r="AU43" s="134">
        <f t="shared" si="46"/>
        <v>196098.84690220573</v>
      </c>
      <c r="AV43" s="134">
        <f t="shared" si="47"/>
        <v>203434.58017341103</v>
      </c>
      <c r="AW43" s="134">
        <f t="shared" si="48"/>
        <v>191202.34818375716</v>
      </c>
      <c r="AX43" s="134">
        <f t="shared" si="49"/>
        <v>204508.43839076377</v>
      </c>
      <c r="AY43" s="134">
        <f t="shared" si="30"/>
        <v>7335.733271205303</v>
      </c>
      <c r="AZ43" s="134">
        <f t="shared" si="31"/>
        <v>78276.279782647252</v>
      </c>
      <c r="BA43" s="134">
        <f t="shared" si="50"/>
        <v>25.429322521676379</v>
      </c>
      <c r="BB43" s="106"/>
    </row>
    <row r="44" spans="1:54">
      <c r="A44" s="1" t="s">
        <v>91</v>
      </c>
      <c r="B44" s="6" t="s">
        <v>91</v>
      </c>
      <c r="C44" s="139">
        <v>15193</v>
      </c>
      <c r="D44" s="129"/>
      <c r="E44" s="124">
        <v>498308</v>
      </c>
      <c r="F44" s="204">
        <v>422442</v>
      </c>
      <c r="G44" s="124">
        <f t="shared" si="19"/>
        <v>-75866</v>
      </c>
      <c r="H44" s="124">
        <f t="shared" si="20"/>
        <v>422442</v>
      </c>
      <c r="I44" s="134"/>
      <c r="J44" s="134">
        <f t="shared" si="21"/>
        <v>32.798525636806424</v>
      </c>
      <c r="K44" s="135">
        <f t="shared" si="22"/>
        <v>27.805041795563746</v>
      </c>
      <c r="L44" s="134"/>
      <c r="M44" s="134">
        <f>Emissionsfaktorer!E$11*E44</f>
        <v>223740.29200000002</v>
      </c>
      <c r="N44" s="135">
        <f>Emissionsfaktorer!E$12*F44</f>
        <v>159683.076</v>
      </c>
      <c r="O44" s="124"/>
      <c r="P44" s="124">
        <v>54435</v>
      </c>
      <c r="Q44" s="204">
        <v>42443</v>
      </c>
      <c r="R44" s="134"/>
      <c r="S44" s="134">
        <f t="shared" si="32"/>
        <v>2342392.4849999999</v>
      </c>
      <c r="T44" s="134">
        <f t="shared" si="33"/>
        <v>1826364.733</v>
      </c>
      <c r="U44" s="134">
        <f t="shared" si="23"/>
        <v>-516027.75199999986</v>
      </c>
      <c r="V44" s="134">
        <f t="shared" si="24"/>
        <v>1826364.733</v>
      </c>
      <c r="W44" s="134"/>
      <c r="X44" s="134">
        <f t="shared" si="34"/>
        <v>154.17577074968736</v>
      </c>
      <c r="Y44" s="134">
        <f t="shared" si="35"/>
        <v>120.21093483841243</v>
      </c>
      <c r="Z44" s="124">
        <v>9.0999999999999998E-2</v>
      </c>
      <c r="AA44" s="134"/>
      <c r="AB44" s="134">
        <f>Emissionsfaktorer!E$17*S44</f>
        <v>234239.24849999999</v>
      </c>
      <c r="AC44" s="134">
        <f>Emissionsfaktorer!E$18*T44</f>
        <v>169851.92016899999</v>
      </c>
      <c r="AD44" s="173"/>
      <c r="AE44" s="134">
        <f t="shared" si="25"/>
        <v>457979.5405</v>
      </c>
      <c r="AF44" s="134">
        <f t="shared" si="26"/>
        <v>329534.99616899999</v>
      </c>
      <c r="AG44" s="134">
        <f t="shared" si="27"/>
        <v>-128444.54433100001</v>
      </c>
      <c r="AH44" s="135">
        <f t="shared" si="36"/>
        <v>21.689922738695451</v>
      </c>
      <c r="AI44" s="134">
        <f t="shared" si="37"/>
        <v>2005733.6143092697</v>
      </c>
      <c r="AJ44" s="134">
        <f t="shared" si="38"/>
        <v>1891855.1077116919</v>
      </c>
      <c r="AK44" s="134">
        <f t="shared" si="28"/>
        <v>1921568.8966365871</v>
      </c>
      <c r="AL44" s="134">
        <f t="shared" si="29"/>
        <v>1908227.7013896145</v>
      </c>
      <c r="AM44" s="134">
        <f t="shared" si="39"/>
        <v>-113878.50659757783</v>
      </c>
      <c r="AN44" s="134">
        <f t="shared" si="40"/>
        <v>132.01695611855919</v>
      </c>
      <c r="AO44" s="134">
        <f t="shared" si="41"/>
        <v>124.52149724950253</v>
      </c>
      <c r="AP44" s="124">
        <f>Emissionsfaktorer!E$16</f>
        <v>8.5999999999999993E-2</v>
      </c>
      <c r="AQ44" s="134">
        <f t="shared" si="42"/>
        <v>172493.09083059718</v>
      </c>
      <c r="AR44" s="134">
        <f t="shared" si="43"/>
        <v>162699.53926320549</v>
      </c>
      <c r="AS44">
        <f t="shared" si="44"/>
        <v>165254.92511074647</v>
      </c>
      <c r="AT44" s="173">
        <f t="shared" si="45"/>
        <v>164107.58231950682</v>
      </c>
      <c r="AU44" s="134">
        <f t="shared" si="46"/>
        <v>396233.38283059723</v>
      </c>
      <c r="AV44" s="134">
        <f t="shared" si="47"/>
        <v>322382.61526320549</v>
      </c>
      <c r="AW44" s="134">
        <f t="shared" si="48"/>
        <v>388995.21711074648</v>
      </c>
      <c r="AX44" s="134">
        <f t="shared" si="49"/>
        <v>323790.65831950679</v>
      </c>
      <c r="AY44" s="134">
        <f t="shared" si="30"/>
        <v>-73850.76756739174</v>
      </c>
      <c r="AZ44" s="134">
        <f t="shared" si="31"/>
        <v>158275.03294369866</v>
      </c>
      <c r="BA44" s="134">
        <f t="shared" si="50"/>
        <v>21.219154562180311</v>
      </c>
      <c r="BB44" s="106"/>
    </row>
    <row r="45" spans="1:54">
      <c r="A45" s="1" t="s">
        <v>92</v>
      </c>
      <c r="B45" s="6" t="s">
        <v>92</v>
      </c>
      <c r="C45" s="139">
        <v>3625</v>
      </c>
      <c r="D45" s="129"/>
      <c r="E45" s="124">
        <v>47724</v>
      </c>
      <c r="F45" s="204">
        <v>47215</v>
      </c>
      <c r="G45" s="124">
        <f t="shared" si="19"/>
        <v>-509</v>
      </c>
      <c r="H45" s="124">
        <f t="shared" si="20"/>
        <v>47215</v>
      </c>
      <c r="I45" s="134"/>
      <c r="J45" s="134">
        <f t="shared" si="21"/>
        <v>13.165241379310345</v>
      </c>
      <c r="K45" s="135">
        <f t="shared" si="22"/>
        <v>13.024827586206897</v>
      </c>
      <c r="L45" s="134"/>
      <c r="M45" s="134">
        <f>Emissionsfaktorer!E$11*E45</f>
        <v>21428.076000000001</v>
      </c>
      <c r="N45" s="135">
        <f>Emissionsfaktorer!E$12*F45</f>
        <v>17847.27</v>
      </c>
      <c r="O45" s="124"/>
      <c r="P45" s="124">
        <v>9858</v>
      </c>
      <c r="Q45" s="179">
        <v>6667</v>
      </c>
      <c r="R45" s="134"/>
      <c r="S45" s="134">
        <f t="shared" si="32"/>
        <v>424199.598</v>
      </c>
      <c r="T45" s="134">
        <f t="shared" si="33"/>
        <v>286887.67700000003</v>
      </c>
      <c r="U45" s="134">
        <f t="shared" si="23"/>
        <v>-137311.92099999997</v>
      </c>
      <c r="V45" s="134">
        <f t="shared" si="24"/>
        <v>286887.67700000003</v>
      </c>
      <c r="W45" s="134"/>
      <c r="X45" s="134">
        <f t="shared" si="34"/>
        <v>117.02057875862069</v>
      </c>
      <c r="Y45" s="134">
        <f t="shared" si="35"/>
        <v>79.141428137931044</v>
      </c>
      <c r="Z45" s="171">
        <v>0.34699999999999998</v>
      </c>
      <c r="AA45" s="134"/>
      <c r="AB45" s="134">
        <f>Emissionsfaktorer!E$14*S45</f>
        <v>111140.294676</v>
      </c>
      <c r="AC45" s="134">
        <f>Emissionsfaktorer!E$15*T45</f>
        <v>68853.042480000004</v>
      </c>
      <c r="AD45" s="173"/>
      <c r="AE45" s="134">
        <f t="shared" si="25"/>
        <v>132568.37067600002</v>
      </c>
      <c r="AF45" s="134">
        <f t="shared" si="26"/>
        <v>86700.312480000008</v>
      </c>
      <c r="AG45" s="134">
        <f t="shared" si="27"/>
        <v>-45868.058196000013</v>
      </c>
      <c r="AH45" s="135">
        <f t="shared" si="36"/>
        <v>23.917327580689658</v>
      </c>
      <c r="AI45" s="134">
        <f t="shared" si="37"/>
        <v>363231.78046956524</v>
      </c>
      <c r="AJ45" s="134">
        <f t="shared" si="38"/>
        <v>297174.98770383454</v>
      </c>
      <c r="AK45" s="134">
        <f t="shared" si="28"/>
        <v>347989.82608695648</v>
      </c>
      <c r="AL45" s="134">
        <f t="shared" si="29"/>
        <v>299746.81537979317</v>
      </c>
      <c r="AM45" s="134">
        <f t="shared" si="39"/>
        <v>-66056.792765730701</v>
      </c>
      <c r="AN45" s="134">
        <f t="shared" si="40"/>
        <v>100.20187047436282</v>
      </c>
      <c r="AO45" s="134">
        <f t="shared" si="41"/>
        <v>81.97930695278194</v>
      </c>
      <c r="AP45" s="124">
        <f>Emissionsfaktorer!E$13</f>
        <v>0.34699999999999998</v>
      </c>
      <c r="AQ45" s="134">
        <f t="shared" si="42"/>
        <v>126041.42782293913</v>
      </c>
      <c r="AR45" s="134">
        <f t="shared" si="43"/>
        <v>103119.72073323058</v>
      </c>
      <c r="AS45">
        <f t="shared" si="44"/>
        <v>120752.4696521739</v>
      </c>
      <c r="AT45" s="173">
        <f t="shared" si="45"/>
        <v>104012.14493678823</v>
      </c>
      <c r="AU45" s="134">
        <f t="shared" si="46"/>
        <v>147469.50382293912</v>
      </c>
      <c r="AV45" s="134">
        <f t="shared" si="47"/>
        <v>120966.99073323059</v>
      </c>
      <c r="AW45" s="134">
        <f t="shared" si="48"/>
        <v>142180.5456521739</v>
      </c>
      <c r="AX45" s="134">
        <f t="shared" si="49"/>
        <v>121859.41493678823</v>
      </c>
      <c r="AY45" s="134">
        <f t="shared" si="30"/>
        <v>-26502.513089708533</v>
      </c>
      <c r="AZ45" s="134">
        <f t="shared" si="31"/>
        <v>16954.845796442358</v>
      </c>
      <c r="BA45" s="134">
        <f t="shared" si="50"/>
        <v>33.370204340201539</v>
      </c>
      <c r="BB45" s="106"/>
    </row>
    <row r="46" spans="1:54">
      <c r="A46" s="12" t="s">
        <v>93</v>
      </c>
      <c r="B46" s="6" t="s">
        <v>93</v>
      </c>
      <c r="C46" s="176">
        <v>3500</v>
      </c>
      <c r="D46" s="129"/>
      <c r="E46" s="124">
        <v>59618</v>
      </c>
      <c r="F46" s="204">
        <v>58276</v>
      </c>
      <c r="G46" s="124">
        <f t="shared" si="19"/>
        <v>-1342</v>
      </c>
      <c r="H46" s="124">
        <f t="shared" si="20"/>
        <v>58276</v>
      </c>
      <c r="I46" s="134"/>
      <c r="J46" s="134">
        <f t="shared" si="21"/>
        <v>17.033714285714286</v>
      </c>
      <c r="K46" s="135">
        <f t="shared" si="22"/>
        <v>16.650285714285715</v>
      </c>
      <c r="L46" s="134"/>
      <c r="M46" s="134">
        <f>Emissionsfaktorer!E$11*E46</f>
        <v>26768.482</v>
      </c>
      <c r="N46" s="135">
        <f>Emissionsfaktorer!E$12*F46</f>
        <v>22028.328000000001</v>
      </c>
      <c r="O46" s="124"/>
      <c r="P46" s="124">
        <v>9159</v>
      </c>
      <c r="Q46" s="179">
        <v>7730</v>
      </c>
      <c r="R46" s="134"/>
      <c r="S46" s="134">
        <f t="shared" si="32"/>
        <v>394120.929</v>
      </c>
      <c r="T46" s="134">
        <f t="shared" si="33"/>
        <v>332629.63</v>
      </c>
      <c r="U46" s="134">
        <f t="shared" si="23"/>
        <v>-61491.298999999999</v>
      </c>
      <c r="V46" s="134">
        <f t="shared" si="24"/>
        <v>332629.63</v>
      </c>
      <c r="W46" s="134"/>
      <c r="X46" s="134">
        <f t="shared" si="34"/>
        <v>112.60597971428571</v>
      </c>
      <c r="Y46" s="134">
        <f t="shared" si="35"/>
        <v>95.037037142857145</v>
      </c>
      <c r="Z46" s="124">
        <v>9.0999999999999998E-2</v>
      </c>
      <c r="AA46" s="134"/>
      <c r="AB46" s="134">
        <f>Emissionsfaktorer!E$17*S46</f>
        <v>39412.092900000003</v>
      </c>
      <c r="AC46" s="134">
        <f>Emissionsfaktorer!E$18*T46</f>
        <v>30934.55559</v>
      </c>
      <c r="AD46" s="173"/>
      <c r="AE46" s="134">
        <f t="shared" si="25"/>
        <v>66180.574900000007</v>
      </c>
      <c r="AF46" s="134">
        <f t="shared" si="26"/>
        <v>52962.883589999998</v>
      </c>
      <c r="AG46" s="134">
        <f t="shared" si="27"/>
        <v>-13217.691310000009</v>
      </c>
      <c r="AH46" s="135">
        <f t="shared" si="36"/>
        <v>15.132252454285714</v>
      </c>
      <c r="AI46" s="134">
        <f t="shared" si="37"/>
        <v>337476.14904856437</v>
      </c>
      <c r="AJ46" s="134">
        <f t="shared" si="38"/>
        <v>344557.17038407701</v>
      </c>
      <c r="AK46" s="134">
        <f t="shared" si="28"/>
        <v>323314.9540607055</v>
      </c>
      <c r="AL46" s="134">
        <f t="shared" si="29"/>
        <v>347539.05548009614</v>
      </c>
      <c r="AM46" s="134">
        <f t="shared" si="39"/>
        <v>7081.0213355126325</v>
      </c>
      <c r="AN46" s="134">
        <f t="shared" si="40"/>
        <v>96.421756871018388</v>
      </c>
      <c r="AO46" s="134">
        <f t="shared" si="41"/>
        <v>98.444905824022001</v>
      </c>
      <c r="AP46" s="124">
        <f>Emissionsfaktorer!E$16</f>
        <v>8.5999999999999993E-2</v>
      </c>
      <c r="AQ46" s="134">
        <f t="shared" si="42"/>
        <v>29022.948818176534</v>
      </c>
      <c r="AR46" s="134">
        <f t="shared" si="43"/>
        <v>29631.916653030621</v>
      </c>
      <c r="AS46">
        <f t="shared" si="44"/>
        <v>27805.08604922067</v>
      </c>
      <c r="AT46" s="173">
        <f t="shared" si="45"/>
        <v>29888.358771288265</v>
      </c>
      <c r="AU46" s="134">
        <f t="shared" si="46"/>
        <v>55791.430818176537</v>
      </c>
      <c r="AV46" s="134">
        <f t="shared" si="47"/>
        <v>51660.244653030619</v>
      </c>
      <c r="AW46" s="134">
        <f t="shared" si="48"/>
        <v>54573.568049220674</v>
      </c>
      <c r="AX46" s="134">
        <f t="shared" si="49"/>
        <v>51916.686771288267</v>
      </c>
      <c r="AY46" s="134">
        <f t="shared" si="30"/>
        <v>-4131.1861651459185</v>
      </c>
      <c r="AZ46" s="134">
        <f t="shared" si="31"/>
        <v>21771.885881742353</v>
      </c>
      <c r="BA46" s="134">
        <f t="shared" si="50"/>
        <v>14.760069900865892</v>
      </c>
      <c r="BB46" s="106"/>
    </row>
    <row r="47" spans="1:54">
      <c r="A47" s="1" t="s">
        <v>101</v>
      </c>
      <c r="B47" s="6" t="s">
        <v>111</v>
      </c>
      <c r="C47" s="139">
        <v>4180</v>
      </c>
      <c r="D47" s="129"/>
      <c r="E47" s="124">
        <v>105776</v>
      </c>
      <c r="F47" s="204">
        <v>102119</v>
      </c>
      <c r="G47" s="124">
        <f t="shared" si="19"/>
        <v>-3657</v>
      </c>
      <c r="H47" s="124">
        <f t="shared" si="20"/>
        <v>102119</v>
      </c>
      <c r="I47" s="134"/>
      <c r="J47" s="134">
        <f t="shared" si="21"/>
        <v>25.305263157894736</v>
      </c>
      <c r="K47" s="135">
        <f t="shared" si="22"/>
        <v>24.430382775119618</v>
      </c>
      <c r="L47" s="134"/>
      <c r="M47" s="134">
        <f>Emissionsfaktorer!E$11*E47</f>
        <v>47493.423999999999</v>
      </c>
      <c r="N47" s="135">
        <f>Emissionsfaktorer!E$12*F47</f>
        <v>38600.982000000004</v>
      </c>
      <c r="O47" s="124"/>
      <c r="P47" s="124">
        <v>9328</v>
      </c>
      <c r="Q47" s="204">
        <v>9780</v>
      </c>
      <c r="R47" s="134"/>
      <c r="S47" s="134">
        <f t="shared" si="32"/>
        <v>401393.16800000001</v>
      </c>
      <c r="T47" s="134">
        <f t="shared" si="33"/>
        <v>420843.18</v>
      </c>
      <c r="U47" s="134">
        <f t="shared" si="23"/>
        <v>19450.011999999988</v>
      </c>
      <c r="V47" s="134">
        <f t="shared" si="24"/>
        <v>420843.18</v>
      </c>
      <c r="W47" s="134"/>
      <c r="X47" s="134">
        <f t="shared" si="34"/>
        <v>96.027073684210521</v>
      </c>
      <c r="Y47" s="134">
        <f t="shared" si="35"/>
        <v>100.6801866028708</v>
      </c>
      <c r="Z47" s="124">
        <v>9.0999999999999998E-2</v>
      </c>
      <c r="AA47" s="134"/>
      <c r="AB47" s="134">
        <f>Emissionsfaktorer!E$17*S47</f>
        <v>40139.316800000001</v>
      </c>
      <c r="AC47" s="134">
        <f>Emissionsfaktorer!E$18*T47</f>
        <v>39138.415739999997</v>
      </c>
      <c r="AD47" s="173"/>
      <c r="AE47" s="134">
        <f t="shared" si="25"/>
        <v>87632.7408</v>
      </c>
      <c r="AF47" s="134">
        <f t="shared" si="26"/>
        <v>77739.39774</v>
      </c>
      <c r="AG47" s="134">
        <f t="shared" si="27"/>
        <v>-9893.3430599999992</v>
      </c>
      <c r="AH47" s="135">
        <f t="shared" si="36"/>
        <v>18.597942043062201</v>
      </c>
      <c r="AI47" s="134">
        <f t="shared" si="37"/>
        <v>343703.19012173911</v>
      </c>
      <c r="AJ47" s="134">
        <f t="shared" si="38"/>
        <v>435933.9102660119</v>
      </c>
      <c r="AK47" s="134">
        <f t="shared" si="28"/>
        <v>329280.69565217389</v>
      </c>
      <c r="AL47" s="134">
        <f t="shared" si="29"/>
        <v>439706.5928325149</v>
      </c>
      <c r="AM47" s="134">
        <f t="shared" si="39"/>
        <v>92230.720144272782</v>
      </c>
      <c r="AN47" s="134">
        <f t="shared" si="40"/>
        <v>82.225643569794045</v>
      </c>
      <c r="AO47" s="134">
        <f t="shared" si="41"/>
        <v>104.2904091545483</v>
      </c>
      <c r="AP47" s="124">
        <f>Emissionsfaktorer!E$16</f>
        <v>8.5999999999999993E-2</v>
      </c>
      <c r="AQ47" s="134">
        <f t="shared" si="42"/>
        <v>29558.474350469562</v>
      </c>
      <c r="AR47" s="134">
        <f t="shared" si="43"/>
        <v>37490.316282877022</v>
      </c>
      <c r="AS47">
        <f t="shared" si="44"/>
        <v>28318.139826086954</v>
      </c>
      <c r="AT47" s="173">
        <f t="shared" si="45"/>
        <v>37814.766983596281</v>
      </c>
      <c r="AU47" s="134">
        <f t="shared" si="46"/>
        <v>77051.898350469564</v>
      </c>
      <c r="AV47" s="134">
        <f t="shared" si="47"/>
        <v>76091.298282877018</v>
      </c>
      <c r="AW47" s="134">
        <f t="shared" si="48"/>
        <v>75811.56382608696</v>
      </c>
      <c r="AX47" s="134">
        <f t="shared" si="49"/>
        <v>76415.748983596277</v>
      </c>
      <c r="AY47" s="134">
        <f t="shared" si="30"/>
        <v>-960.60006759254611</v>
      </c>
      <c r="AZ47" s="134">
        <f t="shared" si="31"/>
        <v>38276.531299280738</v>
      </c>
      <c r="BA47" s="134">
        <f t="shared" si="50"/>
        <v>18.20365987628637</v>
      </c>
      <c r="BB47" s="106"/>
    </row>
    <row r="48" spans="1:54">
      <c r="A48" s="1" t="s">
        <v>94</v>
      </c>
      <c r="B48" s="6" t="s">
        <v>94</v>
      </c>
      <c r="C48" s="139">
        <v>7858</v>
      </c>
      <c r="D48" s="129"/>
      <c r="E48" s="124">
        <v>164832</v>
      </c>
      <c r="F48" s="204">
        <v>157206</v>
      </c>
      <c r="G48" s="124">
        <f t="shared" si="19"/>
        <v>-7626</v>
      </c>
      <c r="H48" s="124">
        <f t="shared" si="20"/>
        <v>157206</v>
      </c>
      <c r="I48" s="134"/>
      <c r="J48" s="134">
        <f t="shared" si="21"/>
        <v>20.976329854924916</v>
      </c>
      <c r="K48" s="135">
        <f t="shared" si="22"/>
        <v>20.005853906846525</v>
      </c>
      <c r="L48" s="134"/>
      <c r="M48" s="134">
        <f>Emissionsfaktorer!E$11*E48</f>
        <v>74009.567999999999</v>
      </c>
      <c r="N48" s="135">
        <f>Emissionsfaktorer!E$12*F48</f>
        <v>59423.868000000002</v>
      </c>
      <c r="O48" s="124"/>
      <c r="P48" s="124">
        <v>24583</v>
      </c>
      <c r="Q48" s="204">
        <v>20456</v>
      </c>
      <c r="R48" s="134"/>
      <c r="S48" s="134">
        <f t="shared" si="32"/>
        <v>1057831.0730000001</v>
      </c>
      <c r="T48" s="134">
        <f t="shared" si="33"/>
        <v>880242.13600000006</v>
      </c>
      <c r="U48" s="134">
        <f t="shared" si="23"/>
        <v>-177588.93700000003</v>
      </c>
      <c r="V48" s="134">
        <f t="shared" si="24"/>
        <v>880242.13600000006</v>
      </c>
      <c r="W48" s="134"/>
      <c r="X48" s="134">
        <f t="shared" si="34"/>
        <v>134.61836001527107</v>
      </c>
      <c r="Y48" s="134">
        <f t="shared" si="35"/>
        <v>112.01859709849835</v>
      </c>
      <c r="Z48" s="124">
        <v>9.0999999999999998E-2</v>
      </c>
      <c r="AA48" s="134"/>
      <c r="AB48" s="134">
        <f>Emissionsfaktorer!E$17*S48</f>
        <v>105783.10730000002</v>
      </c>
      <c r="AC48" s="134">
        <f>Emissionsfaktorer!E$18*T48</f>
        <v>81862.518647999997</v>
      </c>
      <c r="AD48" s="173"/>
      <c r="AE48" s="134">
        <f t="shared" si="25"/>
        <v>179792.6753</v>
      </c>
      <c r="AF48" s="134">
        <f t="shared" si="26"/>
        <v>141286.38664799999</v>
      </c>
      <c r="AG48" s="134">
        <f t="shared" si="27"/>
        <v>-38506.288652000017</v>
      </c>
      <c r="AH48" s="135">
        <f t="shared" si="36"/>
        <v>17.979942306948331</v>
      </c>
      <c r="AI48" s="134">
        <f t="shared" si="37"/>
        <v>905794.97456718632</v>
      </c>
      <c r="AJ48" s="134">
        <f t="shared" si="38"/>
        <v>911806.14196334779</v>
      </c>
      <c r="AK48" s="134">
        <f t="shared" si="28"/>
        <v>867785.94995898276</v>
      </c>
      <c r="AL48" s="134">
        <f t="shared" si="29"/>
        <v>919697.14345418464</v>
      </c>
      <c r="AM48" s="134">
        <f t="shared" si="39"/>
        <v>6011.1673961614724</v>
      </c>
      <c r="AN48" s="134">
        <f t="shared" si="40"/>
        <v>115.27042180799012</v>
      </c>
      <c r="AO48" s="134">
        <f t="shared" si="41"/>
        <v>116.03539602485974</v>
      </c>
      <c r="AP48" s="124">
        <f>Emissionsfaktorer!E$16</f>
        <v>8.5999999999999993E-2</v>
      </c>
      <c r="AQ48" s="134">
        <f t="shared" si="42"/>
        <v>77898.367812778015</v>
      </c>
      <c r="AR48" s="134">
        <f t="shared" si="43"/>
        <v>78415.328208847903</v>
      </c>
      <c r="AS48">
        <f t="shared" si="44"/>
        <v>74629.591696472518</v>
      </c>
      <c r="AT48" s="173">
        <f t="shared" si="45"/>
        <v>79093.954337059869</v>
      </c>
      <c r="AU48" s="134">
        <f t="shared" si="46"/>
        <v>151907.93581277801</v>
      </c>
      <c r="AV48" s="134">
        <f t="shared" si="47"/>
        <v>137839.19620884792</v>
      </c>
      <c r="AW48" s="134">
        <f t="shared" si="48"/>
        <v>148639.15969647252</v>
      </c>
      <c r="AX48" s="134">
        <f t="shared" si="49"/>
        <v>138517.82233705989</v>
      </c>
      <c r="AY48" s="134">
        <f t="shared" si="30"/>
        <v>-14068.739603930095</v>
      </c>
      <c r="AZ48" s="134">
        <f t="shared" si="31"/>
        <v>58745.24187178805</v>
      </c>
      <c r="BA48" s="134">
        <f t="shared" si="50"/>
        <v>17.541256834925925</v>
      </c>
      <c r="BB48" s="106"/>
    </row>
    <row r="49" spans="1:54">
      <c r="A49" s="1" t="s">
        <v>95</v>
      </c>
      <c r="B49" s="6" t="s">
        <v>112</v>
      </c>
      <c r="C49" s="139">
        <v>9941</v>
      </c>
      <c r="D49" s="129"/>
      <c r="E49" s="124">
        <v>220943</v>
      </c>
      <c r="F49" s="204">
        <v>220283</v>
      </c>
      <c r="G49" s="124">
        <f t="shared" si="19"/>
        <v>-660</v>
      </c>
      <c r="H49" s="124">
        <f t="shared" si="20"/>
        <v>220283</v>
      </c>
      <c r="I49" s="134"/>
      <c r="J49" s="134">
        <f t="shared" si="21"/>
        <v>22.225430037219596</v>
      </c>
      <c r="K49" s="135">
        <f t="shared" si="22"/>
        <v>22.159038326124133</v>
      </c>
      <c r="L49" s="134"/>
      <c r="M49" s="134">
        <f>Emissionsfaktorer!E$11*E49</f>
        <v>99203.407000000007</v>
      </c>
      <c r="N49" s="135">
        <f>Emissionsfaktorer!E$12*F49</f>
        <v>83266.974000000002</v>
      </c>
      <c r="O49" s="124"/>
      <c r="P49" s="124">
        <v>22957</v>
      </c>
      <c r="Q49" s="204">
        <v>18904</v>
      </c>
      <c r="R49" s="134"/>
      <c r="S49" s="134">
        <f t="shared" si="32"/>
        <v>987862.66700000002</v>
      </c>
      <c r="T49" s="134">
        <f t="shared" si="33"/>
        <v>813458.02399999998</v>
      </c>
      <c r="U49" s="134">
        <f t="shared" si="23"/>
        <v>-174404.64300000004</v>
      </c>
      <c r="V49" s="134">
        <f t="shared" si="24"/>
        <v>813458.02399999998</v>
      </c>
      <c r="W49" s="134"/>
      <c r="X49" s="134">
        <f t="shared" si="34"/>
        <v>99.372564832511827</v>
      </c>
      <c r="Y49" s="134">
        <f t="shared" si="35"/>
        <v>81.828591087415745</v>
      </c>
      <c r="Z49" s="124">
        <v>9.0999999999999998E-2</v>
      </c>
      <c r="AA49" s="134"/>
      <c r="AB49" s="134">
        <f>Emissionsfaktorer!E$17*S49</f>
        <v>98786.266700000007</v>
      </c>
      <c r="AC49" s="134">
        <f>Emissionsfaktorer!E$18*T49</f>
        <v>75651.596231999996</v>
      </c>
      <c r="AD49" s="173"/>
      <c r="AE49" s="134">
        <f t="shared" si="25"/>
        <v>197989.67370000001</v>
      </c>
      <c r="AF49" s="134">
        <f t="shared" si="26"/>
        <v>158918.570232</v>
      </c>
      <c r="AG49" s="134">
        <f t="shared" si="27"/>
        <v>-39071.103468000016</v>
      </c>
      <c r="AH49" s="135">
        <f t="shared" si="36"/>
        <v>15.986175458404587</v>
      </c>
      <c r="AI49" s="134">
        <f t="shared" si="37"/>
        <v>845882.73323593102</v>
      </c>
      <c r="AJ49" s="134">
        <f t="shared" si="38"/>
        <v>842627.26376980462</v>
      </c>
      <c r="AK49" s="134">
        <f t="shared" si="28"/>
        <v>810387.74979491381</v>
      </c>
      <c r="AL49" s="134">
        <f t="shared" si="29"/>
        <v>849919.57371225581</v>
      </c>
      <c r="AM49" s="134">
        <f t="shared" si="39"/>
        <v>-3255.4694661264075</v>
      </c>
      <c r="AN49" s="134">
        <f t="shared" si="40"/>
        <v>85.090306129758673</v>
      </c>
      <c r="AO49" s="134">
        <f t="shared" si="41"/>
        <v>84.762827056614483</v>
      </c>
      <c r="AP49" s="124">
        <f>Emissionsfaktorer!E$16</f>
        <v>8.5999999999999993E-2</v>
      </c>
      <c r="AQ49" s="134">
        <f t="shared" si="42"/>
        <v>72745.915058290062</v>
      </c>
      <c r="AR49" s="134">
        <f t="shared" si="43"/>
        <v>72465.94468420319</v>
      </c>
      <c r="AS49">
        <f t="shared" si="44"/>
        <v>69693.346482362584</v>
      </c>
      <c r="AT49" s="173">
        <f t="shared" si="45"/>
        <v>73093.083339253993</v>
      </c>
      <c r="AU49" s="134">
        <f t="shared" si="46"/>
        <v>171949.32205829007</v>
      </c>
      <c r="AV49" s="134">
        <f t="shared" si="47"/>
        <v>155732.91868420318</v>
      </c>
      <c r="AW49" s="134">
        <f t="shared" si="48"/>
        <v>168896.7534823626</v>
      </c>
      <c r="AX49" s="134">
        <f t="shared" si="49"/>
        <v>156360.05733925401</v>
      </c>
      <c r="AY49" s="134">
        <f t="shared" si="30"/>
        <v>-16216.403374086891</v>
      </c>
      <c r="AZ49" s="134">
        <f t="shared" si="31"/>
        <v>82639.835344949184</v>
      </c>
      <c r="BA49" s="134">
        <f t="shared" si="50"/>
        <v>15.665719614143766</v>
      </c>
      <c r="BB49" s="106"/>
    </row>
    <row r="50" spans="1:54">
      <c r="A50" s="1" t="s">
        <v>96</v>
      </c>
      <c r="B50" s="6" t="s">
        <v>96</v>
      </c>
      <c r="C50" s="139">
        <v>7581</v>
      </c>
      <c r="D50" s="129"/>
      <c r="E50" s="124">
        <v>226884</v>
      </c>
      <c r="F50" s="204">
        <v>247403</v>
      </c>
      <c r="G50" s="124">
        <f t="shared" si="19"/>
        <v>20519</v>
      </c>
      <c r="H50" s="124">
        <f t="shared" si="20"/>
        <v>247403</v>
      </c>
      <c r="I50" s="134"/>
      <c r="J50" s="134">
        <f t="shared" si="21"/>
        <v>29.927977839335181</v>
      </c>
      <c r="K50" s="135">
        <f t="shared" si="22"/>
        <v>32.634612847909246</v>
      </c>
      <c r="L50" s="134"/>
      <c r="M50" s="134">
        <f>Emissionsfaktorer!E$11*E50</f>
        <v>101870.916</v>
      </c>
      <c r="N50" s="135">
        <f>Emissionsfaktorer!E$12*F50</f>
        <v>93518.334000000003</v>
      </c>
      <c r="O50" s="124"/>
      <c r="P50" s="124">
        <v>30674</v>
      </c>
      <c r="Q50" s="204">
        <v>26267</v>
      </c>
      <c r="R50" s="134"/>
      <c r="S50" s="134">
        <f t="shared" si="32"/>
        <v>1319932.8940000001</v>
      </c>
      <c r="T50" s="134">
        <f t="shared" si="33"/>
        <v>1130295.277</v>
      </c>
      <c r="U50" s="134">
        <f t="shared" si="23"/>
        <v>-189637.61700000009</v>
      </c>
      <c r="V50" s="134">
        <f t="shared" si="24"/>
        <v>1130295.277</v>
      </c>
      <c r="W50" s="134"/>
      <c r="X50" s="134">
        <f t="shared" si="34"/>
        <v>174.11065743305633</v>
      </c>
      <c r="Y50" s="134">
        <f t="shared" si="35"/>
        <v>149.09580226882997</v>
      </c>
      <c r="Z50" s="124">
        <v>9.0999999999999998E-2</v>
      </c>
      <c r="AA50" s="134"/>
      <c r="AB50" s="134">
        <f>Emissionsfaktorer!E$17*S50</f>
        <v>131993.28940000001</v>
      </c>
      <c r="AC50" s="134">
        <f>Emissionsfaktorer!E$18*T50</f>
        <v>105117.46076099999</v>
      </c>
      <c r="AD50" s="173"/>
      <c r="AE50" s="134">
        <f t="shared" si="25"/>
        <v>233864.20540000001</v>
      </c>
      <c r="AF50" s="134">
        <f t="shared" si="26"/>
        <v>198635.794761</v>
      </c>
      <c r="AG50" s="134">
        <f t="shared" si="27"/>
        <v>-35228.410639000009</v>
      </c>
      <c r="AH50" s="135">
        <f t="shared" si="36"/>
        <v>26.201793267510883</v>
      </c>
      <c r="AI50" s="134">
        <f t="shared" si="37"/>
        <v>1130226.3779796555</v>
      </c>
      <c r="AJ50" s="134">
        <f t="shared" si="38"/>
        <v>1170825.7690140426</v>
      </c>
      <c r="AK50" s="134">
        <f t="shared" si="28"/>
        <v>1082799.7489745694</v>
      </c>
      <c r="AL50" s="134">
        <f t="shared" si="29"/>
        <v>1180958.3920175531</v>
      </c>
      <c r="AM50" s="134">
        <f t="shared" si="39"/>
        <v>40599.391034387052</v>
      </c>
      <c r="AN50" s="134">
        <f t="shared" si="40"/>
        <v>149.08671388730451</v>
      </c>
      <c r="AO50" s="134">
        <f t="shared" si="41"/>
        <v>154.44212755758377</v>
      </c>
      <c r="AP50" s="124">
        <f>Emissionsfaktorer!E$16</f>
        <v>8.5999999999999993E-2</v>
      </c>
      <c r="AQ50" s="134">
        <f t="shared" si="42"/>
        <v>97199.46850625037</v>
      </c>
      <c r="AR50" s="134">
        <f t="shared" si="43"/>
        <v>100691.01613520765</v>
      </c>
      <c r="AS50">
        <f t="shared" si="44"/>
        <v>93120.778411812964</v>
      </c>
      <c r="AT50" s="173">
        <f t="shared" si="45"/>
        <v>101562.42171350955</v>
      </c>
      <c r="AU50" s="134">
        <f t="shared" si="46"/>
        <v>199070.38450625038</v>
      </c>
      <c r="AV50" s="134">
        <f t="shared" si="47"/>
        <v>194209.35013520764</v>
      </c>
      <c r="AW50" s="134">
        <f t="shared" si="48"/>
        <v>194991.69441181296</v>
      </c>
      <c r="AX50" s="134">
        <f t="shared" si="49"/>
        <v>195080.75571350957</v>
      </c>
      <c r="AY50" s="134">
        <f t="shared" si="30"/>
        <v>-4861.0343710427405</v>
      </c>
      <c r="AZ50" s="134">
        <f t="shared" si="31"/>
        <v>92646.928421698089</v>
      </c>
      <c r="BA50" s="134">
        <f t="shared" si="50"/>
        <v>25.617906626461899</v>
      </c>
      <c r="BB50" s="106"/>
    </row>
    <row r="51" spans="1:54">
      <c r="A51" s="2" t="s">
        <v>97</v>
      </c>
      <c r="B51" s="6" t="s">
        <v>97</v>
      </c>
      <c r="C51" s="139">
        <v>7000</v>
      </c>
      <c r="D51" s="129"/>
      <c r="E51" s="124">
        <v>161380</v>
      </c>
      <c r="F51" s="204">
        <v>147353</v>
      </c>
      <c r="G51" s="124">
        <f t="shared" si="19"/>
        <v>-14027</v>
      </c>
      <c r="H51" s="124">
        <f t="shared" si="20"/>
        <v>147353</v>
      </c>
      <c r="I51" s="134"/>
      <c r="J51" s="134">
        <f t="shared" si="21"/>
        <v>23.054285714285715</v>
      </c>
      <c r="K51" s="135">
        <f t="shared" si="22"/>
        <v>21.050428571428572</v>
      </c>
      <c r="L51" s="134"/>
      <c r="M51" s="134">
        <f>Emissionsfaktorer!E$11*E51</f>
        <v>72459.62</v>
      </c>
      <c r="N51" s="135">
        <f>Emissionsfaktorer!E$12*F51</f>
        <v>55699.434000000001</v>
      </c>
      <c r="O51" s="124"/>
      <c r="P51" s="124">
        <v>25431</v>
      </c>
      <c r="Q51" s="179">
        <v>16425</v>
      </c>
      <c r="R51" s="134"/>
      <c r="S51" s="134">
        <f t="shared" si="32"/>
        <v>1094321.361</v>
      </c>
      <c r="T51" s="134">
        <f t="shared" si="33"/>
        <v>706784.17500000005</v>
      </c>
      <c r="U51" s="134">
        <f t="shared" si="23"/>
        <v>-387537.18599999999</v>
      </c>
      <c r="V51" s="134">
        <f t="shared" si="24"/>
        <v>706784.17500000005</v>
      </c>
      <c r="W51" s="134"/>
      <c r="X51" s="134">
        <f t="shared" si="34"/>
        <v>156.33162300000001</v>
      </c>
      <c r="Y51" s="134">
        <f t="shared" si="35"/>
        <v>100.96916785714286</v>
      </c>
      <c r="Z51" s="124">
        <v>9.0999999999999998E-2</v>
      </c>
      <c r="AA51" s="134"/>
      <c r="AB51" s="134">
        <f>Emissionsfaktorer!E$14*S51</f>
        <v>286712.196582</v>
      </c>
      <c r="AC51" s="134">
        <f>Emissionsfaktorer!E$15*T51</f>
        <v>169628.20200000002</v>
      </c>
      <c r="AD51" s="173"/>
      <c r="AE51" s="134">
        <f t="shared" si="25"/>
        <v>359171.816582</v>
      </c>
      <c r="AF51" s="134">
        <f t="shared" si="26"/>
        <v>225327.63600000003</v>
      </c>
      <c r="AG51" s="134">
        <f t="shared" si="27"/>
        <v>-133844.18058199997</v>
      </c>
      <c r="AH51" s="135">
        <f t="shared" si="36"/>
        <v>32.189662285714292</v>
      </c>
      <c r="AI51" s="134">
        <f t="shared" si="37"/>
        <v>937040.71912370797</v>
      </c>
      <c r="AJ51" s="134">
        <f t="shared" si="38"/>
        <v>732128.26954184519</v>
      </c>
      <c r="AK51" s="134">
        <f t="shared" si="28"/>
        <v>897720.55865463486</v>
      </c>
      <c r="AL51" s="134">
        <f t="shared" si="29"/>
        <v>738464.29317730654</v>
      </c>
      <c r="AM51" s="134">
        <f t="shared" si="39"/>
        <v>-204912.44958186278</v>
      </c>
      <c r="AN51" s="134">
        <f t="shared" si="40"/>
        <v>133.86295987481543</v>
      </c>
      <c r="AO51" s="134">
        <f t="shared" si="41"/>
        <v>104.58975279169216</v>
      </c>
      <c r="AP51" s="124">
        <f>Emissionsfaktorer!E$13</f>
        <v>0.34699999999999998</v>
      </c>
      <c r="AQ51" s="134">
        <f t="shared" si="42"/>
        <v>325153.12953592662</v>
      </c>
      <c r="AR51" s="134">
        <f t="shared" si="43"/>
        <v>254048.50953102027</v>
      </c>
      <c r="AS51">
        <f t="shared" si="44"/>
        <v>311509.0338531583</v>
      </c>
      <c r="AT51" s="173">
        <f t="shared" si="45"/>
        <v>256247.10973252534</v>
      </c>
      <c r="AU51" s="134">
        <f t="shared" si="46"/>
        <v>397612.74953592662</v>
      </c>
      <c r="AV51" s="134">
        <f t="shared" si="47"/>
        <v>309747.94353102025</v>
      </c>
      <c r="AW51" s="134">
        <f t="shared" si="48"/>
        <v>383968.65385315829</v>
      </c>
      <c r="AX51" s="134">
        <f t="shared" si="49"/>
        <v>311946.54373252532</v>
      </c>
      <c r="AY51" s="134">
        <f t="shared" si="30"/>
        <v>-87864.806004906364</v>
      </c>
      <c r="AZ51" s="134">
        <f t="shared" si="31"/>
        <v>53500.833798494918</v>
      </c>
      <c r="BA51" s="134">
        <f t="shared" si="50"/>
        <v>44.249706218717179</v>
      </c>
      <c r="BB51" s="106"/>
    </row>
    <row r="52" spans="1:54">
      <c r="A52" s="2" t="s">
        <v>98</v>
      </c>
      <c r="B52" s="6" t="s">
        <v>98</v>
      </c>
      <c r="C52" s="139">
        <v>11398</v>
      </c>
      <c r="D52" s="129"/>
      <c r="E52" s="124">
        <v>299696</v>
      </c>
      <c r="F52" s="204">
        <v>291842</v>
      </c>
      <c r="G52" s="124">
        <f t="shared" si="19"/>
        <v>-7854</v>
      </c>
      <c r="H52" s="124">
        <f t="shared" si="20"/>
        <v>291842</v>
      </c>
      <c r="I52" s="134"/>
      <c r="J52" s="134">
        <f t="shared" si="21"/>
        <v>26.293735743112826</v>
      </c>
      <c r="K52" s="135">
        <f t="shared" si="22"/>
        <v>25.604667485523777</v>
      </c>
      <c r="L52" s="134"/>
      <c r="M52" s="134">
        <f>Emissionsfaktorer!E$11*E52</f>
        <v>134563.50400000002</v>
      </c>
      <c r="N52" s="135">
        <f>Emissionsfaktorer!E$12*F52</f>
        <v>110316.276</v>
      </c>
      <c r="O52" s="124"/>
      <c r="P52" s="124">
        <v>24494</v>
      </c>
      <c r="Q52" s="204">
        <v>19846</v>
      </c>
      <c r="R52" s="134"/>
      <c r="S52" s="134">
        <f t="shared" si="32"/>
        <v>1054001.314</v>
      </c>
      <c r="T52" s="134">
        <f t="shared" si="33"/>
        <v>853993.22600000002</v>
      </c>
      <c r="U52" s="134">
        <f t="shared" si="23"/>
        <v>-200008.08799999999</v>
      </c>
      <c r="V52" s="134">
        <f t="shared" si="24"/>
        <v>853993.22600000002</v>
      </c>
      <c r="W52" s="134"/>
      <c r="X52" s="134">
        <f t="shared" si="34"/>
        <v>92.472478855939642</v>
      </c>
      <c r="Y52" s="134">
        <f t="shared" si="35"/>
        <v>74.924831198455877</v>
      </c>
      <c r="Z52" s="124">
        <v>9.0999999999999998E-2</v>
      </c>
      <c r="AA52" s="134"/>
      <c r="AB52" s="134">
        <f>Emissionsfaktorer!E$17*S52</f>
        <v>105400.13140000001</v>
      </c>
      <c r="AC52" s="134">
        <f>Emissionsfaktorer!E$18*T52</f>
        <v>79421.370018000001</v>
      </c>
      <c r="AD52" s="173"/>
      <c r="AE52" s="134">
        <f t="shared" si="25"/>
        <v>239963.63540000003</v>
      </c>
      <c r="AF52" s="134">
        <f t="shared" si="26"/>
        <v>189737.646018</v>
      </c>
      <c r="AG52" s="134">
        <f t="shared" si="27"/>
        <v>-50225.989382000029</v>
      </c>
      <c r="AH52" s="135">
        <f t="shared" si="36"/>
        <v>16.646573610984383</v>
      </c>
      <c r="AI52" s="134">
        <f t="shared" si="37"/>
        <v>902515.64524462679</v>
      </c>
      <c r="AJ52" s="134">
        <f t="shared" si="38"/>
        <v>884615.9900960403</v>
      </c>
      <c r="AK52" s="134">
        <f t="shared" si="28"/>
        <v>864644.22805578343</v>
      </c>
      <c r="AL52" s="134">
        <f t="shared" si="29"/>
        <v>892271.68112005026</v>
      </c>
      <c r="AM52" s="134">
        <f t="shared" si="39"/>
        <v>-17899.655148586491</v>
      </c>
      <c r="AN52" s="134">
        <f t="shared" si="40"/>
        <v>79.181930623322231</v>
      </c>
      <c r="AO52" s="134">
        <f t="shared" si="41"/>
        <v>77.611509922446075</v>
      </c>
      <c r="AP52" s="124">
        <f>Emissionsfaktorer!E$16</f>
        <v>8.5999999999999993E-2</v>
      </c>
      <c r="AQ52" s="134">
        <f t="shared" si="42"/>
        <v>77616.345491037893</v>
      </c>
      <c r="AR52" s="134">
        <f t="shared" si="43"/>
        <v>76076.975148259458</v>
      </c>
      <c r="AS52">
        <f t="shared" si="44"/>
        <v>74359.403612797367</v>
      </c>
      <c r="AT52" s="173">
        <f t="shared" si="45"/>
        <v>76735.364576324311</v>
      </c>
      <c r="AU52" s="134">
        <f t="shared" si="46"/>
        <v>212179.84949103789</v>
      </c>
      <c r="AV52" s="134">
        <f t="shared" si="47"/>
        <v>186393.25114825944</v>
      </c>
      <c r="AW52" s="134">
        <f t="shared" si="48"/>
        <v>208922.9076127974</v>
      </c>
      <c r="AX52" s="134">
        <f t="shared" si="49"/>
        <v>187051.64057632431</v>
      </c>
      <c r="AY52" s="134">
        <f t="shared" si="30"/>
        <v>-25786.598342778452</v>
      </c>
      <c r="AZ52" s="134">
        <f t="shared" si="31"/>
        <v>109657.88657193513</v>
      </c>
      <c r="BA52" s="134">
        <f t="shared" si="50"/>
        <v>16.353154162858349</v>
      </c>
      <c r="BB52" s="106"/>
    </row>
    <row r="53" spans="1:54">
      <c r="A53" s="12" t="s">
        <v>100</v>
      </c>
      <c r="B53" s="6" t="s">
        <v>113</v>
      </c>
      <c r="C53" s="177">
        <v>10330</v>
      </c>
      <c r="D53" s="129"/>
      <c r="E53" s="124">
        <v>177332</v>
      </c>
      <c r="F53" s="204">
        <v>166123</v>
      </c>
      <c r="G53" s="124">
        <f t="shared" si="19"/>
        <v>-11209</v>
      </c>
      <c r="H53" s="124">
        <f t="shared" si="20"/>
        <v>166123</v>
      </c>
      <c r="I53" s="134"/>
      <c r="J53" s="134">
        <f t="shared" si="21"/>
        <v>17.166698935140367</v>
      </c>
      <c r="K53" s="135">
        <f t="shared" si="22"/>
        <v>16.081606969990318</v>
      </c>
      <c r="L53" s="134"/>
      <c r="M53" s="134">
        <f>Emissionsfaktorer!E$11*E53</f>
        <v>79622.067999999999</v>
      </c>
      <c r="N53" s="135">
        <f>Emissionsfaktorer!E$12*F53</f>
        <v>62794.493999999999</v>
      </c>
      <c r="O53" s="124"/>
      <c r="P53" s="124">
        <v>27089</v>
      </c>
      <c r="Q53" s="204">
        <v>22853</v>
      </c>
      <c r="R53" s="134"/>
      <c r="S53" s="134">
        <f t="shared" si="32"/>
        <v>1165666.7590000001</v>
      </c>
      <c r="T53" s="134">
        <f t="shared" si="33"/>
        <v>983387.44300000009</v>
      </c>
      <c r="U53" s="134">
        <f t="shared" si="23"/>
        <v>-182279.31599999999</v>
      </c>
      <c r="V53" s="134">
        <f t="shared" si="24"/>
        <v>983387.44300000009</v>
      </c>
      <c r="W53" s="134"/>
      <c r="X53" s="134">
        <f t="shared" si="34"/>
        <v>112.8428614714424</v>
      </c>
      <c r="Y53" s="134">
        <f t="shared" si="35"/>
        <v>95.197235527589555</v>
      </c>
      <c r="Z53" s="124">
        <v>9.0999999999999998E-2</v>
      </c>
      <c r="AA53" s="134"/>
      <c r="AB53" s="134">
        <f>Emissionsfaktorer!E$17*S53</f>
        <v>116566.67590000002</v>
      </c>
      <c r="AC53" s="134">
        <f>Emissionsfaktorer!E$18*T53</f>
        <v>91455.032199000008</v>
      </c>
      <c r="AD53" s="173"/>
      <c r="AE53" s="134">
        <f t="shared" si="25"/>
        <v>196188.7439</v>
      </c>
      <c r="AF53" s="134">
        <f t="shared" si="26"/>
        <v>154249.52619900001</v>
      </c>
      <c r="AG53" s="134">
        <f t="shared" si="27"/>
        <v>-41939.217700999987</v>
      </c>
      <c r="AH53" s="135">
        <f t="shared" si="36"/>
        <v>14.932190338722171</v>
      </c>
      <c r="AI53" s="134">
        <f t="shared" si="37"/>
        <v>998132.04515520926</v>
      </c>
      <c r="AJ53" s="134">
        <f t="shared" si="38"/>
        <v>1018650.0665960299</v>
      </c>
      <c r="AK53" s="134">
        <f t="shared" si="28"/>
        <v>956248.36669401149</v>
      </c>
      <c r="AL53" s="134">
        <f t="shared" si="29"/>
        <v>1027465.7224950372</v>
      </c>
      <c r="AM53" s="134">
        <f t="shared" si="39"/>
        <v>20518.021440820652</v>
      </c>
      <c r="AN53" s="134">
        <f t="shared" si="40"/>
        <v>96.624592948229363</v>
      </c>
      <c r="AO53" s="134">
        <f t="shared" si="41"/>
        <v>98.610848654020316</v>
      </c>
      <c r="AP53" s="124">
        <f>Emissionsfaktorer!E$16</f>
        <v>8.5999999999999993E-2</v>
      </c>
      <c r="AQ53" s="134">
        <f t="shared" si="42"/>
        <v>85839.355883347991</v>
      </c>
      <c r="AR53" s="134">
        <f t="shared" si="43"/>
        <v>87603.905727258563</v>
      </c>
      <c r="AS53">
        <f t="shared" si="44"/>
        <v>82237.359535684984</v>
      </c>
      <c r="AT53" s="173">
        <f t="shared" si="45"/>
        <v>88362.052134573198</v>
      </c>
      <c r="AU53" s="134">
        <f t="shared" si="46"/>
        <v>165461.423883348</v>
      </c>
      <c r="AV53" s="134">
        <f t="shared" si="47"/>
        <v>150398.39972725857</v>
      </c>
      <c r="AW53" s="134">
        <f t="shared" si="48"/>
        <v>161859.42753568498</v>
      </c>
      <c r="AX53" s="134">
        <f t="shared" si="49"/>
        <v>151156.5461345732</v>
      </c>
      <c r="AY53" s="134">
        <f t="shared" si="30"/>
        <v>-15063.024156089436</v>
      </c>
      <c r="AZ53" s="134">
        <f t="shared" si="31"/>
        <v>62036.347592685372</v>
      </c>
      <c r="BA53" s="134">
        <f t="shared" si="50"/>
        <v>14.559380418902087</v>
      </c>
      <c r="BB53" s="106"/>
    </row>
    <row r="54" spans="1:54">
      <c r="A54" s="1" t="s">
        <v>99</v>
      </c>
      <c r="B54" s="6" t="s">
        <v>99</v>
      </c>
      <c r="C54" s="139">
        <v>10741</v>
      </c>
      <c r="D54" s="129"/>
      <c r="E54" s="124">
        <v>366233</v>
      </c>
      <c r="F54" s="204">
        <v>365630</v>
      </c>
      <c r="G54" s="124">
        <f t="shared" si="19"/>
        <v>-603</v>
      </c>
      <c r="H54" s="124">
        <f t="shared" si="20"/>
        <v>365630</v>
      </c>
      <c r="I54" s="134"/>
      <c r="J54" s="134">
        <f t="shared" si="21"/>
        <v>34.096732147844705</v>
      </c>
      <c r="K54" s="135">
        <f t="shared" si="22"/>
        <v>34.040592123638397</v>
      </c>
      <c r="L54" s="134"/>
      <c r="M54" s="134">
        <f>Emissionsfaktorer!E$11*E54</f>
        <v>164438.617</v>
      </c>
      <c r="N54" s="135">
        <f>Emissionsfaktorer!E$12*F54</f>
        <v>138208.14000000001</v>
      </c>
      <c r="O54" s="124"/>
      <c r="P54" s="124">
        <v>24886</v>
      </c>
      <c r="Q54" s="204">
        <v>22042</v>
      </c>
      <c r="R54" s="134"/>
      <c r="S54" s="134">
        <f t="shared" si="32"/>
        <v>1070869.466</v>
      </c>
      <c r="T54" s="134">
        <f t="shared" si="33"/>
        <v>948489.30200000003</v>
      </c>
      <c r="U54" s="134">
        <f t="shared" si="23"/>
        <v>-122380.16399999999</v>
      </c>
      <c r="V54" s="134">
        <f t="shared" si="24"/>
        <v>948489.30200000003</v>
      </c>
      <c r="W54" s="134"/>
      <c r="X54" s="134">
        <f t="shared" si="34"/>
        <v>99.699233404710924</v>
      </c>
      <c r="Y54" s="134">
        <f t="shared" si="35"/>
        <v>88.305493157061733</v>
      </c>
      <c r="Z54" s="124">
        <v>9.0999999999999998E-2</v>
      </c>
      <c r="AA54" s="134"/>
      <c r="AB54" s="134">
        <f>Emissionsfaktorer!E$17*S54</f>
        <v>107086.94660000001</v>
      </c>
      <c r="AC54" s="134">
        <f>Emissionsfaktorer!E$18*T54</f>
        <v>88209.505086000005</v>
      </c>
      <c r="AD54" s="173"/>
      <c r="AE54" s="134">
        <f t="shared" si="25"/>
        <v>271525.56359999999</v>
      </c>
      <c r="AF54" s="134">
        <f t="shared" si="26"/>
        <v>226417.64508600003</v>
      </c>
      <c r="AG54" s="134">
        <f t="shared" si="27"/>
        <v>-45107.918513999961</v>
      </c>
      <c r="AH54" s="135">
        <f t="shared" si="36"/>
        <v>21.079754686342056</v>
      </c>
      <c r="AI54" s="134">
        <f t="shared" si="37"/>
        <v>916959.43282264157</v>
      </c>
      <c r="AJ54" s="134">
        <f t="shared" si="38"/>
        <v>982500.53681834717</v>
      </c>
      <c r="AK54" s="134">
        <f t="shared" si="28"/>
        <v>878481.92452830181</v>
      </c>
      <c r="AL54" s="134">
        <f t="shared" si="29"/>
        <v>991003.34552293399</v>
      </c>
      <c r="AM54" s="134">
        <f t="shared" si="39"/>
        <v>65541.103995705605</v>
      </c>
      <c r="AN54" s="134">
        <f t="shared" si="40"/>
        <v>85.370024469103583</v>
      </c>
      <c r="AO54" s="134">
        <f t="shared" si="41"/>
        <v>91.471979966329684</v>
      </c>
      <c r="AP54" s="124">
        <f>Emissionsfaktorer!E$16</f>
        <v>8.5999999999999993E-2</v>
      </c>
      <c r="AQ54" s="134">
        <f t="shared" si="42"/>
        <v>78858.511222747169</v>
      </c>
      <c r="AR54" s="134">
        <f t="shared" si="43"/>
        <v>84495.046166377855</v>
      </c>
      <c r="AS54">
        <f t="shared" si="44"/>
        <v>75549.44550943395</v>
      </c>
      <c r="AT54" s="173">
        <f t="shared" si="45"/>
        <v>85226.287714972321</v>
      </c>
      <c r="AU54" s="134">
        <f t="shared" si="46"/>
        <v>243297.12822274718</v>
      </c>
      <c r="AV54" s="134">
        <f t="shared" si="47"/>
        <v>222703.18616637785</v>
      </c>
      <c r="AW54" s="134">
        <f t="shared" si="48"/>
        <v>239988.06250943395</v>
      </c>
      <c r="AX54" s="134">
        <f t="shared" si="49"/>
        <v>223434.42771497235</v>
      </c>
      <c r="AY54" s="134">
        <f t="shared" si="30"/>
        <v>-20593.942056369327</v>
      </c>
      <c r="AZ54" s="134">
        <f t="shared" si="31"/>
        <v>137476.89845140552</v>
      </c>
      <c r="BA54" s="134">
        <f t="shared" si="50"/>
        <v>20.733934099839665</v>
      </c>
      <c r="BB54" s="106"/>
    </row>
    <row r="55" spans="1:54" s="62" customFormat="1">
      <c r="A55" s="61" t="s">
        <v>280</v>
      </c>
      <c r="B55" s="25"/>
      <c r="C55" s="178">
        <f>SUM(C2:C54)</f>
        <v>403590</v>
      </c>
      <c r="D55" s="130"/>
      <c r="E55" s="131">
        <f>SUM(E2:E54)</f>
        <v>10733994</v>
      </c>
      <c r="F55" s="131">
        <f>SUM(F2:F54)</f>
        <v>10527405</v>
      </c>
      <c r="G55" s="131">
        <f>SUM(G2:G54)</f>
        <v>-206589</v>
      </c>
      <c r="H55" s="131">
        <f>SUM(H2:H54)</f>
        <v>10527405</v>
      </c>
      <c r="I55" s="192"/>
      <c r="J55" s="192">
        <f>E55/C55</f>
        <v>26.596283356872075</v>
      </c>
      <c r="K55" s="166">
        <f>F55/C55</f>
        <v>26.084404965435219</v>
      </c>
      <c r="L55" s="132"/>
      <c r="M55" s="132">
        <f>SUM(M2:M54)</f>
        <v>4819563.3060000008</v>
      </c>
      <c r="N55" s="133">
        <f>SUM(N2:N54)</f>
        <v>3979359.0899999994</v>
      </c>
      <c r="O55" s="131"/>
      <c r="P55" s="131">
        <f>SUM(P2:P54)</f>
        <v>1205713</v>
      </c>
      <c r="Q55" s="131">
        <f>SUM(Q2:Q54)</f>
        <v>988363</v>
      </c>
      <c r="R55" s="132"/>
      <c r="S55" s="132">
        <f>SUM(S2:S54)</f>
        <v>51883036.103000008</v>
      </c>
      <c r="T55" s="132">
        <f>SUM(T2:T54)</f>
        <v>42530248.253000014</v>
      </c>
      <c r="U55" s="132">
        <f>SUM(U2:U54)</f>
        <v>-9352787.8500000015</v>
      </c>
      <c r="V55" s="132">
        <f>SUM(V2:V54)</f>
        <v>42530248.253000014</v>
      </c>
      <c r="W55" s="192"/>
      <c r="X55" s="192">
        <f t="shared" si="34"/>
        <v>128.55381972546397</v>
      </c>
      <c r="Y55" s="192">
        <f t="shared" si="35"/>
        <v>105.37983659902379</v>
      </c>
      <c r="Z55" s="131"/>
      <c r="AA55" s="132"/>
      <c r="AB55" s="132">
        <f>SUM(AB2:AB54)</f>
        <v>6870039.258936001</v>
      </c>
      <c r="AC55" s="132">
        <f>SUM(AC2:AC54)</f>
        <v>5186534.6489210017</v>
      </c>
      <c r="AD55" s="288"/>
      <c r="AE55" s="376">
        <f>SUM(AE2:AE54)</f>
        <v>11689602.564935999</v>
      </c>
      <c r="AF55" s="376">
        <f>SUM(AF2:AF54)</f>
        <v>9165893.7389210016</v>
      </c>
      <c r="AG55" s="132">
        <f>SUM(AG2:AG54)</f>
        <v>-2523708.8260149998</v>
      </c>
      <c r="AH55" s="166">
        <f t="shared" si="36"/>
        <v>22.710903984045693</v>
      </c>
      <c r="AI55" s="132">
        <f>SUM(AI2:AI54)</f>
        <v>44426179.724619716</v>
      </c>
      <c r="AJ55" s="132">
        <f>SUM(AJ2:AJ54)</f>
        <v>44055311.590209253</v>
      </c>
      <c r="AK55" s="132">
        <f>SUM(AK2:AK54)</f>
        <v>42561965.630024604</v>
      </c>
      <c r="AL55" s="132">
        <f>SUM(AL2:AL54)</f>
        <v>44436577.424511537</v>
      </c>
      <c r="AM55" s="131">
        <f>SUM(AM2:AM54)</f>
        <v>-370868.13441044564</v>
      </c>
      <c r="AN55" s="192">
        <f>AI55/C55</f>
        <v>110.07750371570087</v>
      </c>
      <c r="AO55" s="192">
        <f>AJ55/C55</f>
        <v>109.15858071361841</v>
      </c>
      <c r="AP55" s="375">
        <f>AP67</f>
        <v>0.1318869932370709</v>
      </c>
      <c r="AQ55" s="132">
        <f t="shared" ref="AQ55:AZ55" si="51">SUM(AQ2:AQ54)</f>
        <v>5995450.4885407491</v>
      </c>
      <c r="AR55" s="132">
        <f t="shared" si="51"/>
        <v>5837630.262083306</v>
      </c>
      <c r="AS55" s="132">
        <f t="shared" si="51"/>
        <v>5743869.0252354387</v>
      </c>
      <c r="AT55" s="132">
        <f t="shared" si="51"/>
        <v>5888150.5941813821</v>
      </c>
      <c r="AU55" s="132">
        <f t="shared" si="51"/>
        <v>10815013.794540754</v>
      </c>
      <c r="AV55" s="132">
        <f t="shared" si="51"/>
        <v>9816989.3520833049</v>
      </c>
      <c r="AW55" s="132">
        <f t="shared" si="51"/>
        <v>10563432.331235437</v>
      </c>
      <c r="AX55" s="132">
        <f t="shared" si="51"/>
        <v>9867509.6841813792</v>
      </c>
      <c r="AY55" s="132">
        <f t="shared" si="51"/>
        <v>-998024.4424574452</v>
      </c>
      <c r="AZ55" s="132">
        <f t="shared" si="51"/>
        <v>3928838.7579019242</v>
      </c>
      <c r="BA55" s="166">
        <f>AV55/C55</f>
        <v>24.324164008234359</v>
      </c>
      <c r="BB55" s="107"/>
    </row>
    <row r="56" spans="1:54" s="62" customFormat="1">
      <c r="A56" s="364"/>
      <c r="B56" s="365"/>
      <c r="C56" s="366"/>
      <c r="D56" s="367"/>
      <c r="E56" s="368"/>
      <c r="F56" s="368"/>
      <c r="G56" s="183"/>
      <c r="H56" s="183"/>
      <c r="I56" s="134"/>
      <c r="J56" s="134"/>
      <c r="K56" s="135"/>
      <c r="L56" s="369"/>
      <c r="M56" s="189">
        <f>E55*Emissionsfaktorer!E$10</f>
        <v>4948371.2340000002</v>
      </c>
      <c r="N56" s="167">
        <f>F55*Emissionsfaktorer!E$10</f>
        <v>4853133.7050000001</v>
      </c>
      <c r="O56" s="183"/>
      <c r="P56" s="183"/>
      <c r="Q56" s="183"/>
      <c r="R56" s="369"/>
      <c r="S56" s="369"/>
      <c r="T56" s="369"/>
      <c r="U56" s="155"/>
      <c r="V56" s="155"/>
      <c r="W56" s="134"/>
      <c r="X56" s="134"/>
      <c r="Y56" s="134"/>
      <c r="Z56" s="368"/>
      <c r="AA56" s="369"/>
      <c r="AB56" s="369"/>
      <c r="AC56" s="369"/>
      <c r="AD56" s="370"/>
      <c r="AE56" s="369"/>
      <c r="AF56" s="369"/>
      <c r="AG56" s="369"/>
      <c r="AH56" s="135"/>
      <c r="AI56" s="369"/>
      <c r="AJ56" s="369"/>
      <c r="AK56" s="369"/>
      <c r="AL56" s="369"/>
      <c r="AM56" s="368"/>
      <c r="AN56" s="134"/>
      <c r="AO56" s="134"/>
      <c r="AP56" s="368"/>
      <c r="AQ56" s="292"/>
      <c r="AR56" s="292"/>
      <c r="AS56" s="292"/>
      <c r="AT56" s="292"/>
      <c r="AU56" s="354">
        <f>M56+AQ55</f>
        <v>10943821.722540749</v>
      </c>
      <c r="AV56" s="354">
        <f>N56+AR55</f>
        <v>10690763.967083305</v>
      </c>
      <c r="AW56" s="347">
        <f>M56+AS55</f>
        <v>10692240.259235438</v>
      </c>
      <c r="AX56" s="347">
        <f>N56+AT55</f>
        <v>10741284.299181383</v>
      </c>
      <c r="AY56" s="369"/>
      <c r="AZ56" s="369"/>
      <c r="BA56" s="134"/>
      <c r="BB56" s="371"/>
    </row>
    <row r="57" spans="1:54" ht="44.25" customHeight="1">
      <c r="A57" s="21" t="s">
        <v>236</v>
      </c>
      <c r="B57" s="90" t="s">
        <v>237</v>
      </c>
      <c r="C57" s="59" t="s">
        <v>265</v>
      </c>
      <c r="D57" s="54"/>
      <c r="E57" s="55" t="s">
        <v>266</v>
      </c>
      <c r="F57" s="55" t="s">
        <v>267</v>
      </c>
      <c r="G57" s="53" t="s">
        <v>390</v>
      </c>
      <c r="H57" s="53" t="s">
        <v>391</v>
      </c>
      <c r="I57" s="55"/>
      <c r="J57" s="55" t="s">
        <v>268</v>
      </c>
      <c r="K57" s="58" t="s">
        <v>269</v>
      </c>
      <c r="L57" s="55"/>
      <c r="M57" s="55" t="s">
        <v>270</v>
      </c>
      <c r="N57" s="58" t="s">
        <v>271</v>
      </c>
      <c r="O57" s="52"/>
      <c r="P57" s="52" t="s">
        <v>374</v>
      </c>
      <c r="Q57" s="52" t="s">
        <v>375</v>
      </c>
      <c r="R57" s="55"/>
      <c r="S57" s="55" t="s">
        <v>272</v>
      </c>
      <c r="T57" s="55" t="s">
        <v>273</v>
      </c>
      <c r="U57" s="53" t="s">
        <v>390</v>
      </c>
      <c r="V57" s="53" t="s">
        <v>391</v>
      </c>
      <c r="W57" s="55"/>
      <c r="X57" s="55" t="s">
        <v>268</v>
      </c>
      <c r="Y57" s="55" t="s">
        <v>269</v>
      </c>
      <c r="Z57" s="55" t="s">
        <v>274</v>
      </c>
      <c r="AA57" s="55"/>
      <c r="AB57" s="55" t="s">
        <v>275</v>
      </c>
      <c r="AC57" s="55" t="s">
        <v>276</v>
      </c>
      <c r="AD57" s="54"/>
      <c r="AE57" s="55" t="s">
        <v>277</v>
      </c>
      <c r="AF57" s="55" t="s">
        <v>278</v>
      </c>
      <c r="AG57" s="56" t="s">
        <v>390</v>
      </c>
      <c r="AH57" s="58" t="s">
        <v>284</v>
      </c>
      <c r="AI57" s="55" t="s">
        <v>353</v>
      </c>
      <c r="AJ57" s="55" t="s">
        <v>354</v>
      </c>
      <c r="AK57" s="55" t="s">
        <v>438</v>
      </c>
      <c r="AL57" s="55" t="s">
        <v>437</v>
      </c>
      <c r="AM57" s="56" t="s">
        <v>390</v>
      </c>
      <c r="AN57" s="55" t="s">
        <v>268</v>
      </c>
      <c r="AO57" s="55" t="s">
        <v>269</v>
      </c>
      <c r="AP57" s="55" t="s">
        <v>274</v>
      </c>
      <c r="AQ57" s="55" t="s">
        <v>275</v>
      </c>
      <c r="AR57" s="55" t="s">
        <v>276</v>
      </c>
      <c r="AS57" s="55" t="s">
        <v>439</v>
      </c>
      <c r="AT57" s="51" t="s">
        <v>440</v>
      </c>
      <c r="AU57" s="55" t="s">
        <v>277</v>
      </c>
      <c r="AV57" s="55" t="s">
        <v>278</v>
      </c>
      <c r="AW57" s="55" t="s">
        <v>439</v>
      </c>
      <c r="AX57" s="51" t="s">
        <v>440</v>
      </c>
      <c r="AY57" s="56" t="s">
        <v>390</v>
      </c>
      <c r="AZ57" s="56" t="s">
        <v>391</v>
      </c>
      <c r="BA57" s="55" t="s">
        <v>284</v>
      </c>
      <c r="BB57" s="21" t="s">
        <v>264</v>
      </c>
    </row>
    <row r="58" spans="1:54">
      <c r="A58" s="10"/>
      <c r="B58" s="5" t="s">
        <v>249</v>
      </c>
      <c r="C58" s="139">
        <v>1815</v>
      </c>
      <c r="D58" s="129"/>
      <c r="E58" s="124">
        <v>118228</v>
      </c>
      <c r="F58" s="204">
        <v>118552</v>
      </c>
      <c r="G58" s="124">
        <f t="shared" ref="G58:G61" si="52">F58-E58</f>
        <v>324</v>
      </c>
      <c r="H58" s="124">
        <f t="shared" ref="H58:H61" si="53">F58-D58</f>
        <v>118552</v>
      </c>
      <c r="I58" s="134"/>
      <c r="J58" s="134">
        <f t="shared" ref="J58:J61" si="54">E58/C58</f>
        <v>65.139393939393941</v>
      </c>
      <c r="K58" s="135">
        <f t="shared" ref="K58:K61" si="55">F58/C58</f>
        <v>65.317906336088157</v>
      </c>
      <c r="L58" s="134"/>
      <c r="M58" s="134">
        <f>Emissionsfaktorer!E$11*E58</f>
        <v>53084.372000000003</v>
      </c>
      <c r="N58" s="135">
        <f>Emissionsfaktorer!E$12*F58</f>
        <v>44812.656000000003</v>
      </c>
      <c r="O58" s="124"/>
      <c r="P58" s="124">
        <v>10760</v>
      </c>
      <c r="Q58" s="204">
        <v>10584</v>
      </c>
      <c r="R58" s="134"/>
      <c r="S58" s="134">
        <f t="shared" ref="S58:T61" si="56">P58*S$68*1.163</f>
        <v>463013.56</v>
      </c>
      <c r="T58" s="134">
        <f t="shared" si="56"/>
        <v>455440.10399999999</v>
      </c>
      <c r="U58" s="134">
        <f t="shared" ref="U58:U61" si="57">T58-S58</f>
        <v>-7573.4560000000056</v>
      </c>
      <c r="V58" s="134">
        <f t="shared" ref="V58:V61" si="58">T58-R58</f>
        <v>455440.10399999999</v>
      </c>
      <c r="W58" s="134"/>
      <c r="X58" s="134">
        <f t="shared" ref="X58:X62" si="59">S58/C58</f>
        <v>255.10388980716255</v>
      </c>
      <c r="Y58" s="134">
        <f t="shared" ref="Y58:Y62" si="60">T58/C58</f>
        <v>250.93118677685951</v>
      </c>
      <c r="Z58" s="179">
        <v>9.0999999999999998E-2</v>
      </c>
      <c r="AA58" s="134"/>
      <c r="AB58" s="134">
        <f>Emissionsfaktorer!E$17*S58</f>
        <v>46301.356</v>
      </c>
      <c r="AC58" s="134">
        <f>Emissionsfaktorer!E$18*T58</f>
        <v>42355.929671999998</v>
      </c>
      <c r="AD58" s="173"/>
      <c r="AE58" s="134">
        <f t="shared" ref="AE58:AE61" si="61">M58+AB58</f>
        <v>99385.728000000003</v>
      </c>
      <c r="AF58" s="134">
        <f t="shared" ref="AF58:AF61" si="62">N58+AC58</f>
        <v>87168.585672000001</v>
      </c>
      <c r="AG58" s="134">
        <f t="shared" ref="AG58:AG61" si="63">AF58-AE58</f>
        <v>-12217.142328000002</v>
      </c>
      <c r="AH58" s="135">
        <f t="shared" ref="AH58:AH62" si="64">AF58/C58</f>
        <v>48.026768965289257</v>
      </c>
      <c r="AI58" s="134">
        <f>((S58*0.8)/(1.219))+(S58*0.2)</f>
        <v>396467.23045775224</v>
      </c>
      <c r="AJ58" s="134">
        <f>((T58*0.8)/(0.9571))+(T58*0.2)</f>
        <v>471771.4219075123</v>
      </c>
      <c r="AK58" s="134">
        <f t="shared" ref="AK58:AK61" si="65">S58/1.219</f>
        <v>379830.64807219029</v>
      </c>
      <c r="AL58" s="134">
        <f t="shared" ref="AL58:AL61" si="66">T58/0.9571</f>
        <v>475854.25138439034</v>
      </c>
      <c r="AM58" s="134">
        <f>AJ58-AI58</f>
        <v>75304.191449760052</v>
      </c>
      <c r="AN58" s="134">
        <f>AI58/C58</f>
        <v>218.43924543126846</v>
      </c>
      <c r="AO58" s="134">
        <f>AJ58/C58</f>
        <v>259.92915807576435</v>
      </c>
      <c r="AP58" s="124">
        <f>Emissionsfaktorer!E$16</f>
        <v>8.5999999999999993E-2</v>
      </c>
      <c r="AQ58" s="134">
        <f>AP58*AI58</f>
        <v>34096.181819366691</v>
      </c>
      <c r="AR58" s="134">
        <f>AP58*AJ58</f>
        <v>40572.342284046055</v>
      </c>
      <c r="AS58">
        <f t="shared" ref="AS58:AS61" si="67">AK58*AP58</f>
        <v>32665.435734208364</v>
      </c>
      <c r="AT58" s="173">
        <f t="shared" ref="AT58:AT61" si="68">AL58*AP58</f>
        <v>40923.46561905757</v>
      </c>
      <c r="AU58" s="134">
        <f t="shared" ref="AU58:AV61" si="69">M58+AQ58</f>
        <v>87180.553819366702</v>
      </c>
      <c r="AV58" s="134">
        <f t="shared" si="69"/>
        <v>85384.998284046058</v>
      </c>
      <c r="AW58" s="134">
        <f t="shared" ref="AW58:AX61" si="70">M58+AS58</f>
        <v>85749.807734208371</v>
      </c>
      <c r="AX58" s="134">
        <f t="shared" si="70"/>
        <v>85736.12161905758</v>
      </c>
      <c r="AY58" s="134">
        <f t="shared" ref="AY58:AY61" si="71">AV58-AU58</f>
        <v>-1795.5555353206437</v>
      </c>
      <c r="AZ58" s="134">
        <f t="shared" ref="AZ58:AZ61" si="72">AV58-AT58</f>
        <v>44461.532664988488</v>
      </c>
      <c r="BA58" s="134">
        <f>AV58/C58</f>
        <v>47.04407618955706</v>
      </c>
      <c r="BB58" s="106"/>
    </row>
    <row r="59" spans="1:54">
      <c r="A59" s="28" t="s">
        <v>143</v>
      </c>
      <c r="B59" s="5" t="s">
        <v>143</v>
      </c>
      <c r="C59" s="180">
        <v>25184</v>
      </c>
      <c r="D59" s="129"/>
      <c r="E59" s="124">
        <v>2167992</v>
      </c>
      <c r="F59" s="204">
        <v>2141859</v>
      </c>
      <c r="G59" s="124">
        <f t="shared" si="52"/>
        <v>-26133</v>
      </c>
      <c r="H59" s="124">
        <f t="shared" si="53"/>
        <v>2141859</v>
      </c>
      <c r="I59" s="134"/>
      <c r="J59" s="134">
        <f t="shared" si="54"/>
        <v>86.08608640406608</v>
      </c>
      <c r="K59" s="135">
        <f t="shared" si="55"/>
        <v>85.048403748411687</v>
      </c>
      <c r="L59" s="134"/>
      <c r="M59" s="134">
        <f>Emissionsfaktorer!E$11*E59</f>
        <v>973428.40800000005</v>
      </c>
      <c r="N59" s="135">
        <f>Emissionsfaktorer!E$12*F59</f>
        <v>809622.70200000005</v>
      </c>
      <c r="O59" s="124"/>
      <c r="P59" s="124">
        <v>56640</v>
      </c>
      <c r="Q59" s="204">
        <v>62241</v>
      </c>
      <c r="R59" s="134"/>
      <c r="S59" s="134">
        <f t="shared" si="56"/>
        <v>2437275.84</v>
      </c>
      <c r="T59" s="134">
        <f t="shared" si="56"/>
        <v>2678292.4709999999</v>
      </c>
      <c r="U59" s="134">
        <f t="shared" si="57"/>
        <v>241016.63100000005</v>
      </c>
      <c r="V59" s="134">
        <f t="shared" si="58"/>
        <v>2678292.4709999999</v>
      </c>
      <c r="W59" s="134"/>
      <c r="X59" s="134">
        <f t="shared" si="59"/>
        <v>96.778742058449808</v>
      </c>
      <c r="Y59" s="134">
        <f t="shared" si="60"/>
        <v>106.34897041772554</v>
      </c>
      <c r="Z59" s="124">
        <v>9.0999999999999998E-2</v>
      </c>
      <c r="AA59" s="134"/>
      <c r="AB59" s="134">
        <f>Emissionsfaktorer!E$17*S59</f>
        <v>243727.584</v>
      </c>
      <c r="AC59" s="134">
        <f>Emissionsfaktorer!E$18*T59</f>
        <v>249081.199803</v>
      </c>
      <c r="AD59" s="173"/>
      <c r="AE59" s="134">
        <f t="shared" si="61"/>
        <v>1217155.9920000001</v>
      </c>
      <c r="AF59" s="134">
        <f t="shared" si="62"/>
        <v>1058703.9018030001</v>
      </c>
      <c r="AG59" s="134">
        <f t="shared" si="63"/>
        <v>-158452.09019699995</v>
      </c>
      <c r="AH59" s="135">
        <f t="shared" si="64"/>
        <v>42.038750865748099</v>
      </c>
      <c r="AI59" s="134">
        <f>((S59*0.8)/(1.219))+(S59*0.2)</f>
        <v>2086979.9194356028</v>
      </c>
      <c r="AJ59" s="134">
        <f>((T59*0.8)/(0.9571))+(T59*0.2)</f>
        <v>2774331.544873911</v>
      </c>
      <c r="AK59" s="134">
        <f t="shared" si="65"/>
        <v>1999405.9392945035</v>
      </c>
      <c r="AL59" s="134">
        <f t="shared" si="66"/>
        <v>2798341.3133423887</v>
      </c>
      <c r="AM59" s="134">
        <f>AJ59-AI59</f>
        <v>687351.62543830811</v>
      </c>
      <c r="AN59" s="134">
        <f>AI59/C59</f>
        <v>82.869278884831758</v>
      </c>
      <c r="AO59" s="134">
        <f>AJ59/C59</f>
        <v>110.16246604486622</v>
      </c>
      <c r="AP59" s="124">
        <f>Emissionsfaktorer!E$16</f>
        <v>8.5999999999999993E-2</v>
      </c>
      <c r="AQ59" s="134">
        <f>AP59*AI59</f>
        <v>179480.27307146182</v>
      </c>
      <c r="AR59" s="134">
        <f>AP59*AJ59</f>
        <v>238592.51285915633</v>
      </c>
      <c r="AS59">
        <f t="shared" si="67"/>
        <v>171948.9107793273</v>
      </c>
      <c r="AT59" s="173">
        <f t="shared" si="68"/>
        <v>240657.35294744541</v>
      </c>
      <c r="AU59" s="134">
        <f t="shared" si="69"/>
        <v>1152908.6810714619</v>
      </c>
      <c r="AV59" s="134">
        <f t="shared" si="69"/>
        <v>1048215.2148591564</v>
      </c>
      <c r="AW59" s="134">
        <f t="shared" si="70"/>
        <v>1145377.3187793274</v>
      </c>
      <c r="AX59" s="134">
        <f t="shared" si="70"/>
        <v>1050280.0549474454</v>
      </c>
      <c r="AY59" s="134">
        <f t="shared" si="71"/>
        <v>-104693.46621230547</v>
      </c>
      <c r="AZ59" s="134">
        <f t="shared" si="72"/>
        <v>807557.86191171105</v>
      </c>
      <c r="BA59" s="134">
        <f>AV59/C59</f>
        <v>41.62226869675812</v>
      </c>
      <c r="BB59" s="106"/>
    </row>
    <row r="60" spans="1:54">
      <c r="A60" s="33" t="s">
        <v>142</v>
      </c>
      <c r="B60" s="5" t="s">
        <v>250</v>
      </c>
      <c r="C60" s="140">
        <v>2079</v>
      </c>
      <c r="D60" s="129"/>
      <c r="E60" s="124">
        <v>129969</v>
      </c>
      <c r="F60" s="204">
        <v>139693</v>
      </c>
      <c r="G60" s="124">
        <f t="shared" si="52"/>
        <v>9724</v>
      </c>
      <c r="H60" s="124">
        <f t="shared" si="53"/>
        <v>139693</v>
      </c>
      <c r="I60" s="134"/>
      <c r="J60" s="134">
        <f t="shared" si="54"/>
        <v>62.515151515151516</v>
      </c>
      <c r="K60" s="135">
        <f t="shared" si="55"/>
        <v>67.192400192400186</v>
      </c>
      <c r="L60" s="134"/>
      <c r="M60" s="134">
        <f>Emissionsfaktorer!E$11*E60</f>
        <v>58356.080999999998</v>
      </c>
      <c r="N60" s="135">
        <f>Emissionsfaktorer!E$12*F60</f>
        <v>52803.953999999998</v>
      </c>
      <c r="O60" s="124"/>
      <c r="P60" s="124">
        <v>9469</v>
      </c>
      <c r="Q60" s="204">
        <v>7322</v>
      </c>
      <c r="R60" s="134"/>
      <c r="S60" s="134">
        <f t="shared" si="56"/>
        <v>407460.53899999999</v>
      </c>
      <c r="T60" s="134">
        <f t="shared" si="56"/>
        <v>315072.98200000002</v>
      </c>
      <c r="U60" s="134">
        <f t="shared" si="57"/>
        <v>-92387.556999999972</v>
      </c>
      <c r="V60" s="134">
        <f t="shared" si="58"/>
        <v>315072.98200000002</v>
      </c>
      <c r="W60" s="134"/>
      <c r="X60" s="134">
        <f t="shared" si="59"/>
        <v>195.98871524771525</v>
      </c>
      <c r="Y60" s="134">
        <f t="shared" si="60"/>
        <v>151.5502558922559</v>
      </c>
      <c r="Z60" s="179">
        <v>9.0999999999999998E-2</v>
      </c>
      <c r="AA60" s="134"/>
      <c r="AB60" s="134">
        <f>Emissionsfaktorer!E$17*S60</f>
        <v>40746.053899999999</v>
      </c>
      <c r="AC60" s="134">
        <f>Emissionsfaktorer!E$18*T60</f>
        <v>29301.787326000001</v>
      </c>
      <c r="AD60" s="173"/>
      <c r="AE60" s="134">
        <f t="shared" si="61"/>
        <v>99102.134900000005</v>
      </c>
      <c r="AF60" s="134">
        <f t="shared" si="62"/>
        <v>82105.741326000003</v>
      </c>
      <c r="AG60" s="134">
        <f t="shared" si="63"/>
        <v>-16996.393574000002</v>
      </c>
      <c r="AH60" s="135">
        <f t="shared" si="64"/>
        <v>39.49290107070707</v>
      </c>
      <c r="AI60" s="134">
        <f>((S60*0.8)/(1.219))+(S60*0.2)</f>
        <v>348898.53208219848</v>
      </c>
      <c r="AJ60" s="134">
        <f>((T60*0.8)/(0.9571))+(T60*0.2)</f>
        <v>326370.97044659918</v>
      </c>
      <c r="AK60" s="134">
        <f t="shared" si="65"/>
        <v>334258.03035274812</v>
      </c>
      <c r="AL60" s="134">
        <f t="shared" si="66"/>
        <v>329195.4675582489</v>
      </c>
      <c r="AM60" s="134">
        <f>AJ60-AI60</f>
        <v>-22527.561635599297</v>
      </c>
      <c r="AN60" s="134">
        <f>AI60/C60</f>
        <v>167.82036175189921</v>
      </c>
      <c r="AO60" s="134">
        <f>AJ60/C60</f>
        <v>156.98459376940798</v>
      </c>
      <c r="AP60" s="124">
        <f>Emissionsfaktorer!E$16</f>
        <v>8.5999999999999993E-2</v>
      </c>
      <c r="AQ60" s="134">
        <f>AP60*AI60</f>
        <v>30005.273759069067</v>
      </c>
      <c r="AR60" s="134">
        <f>AP60*AJ60</f>
        <v>28067.903458407527</v>
      </c>
      <c r="AS60">
        <f t="shared" si="67"/>
        <v>28746.190610336336</v>
      </c>
      <c r="AT60" s="173">
        <f t="shared" si="68"/>
        <v>28310.810210009404</v>
      </c>
      <c r="AU60" s="134">
        <f t="shared" si="69"/>
        <v>88361.354759069072</v>
      </c>
      <c r="AV60" s="134">
        <f t="shared" si="69"/>
        <v>80871.857458407525</v>
      </c>
      <c r="AW60" s="134">
        <f t="shared" si="70"/>
        <v>87102.271610336335</v>
      </c>
      <c r="AX60" s="134">
        <f t="shared" si="70"/>
        <v>81114.764210009394</v>
      </c>
      <c r="AY60" s="134">
        <f t="shared" si="71"/>
        <v>-7489.4973006615473</v>
      </c>
      <c r="AZ60" s="134">
        <f t="shared" si="72"/>
        <v>52561.047248398121</v>
      </c>
      <c r="BA60" s="134">
        <f>AV60/C60</f>
        <v>38.899402336896358</v>
      </c>
      <c r="BB60" s="106"/>
    </row>
    <row r="61" spans="1:54">
      <c r="A61" s="10"/>
      <c r="B61" s="5" t="s">
        <v>251</v>
      </c>
      <c r="C61" s="139">
        <v>568</v>
      </c>
      <c r="D61" s="129"/>
      <c r="E61" s="124">
        <v>25430</v>
      </c>
      <c r="F61" s="204">
        <v>20336</v>
      </c>
      <c r="G61" s="124">
        <f t="shared" si="52"/>
        <v>-5094</v>
      </c>
      <c r="H61" s="124">
        <f t="shared" si="53"/>
        <v>20336</v>
      </c>
      <c r="I61" s="134"/>
      <c r="J61" s="134">
        <f t="shared" si="54"/>
        <v>44.771126760563384</v>
      </c>
      <c r="K61" s="135">
        <f t="shared" si="55"/>
        <v>35.802816901408448</v>
      </c>
      <c r="L61" s="134"/>
      <c r="M61" s="134">
        <f>Emissionsfaktorer!E$11*E61</f>
        <v>11418.07</v>
      </c>
      <c r="N61" s="135">
        <f>Emissionsfaktorer!E$12*F61</f>
        <v>7687.0079999999998</v>
      </c>
      <c r="O61" s="124"/>
      <c r="P61" s="124">
        <v>3695</v>
      </c>
      <c r="Q61" s="204">
        <v>2714</v>
      </c>
      <c r="R61" s="134"/>
      <c r="S61" s="134">
        <f t="shared" si="56"/>
        <v>158999.54500000001</v>
      </c>
      <c r="T61" s="134">
        <f t="shared" si="56"/>
        <v>116786.13400000001</v>
      </c>
      <c r="U61" s="134">
        <f t="shared" si="57"/>
        <v>-42213.411000000007</v>
      </c>
      <c r="V61" s="134">
        <f t="shared" si="58"/>
        <v>116786.13400000001</v>
      </c>
      <c r="W61" s="134"/>
      <c r="X61" s="134">
        <f t="shared" si="59"/>
        <v>279.92877640845074</v>
      </c>
      <c r="Y61" s="134">
        <f t="shared" si="60"/>
        <v>205.60939084507044</v>
      </c>
      <c r="Z61" s="179">
        <v>0.91</v>
      </c>
      <c r="AA61" s="134"/>
      <c r="AB61" s="134">
        <f>Emissionsfaktorer!E$17*S61</f>
        <v>15899.954500000002</v>
      </c>
      <c r="AC61" s="134">
        <f>Emissionsfaktorer!E$18*T61</f>
        <v>10861.110462000001</v>
      </c>
      <c r="AD61" s="173"/>
      <c r="AE61" s="134">
        <f t="shared" si="61"/>
        <v>27318.0245</v>
      </c>
      <c r="AF61" s="134">
        <f t="shared" si="62"/>
        <v>18548.118461999999</v>
      </c>
      <c r="AG61" s="134">
        <f t="shared" si="63"/>
        <v>-8769.906038000001</v>
      </c>
      <c r="AH61" s="135">
        <f t="shared" si="64"/>
        <v>32.655138137323938</v>
      </c>
      <c r="AI61" s="134">
        <f>((S61*0.8)/(1.219))+(S61*0.2)</f>
        <v>136147.43648154225</v>
      </c>
      <c r="AJ61" s="134">
        <f>((T61*0.8)/(0.9571))+(T61*0.2)</f>
        <v>120973.88879979106</v>
      </c>
      <c r="AK61" s="134">
        <f t="shared" si="65"/>
        <v>130434.40935192781</v>
      </c>
      <c r="AL61" s="134">
        <f t="shared" si="66"/>
        <v>122020.82749973881</v>
      </c>
      <c r="AM61" s="134">
        <f>AJ61-AI61</f>
        <v>-15173.547681751181</v>
      </c>
      <c r="AN61" s="134">
        <f>AI61/C61</f>
        <v>239.69619098863072</v>
      </c>
      <c r="AO61" s="134">
        <f>AJ61/C61</f>
        <v>212.98219859118146</v>
      </c>
      <c r="AP61" s="124">
        <f>Emissionsfaktorer!E$16</f>
        <v>8.5999999999999993E-2</v>
      </c>
      <c r="AQ61" s="134">
        <f>AP61*AI61</f>
        <v>11708.679537412632</v>
      </c>
      <c r="AR61" s="134">
        <f>AP61*AJ61</f>
        <v>10403.75443678203</v>
      </c>
      <c r="AS61">
        <f t="shared" si="67"/>
        <v>11217.359204265791</v>
      </c>
      <c r="AT61" s="173">
        <f t="shared" si="68"/>
        <v>10493.791164977536</v>
      </c>
      <c r="AU61" s="134">
        <f t="shared" si="69"/>
        <v>23126.74953741263</v>
      </c>
      <c r="AV61" s="134">
        <f t="shared" si="69"/>
        <v>18090.762436782032</v>
      </c>
      <c r="AW61" s="134">
        <f t="shared" si="70"/>
        <v>22635.429204265791</v>
      </c>
      <c r="AX61" s="134">
        <f t="shared" si="70"/>
        <v>18180.799164977536</v>
      </c>
      <c r="AY61" s="134">
        <f t="shared" si="71"/>
        <v>-5035.9871006305984</v>
      </c>
      <c r="AZ61" s="134">
        <f t="shared" si="72"/>
        <v>7596.9712718044957</v>
      </c>
      <c r="BA61" s="134">
        <f>AV61/C61</f>
        <v>31.849933867573998</v>
      </c>
      <c r="BB61" s="106"/>
    </row>
    <row r="62" spans="1:54">
      <c r="A62" s="24" t="s">
        <v>280</v>
      </c>
      <c r="B62" s="25"/>
      <c r="C62" s="178">
        <f>SUM(C58:C61)</f>
        <v>29646</v>
      </c>
      <c r="D62" s="130"/>
      <c r="E62" s="131">
        <f>SUM(E58:E61)</f>
        <v>2441619</v>
      </c>
      <c r="F62" s="131">
        <f>SUM(F58:F61)</f>
        <v>2420440</v>
      </c>
      <c r="G62" s="131">
        <f>SUM(G58:G61)</f>
        <v>-21179</v>
      </c>
      <c r="H62" s="131">
        <f>SUM(H58:H61)</f>
        <v>2420440</v>
      </c>
      <c r="I62" s="192"/>
      <c r="J62" s="192">
        <f>E62/C62</f>
        <v>82.359137826350945</v>
      </c>
      <c r="K62" s="166">
        <f>F62/C62</f>
        <v>81.64474128044256</v>
      </c>
      <c r="L62" s="132"/>
      <c r="M62" s="132">
        <f>SUM(M58:M61)</f>
        <v>1096286.9310000001</v>
      </c>
      <c r="N62" s="133">
        <f>SUM(N58:N61)</f>
        <v>914926.32000000007</v>
      </c>
      <c r="O62" s="132"/>
      <c r="P62" s="132">
        <f>SUM(P58:P61)</f>
        <v>80564</v>
      </c>
      <c r="Q62" s="132">
        <f>SUM(Q58:Q61)</f>
        <v>82861</v>
      </c>
      <c r="R62" s="132"/>
      <c r="S62" s="132">
        <f>SUM(S58:S61)</f>
        <v>3466749.4839999997</v>
      </c>
      <c r="T62" s="132">
        <f>SUM(T58:T61)</f>
        <v>3565591.6909999996</v>
      </c>
      <c r="U62" s="132">
        <f>SUM(U58:U61)</f>
        <v>98842.207000000068</v>
      </c>
      <c r="V62" s="132">
        <f>SUM(V58:V61)</f>
        <v>3565591.6909999996</v>
      </c>
      <c r="W62" s="192"/>
      <c r="X62" s="192">
        <f t="shared" si="59"/>
        <v>116.93818673682789</v>
      </c>
      <c r="Y62" s="192">
        <f t="shared" si="60"/>
        <v>120.27226914254872</v>
      </c>
      <c r="Z62" s="131"/>
      <c r="AA62" s="132"/>
      <c r="AB62" s="132">
        <f>SUM(AB58:AB61)</f>
        <v>346674.94839999999</v>
      </c>
      <c r="AC62" s="132">
        <f>SUM(AC58:AC61)</f>
        <v>331600.02726299997</v>
      </c>
      <c r="AD62" s="288"/>
      <c r="AE62" s="376">
        <f>SUM(AE58:AE61)</f>
        <v>1442961.8794000002</v>
      </c>
      <c r="AF62" s="376">
        <f>SUM(AF58:AF61)</f>
        <v>1246526.3472630002</v>
      </c>
      <c r="AG62" s="132">
        <f>SUM(AG58:AG61)</f>
        <v>-196435.53213699994</v>
      </c>
      <c r="AH62" s="166">
        <f t="shared" si="64"/>
        <v>42.047033234264326</v>
      </c>
      <c r="AI62" s="132">
        <f>SUM(AI58:AI61)</f>
        <v>2968493.1184570962</v>
      </c>
      <c r="AJ62" s="132">
        <f>SUM(AJ58:AJ61)</f>
        <v>3693447.8260278138</v>
      </c>
      <c r="AK62" s="132">
        <f>SUM(AK58:AK61)</f>
        <v>2843929.0270713693</v>
      </c>
      <c r="AL62" s="132">
        <f>SUM(AL58:AL61)</f>
        <v>3725411.859784767</v>
      </c>
      <c r="AM62" s="132">
        <f>SUM(AM58:AM61)</f>
        <v>724954.70757071767</v>
      </c>
      <c r="AN62" s="192">
        <f>AI62/C62</f>
        <v>100.13132019352008</v>
      </c>
      <c r="AO62" s="192">
        <f>AJ62/C62</f>
        <v>124.58503089886709</v>
      </c>
      <c r="AP62" s="375">
        <f>AP67</f>
        <v>0.1318869932370709</v>
      </c>
      <c r="AQ62" s="132">
        <f t="shared" ref="AQ62:AZ62" si="73">SUM(AQ58:AQ61)</f>
        <v>255290.40818731021</v>
      </c>
      <c r="AR62" s="132">
        <f t="shared" si="73"/>
        <v>317636.51303839189</v>
      </c>
      <c r="AS62" s="132">
        <f t="shared" si="73"/>
        <v>244577.89632813778</v>
      </c>
      <c r="AT62" s="132">
        <f t="shared" si="73"/>
        <v>320385.41994148993</v>
      </c>
      <c r="AU62" s="132">
        <f t="shared" si="73"/>
        <v>1351577.3391873103</v>
      </c>
      <c r="AV62" s="132">
        <f t="shared" si="73"/>
        <v>1232562.833038392</v>
      </c>
      <c r="AW62" s="132">
        <f t="shared" si="73"/>
        <v>1340864.8273281381</v>
      </c>
      <c r="AX62" s="132">
        <f t="shared" si="73"/>
        <v>1235311.7399414901</v>
      </c>
      <c r="AY62" s="132">
        <f t="shared" si="73"/>
        <v>-119014.50614891827</v>
      </c>
      <c r="AZ62" s="132">
        <f t="shared" si="73"/>
        <v>912177.41309690219</v>
      </c>
      <c r="BA62" s="166">
        <f>AV62/C62</f>
        <v>41.576024861309854</v>
      </c>
      <c r="BB62" s="107"/>
    </row>
    <row r="63" spans="1:54">
      <c r="A63" s="372"/>
      <c r="B63" s="365"/>
      <c r="C63" s="373"/>
      <c r="D63" s="367"/>
      <c r="E63" s="368"/>
      <c r="F63" s="368"/>
      <c r="G63" s="368"/>
      <c r="H63" s="368"/>
      <c r="I63" s="134"/>
      <c r="J63" s="134"/>
      <c r="K63" s="135"/>
      <c r="L63" s="369"/>
      <c r="M63" s="189">
        <f>E62*Emissionsfaktorer!E$10</f>
        <v>1125586.3589999999</v>
      </c>
      <c r="N63" s="167">
        <f>F62*Emissionsfaktorer!E$10</f>
        <v>1115822.8400000001</v>
      </c>
      <c r="O63" s="369"/>
      <c r="P63" s="369"/>
      <c r="Q63" s="369"/>
      <c r="R63" s="369"/>
      <c r="S63" s="369"/>
      <c r="T63" s="369"/>
      <c r="U63" s="369"/>
      <c r="V63" s="369"/>
      <c r="W63" s="134"/>
      <c r="X63" s="134"/>
      <c r="Y63" s="134"/>
      <c r="Z63" s="368"/>
      <c r="AA63" s="369"/>
      <c r="AB63" s="369"/>
      <c r="AC63" s="369"/>
      <c r="AD63" s="370"/>
      <c r="AE63" s="369"/>
      <c r="AF63" s="369"/>
      <c r="AG63" s="369"/>
      <c r="AH63" s="135"/>
      <c r="AI63" s="369"/>
      <c r="AJ63" s="369"/>
      <c r="AK63" s="369"/>
      <c r="AL63" s="369"/>
      <c r="AM63" s="369"/>
      <c r="AN63" s="134"/>
      <c r="AO63" s="134"/>
      <c r="AP63" s="368"/>
      <c r="AQ63" s="292"/>
      <c r="AR63" s="292"/>
      <c r="AS63" s="292"/>
      <c r="AT63" s="292"/>
      <c r="AU63" s="354">
        <f>M63+AQ62</f>
        <v>1380876.7671873101</v>
      </c>
      <c r="AV63" s="354">
        <f>N63+AR62</f>
        <v>1433459.353038392</v>
      </c>
      <c r="AW63" s="347">
        <f>M63+AS62</f>
        <v>1370164.2553281377</v>
      </c>
      <c r="AX63" s="347">
        <f>N63+AT62</f>
        <v>1436208.2599414899</v>
      </c>
      <c r="AY63" s="155"/>
      <c r="AZ63" s="155"/>
      <c r="BA63" s="374"/>
      <c r="BB63" s="371"/>
    </row>
    <row r="64" spans="1:54" ht="90">
      <c r="A64" s="21" t="s">
        <v>238</v>
      </c>
      <c r="B64" s="90" t="s">
        <v>239</v>
      </c>
      <c r="C64" s="60" t="s">
        <v>265</v>
      </c>
      <c r="D64" s="54"/>
      <c r="E64" s="55" t="s">
        <v>266</v>
      </c>
      <c r="F64" s="55" t="s">
        <v>267</v>
      </c>
      <c r="G64" s="56" t="s">
        <v>390</v>
      </c>
      <c r="H64" s="56" t="s">
        <v>391</v>
      </c>
      <c r="I64" s="55"/>
      <c r="J64" s="55" t="s">
        <v>268</v>
      </c>
      <c r="K64" s="58" t="s">
        <v>269</v>
      </c>
      <c r="L64" s="55"/>
      <c r="M64" s="55" t="s">
        <v>270</v>
      </c>
      <c r="N64" s="58" t="s">
        <v>271</v>
      </c>
      <c r="O64" s="55"/>
      <c r="P64" s="55" t="s">
        <v>374</v>
      </c>
      <c r="Q64" s="55" t="s">
        <v>375</v>
      </c>
      <c r="R64" s="55"/>
      <c r="S64" s="55" t="s">
        <v>272</v>
      </c>
      <c r="T64" s="55" t="s">
        <v>273</v>
      </c>
      <c r="U64" s="56" t="s">
        <v>390</v>
      </c>
      <c r="V64" s="56" t="s">
        <v>391</v>
      </c>
      <c r="W64" s="55"/>
      <c r="X64" s="55" t="s">
        <v>268</v>
      </c>
      <c r="Y64" s="55" t="s">
        <v>269</v>
      </c>
      <c r="Z64" s="55" t="s">
        <v>274</v>
      </c>
      <c r="AA64" s="55"/>
      <c r="AB64" s="55" t="s">
        <v>275</v>
      </c>
      <c r="AC64" s="55" t="s">
        <v>276</v>
      </c>
      <c r="AD64" s="54"/>
      <c r="AE64" s="55" t="s">
        <v>277</v>
      </c>
      <c r="AF64" s="55" t="s">
        <v>278</v>
      </c>
      <c r="AG64" s="56" t="s">
        <v>390</v>
      </c>
      <c r="AH64" s="58" t="s">
        <v>284</v>
      </c>
      <c r="AI64" s="55" t="s">
        <v>353</v>
      </c>
      <c r="AJ64" s="55" t="s">
        <v>354</v>
      </c>
      <c r="AK64" s="55" t="s">
        <v>438</v>
      </c>
      <c r="AL64" s="55" t="s">
        <v>437</v>
      </c>
      <c r="AM64" s="56" t="s">
        <v>390</v>
      </c>
      <c r="AN64" s="55" t="s">
        <v>268</v>
      </c>
      <c r="AO64" s="55" t="s">
        <v>269</v>
      </c>
      <c r="AP64" s="55" t="s">
        <v>274</v>
      </c>
      <c r="AQ64" s="55" t="s">
        <v>275</v>
      </c>
      <c r="AR64" s="55" t="s">
        <v>276</v>
      </c>
      <c r="AS64" s="55" t="s">
        <v>439</v>
      </c>
      <c r="AT64" s="51" t="s">
        <v>440</v>
      </c>
      <c r="AU64" s="55" t="s">
        <v>277</v>
      </c>
      <c r="AV64" s="55" t="s">
        <v>278</v>
      </c>
      <c r="AW64" s="55" t="s">
        <v>439</v>
      </c>
      <c r="AX64" s="51" t="s">
        <v>440</v>
      </c>
      <c r="AY64" s="53" t="s">
        <v>390</v>
      </c>
      <c r="AZ64" s="53" t="s">
        <v>391</v>
      </c>
      <c r="BA64" s="52" t="s">
        <v>284</v>
      </c>
      <c r="BB64" s="21" t="s">
        <v>264</v>
      </c>
    </row>
    <row r="65" spans="1:54" s="224" customFormat="1">
      <c r="A65" s="222"/>
      <c r="B65" s="223"/>
      <c r="C65" s="377"/>
      <c r="D65" s="225"/>
      <c r="E65" s="204"/>
      <c r="F65" s="204"/>
      <c r="G65" s="204"/>
      <c r="H65" s="204"/>
      <c r="I65" s="378"/>
      <c r="J65" s="378"/>
      <c r="K65" s="379"/>
      <c r="L65" s="380"/>
      <c r="M65" s="380"/>
      <c r="N65" s="381"/>
      <c r="O65" s="204"/>
      <c r="P65" s="204"/>
      <c r="Q65" s="204"/>
      <c r="R65" s="380"/>
      <c r="S65" s="380"/>
      <c r="T65" s="380"/>
      <c r="U65" s="380"/>
      <c r="V65" s="380"/>
      <c r="W65" s="382"/>
      <c r="X65" s="382"/>
      <c r="Y65" s="382"/>
      <c r="Z65" s="383"/>
      <c r="AA65" s="380"/>
      <c r="AB65" s="380"/>
      <c r="AC65" s="380"/>
      <c r="AD65" s="384"/>
      <c r="AE65" s="382"/>
      <c r="AF65" s="382"/>
      <c r="AG65" s="382"/>
      <c r="AH65" s="385"/>
      <c r="AI65" s="382"/>
      <c r="AJ65" s="382"/>
      <c r="AK65" s="380">
        <f>S65/1.219</f>
        <v>0</v>
      </c>
      <c r="AL65" s="380">
        <f>T65/0.9571</f>
        <v>0</v>
      </c>
      <c r="AM65" s="383"/>
      <c r="AN65" s="382"/>
      <c r="AO65" s="382"/>
      <c r="AP65" s="204"/>
      <c r="AQ65" s="382"/>
      <c r="AR65" s="382"/>
      <c r="AS65" s="224">
        <f>AK65*AP65</f>
        <v>0</v>
      </c>
      <c r="AT65" s="386">
        <f>AL65*AP65</f>
        <v>0</v>
      </c>
      <c r="AU65" s="382"/>
      <c r="AV65" s="382"/>
      <c r="AW65" s="380">
        <f>M65+AS65</f>
        <v>0</v>
      </c>
      <c r="AX65" s="380">
        <f>N65+AT65</f>
        <v>0</v>
      </c>
      <c r="AY65" s="382"/>
      <c r="AZ65" s="382"/>
      <c r="BA65" s="382"/>
      <c r="BB65" s="387"/>
    </row>
    <row r="66" spans="1:54" s="62" customFormat="1">
      <c r="A66" s="24" t="s">
        <v>280</v>
      </c>
      <c r="B66" s="25"/>
      <c r="C66" s="178">
        <f>SUM(C65:C65)</f>
        <v>0</v>
      </c>
      <c r="D66" s="182"/>
      <c r="E66" s="183">
        <f>SUM(E65:E65)</f>
        <v>0</v>
      </c>
      <c r="F66" s="183">
        <f>SUM(F65:F65)</f>
        <v>0</v>
      </c>
      <c r="G66" s="183">
        <f>SUM(G65:G65)</f>
        <v>0</v>
      </c>
      <c r="H66" s="183">
        <f>SUM(H65:H65)</f>
        <v>0</v>
      </c>
      <c r="I66" s="192"/>
      <c r="J66" s="192" t="e">
        <f>E66/C66</f>
        <v>#DIV/0!</v>
      </c>
      <c r="K66" s="166" t="e">
        <f>F66/C66</f>
        <v>#DIV/0!</v>
      </c>
      <c r="L66" s="155"/>
      <c r="M66" s="155">
        <f>SUM(M65:M65)</f>
        <v>0</v>
      </c>
      <c r="N66" s="287">
        <f>SUM(N65:N65)</f>
        <v>0</v>
      </c>
      <c r="O66" s="131"/>
      <c r="P66" s="131">
        <f>SUM(P65:P65)</f>
        <v>0</v>
      </c>
      <c r="Q66" s="131">
        <f>SUM(Q65:Q65)</f>
        <v>0</v>
      </c>
      <c r="R66" s="132"/>
      <c r="S66" s="132">
        <f>SUM(S65:S65)</f>
        <v>0</v>
      </c>
      <c r="T66" s="132">
        <f>SUM(T65:T65)</f>
        <v>0</v>
      </c>
      <c r="U66" s="132">
        <f>SUM(U65:U65)</f>
        <v>0</v>
      </c>
      <c r="V66" s="132">
        <f>SUM(V65:V65)</f>
        <v>0</v>
      </c>
      <c r="W66" s="189"/>
      <c r="X66" s="189" t="e">
        <f>S66/C66</f>
        <v>#DIV/0!</v>
      </c>
      <c r="Y66" s="189" t="e">
        <f>T66/C66</f>
        <v>#DIV/0!</v>
      </c>
      <c r="Z66" s="295"/>
      <c r="AA66" s="296"/>
      <c r="AB66" s="296">
        <f>SUM(AB65:AB65)</f>
        <v>0</v>
      </c>
      <c r="AC66" s="296">
        <f>SUM(AC65:AC65)</f>
        <v>0</v>
      </c>
      <c r="AD66" s="297"/>
      <c r="AE66" s="296">
        <f>SUM(AE65:AE65)</f>
        <v>0</v>
      </c>
      <c r="AF66" s="296">
        <f>SUM(AF65:AF65)</f>
        <v>0</v>
      </c>
      <c r="AG66" s="296">
        <f>SUM(AG65:AG65)</f>
        <v>0</v>
      </c>
      <c r="AH66" s="167" t="e">
        <f>AF66/C66</f>
        <v>#DIV/0!</v>
      </c>
      <c r="AI66" s="296">
        <f>SUM(AI65)</f>
        <v>0</v>
      </c>
      <c r="AJ66" s="296">
        <f>SUM(AJ65)</f>
        <v>0</v>
      </c>
      <c r="AK66" s="296">
        <f>SUM(AK65)</f>
        <v>0</v>
      </c>
      <c r="AL66" s="296">
        <f>SUM(AL65)</f>
        <v>0</v>
      </c>
      <c r="AM66" s="295">
        <f>SUM(AM65:AM65)</f>
        <v>0</v>
      </c>
      <c r="AN66" s="189" t="e">
        <f>AI66/C66</f>
        <v>#DIV/0!</v>
      </c>
      <c r="AO66" s="189" t="e">
        <f>AJ66/C66</f>
        <v>#DIV/0!</v>
      </c>
      <c r="AP66" s="295"/>
      <c r="AQ66" s="296">
        <f t="shared" ref="AQ66:AZ66" si="74">SUM(AQ65:AQ65)</f>
        <v>0</v>
      </c>
      <c r="AR66" s="296">
        <f t="shared" si="74"/>
        <v>0</v>
      </c>
      <c r="AS66" s="296">
        <f t="shared" si="74"/>
        <v>0</v>
      </c>
      <c r="AT66" s="296">
        <f t="shared" si="74"/>
        <v>0</v>
      </c>
      <c r="AU66" s="296">
        <f t="shared" si="74"/>
        <v>0</v>
      </c>
      <c r="AV66" s="296">
        <f t="shared" si="74"/>
        <v>0</v>
      </c>
      <c r="AW66" s="296">
        <f t="shared" si="74"/>
        <v>0</v>
      </c>
      <c r="AX66" s="296">
        <f t="shared" si="74"/>
        <v>0</v>
      </c>
      <c r="AY66" s="296">
        <f t="shared" si="74"/>
        <v>0</v>
      </c>
      <c r="AZ66" s="296">
        <f t="shared" si="74"/>
        <v>0</v>
      </c>
      <c r="BA66" s="167" t="e">
        <f>AV66/C66</f>
        <v>#DIV/0!</v>
      </c>
      <c r="BB66" s="298"/>
    </row>
    <row r="67" spans="1:54" s="102" customFormat="1">
      <c r="A67" s="98" t="s">
        <v>281</v>
      </c>
      <c r="B67" s="98"/>
      <c r="C67" s="146">
        <f>SUM(C66,C62,C55)</f>
        <v>433236</v>
      </c>
      <c r="D67" s="184"/>
      <c r="E67" s="118">
        <f>SUM(E55+E62+E66)</f>
        <v>13175613</v>
      </c>
      <c r="F67" s="118">
        <f>SUM(F55+F62+F66)</f>
        <v>12947845</v>
      </c>
      <c r="G67" s="118">
        <f>SUM(G55+G62+G66)</f>
        <v>-227768</v>
      </c>
      <c r="H67" s="118">
        <f>SUM(H55+H62+H66)</f>
        <v>12947845</v>
      </c>
      <c r="I67" s="170"/>
      <c r="J67" s="170">
        <f>E67/C67</f>
        <v>30.412091792925796</v>
      </c>
      <c r="K67" s="185">
        <f>F67/C67</f>
        <v>29.886355242869936</v>
      </c>
      <c r="L67" s="170"/>
      <c r="M67" s="170">
        <f>SUM(M55,M62,M66)</f>
        <v>5915850.2370000007</v>
      </c>
      <c r="N67" s="185">
        <f>SUM(N55,N62,N66)</f>
        <v>4894285.4099999992</v>
      </c>
      <c r="O67" s="186"/>
      <c r="P67" s="186">
        <f>SUM(P55,P62,P66)</f>
        <v>1286277</v>
      </c>
      <c r="Q67" s="186">
        <f>SUM(Q55,Q62,Q66)</f>
        <v>1071224</v>
      </c>
      <c r="R67" s="186"/>
      <c r="S67" s="186">
        <f>SUM(S55,S62,S66)</f>
        <v>55349785.587000005</v>
      </c>
      <c r="T67" s="186">
        <f>SUM(T55,T62,T66)</f>
        <v>46095839.944000013</v>
      </c>
      <c r="U67" s="186">
        <f>SUM(U55,U62,U66)</f>
        <v>-9253945.6430000011</v>
      </c>
      <c r="V67" s="186">
        <f>SUM(V55,V62,V66)</f>
        <v>46095839.944000013</v>
      </c>
      <c r="W67" s="186"/>
      <c r="X67" s="186">
        <f>S67/C67</f>
        <v>127.75897106196162</v>
      </c>
      <c r="Y67" s="186">
        <f>T67/C67</f>
        <v>106.39891408839527</v>
      </c>
      <c r="Z67" s="299">
        <f>AB67/S67</f>
        <v>0.13038377892164751</v>
      </c>
      <c r="AA67" s="186"/>
      <c r="AB67" s="186">
        <f>SUM(AB55,AB62,AB66)</f>
        <v>7216714.2073360011</v>
      </c>
      <c r="AC67" s="186">
        <f>SUM(AC55,AC62,AC66)</f>
        <v>5518134.6761840014</v>
      </c>
      <c r="AD67" s="294"/>
      <c r="AE67" s="355">
        <f>SUM(AE55,AE62,AE66)</f>
        <v>13132564.444335999</v>
      </c>
      <c r="AF67" s="355">
        <f>SUM(AF55,AF62,AF66)</f>
        <v>10412420.086184002</v>
      </c>
      <c r="AG67" s="186">
        <f>SUM(AG55,AG62,AG66)</f>
        <v>-2720144.3581519998</v>
      </c>
      <c r="AH67" s="167">
        <f>AF67/C67</f>
        <v>24.034060157013734</v>
      </c>
      <c r="AI67" s="186">
        <f>SUM(AI55,AI62,AI66)</f>
        <v>47394672.84307681</v>
      </c>
      <c r="AJ67" s="186">
        <f>SUM(AJ55,AJ62,AJ66)</f>
        <v>47748759.416237064</v>
      </c>
      <c r="AK67" s="186">
        <f>SUM(AK55,AK62,AK66)</f>
        <v>45405894.657095976</v>
      </c>
      <c r="AL67" s="186">
        <f>SUM(AL55,AL62,AL66)</f>
        <v>48161989.284296304</v>
      </c>
      <c r="AM67" s="186">
        <f>SUM(AM55,AM62,AM66)</f>
        <v>354086.57316027203</v>
      </c>
      <c r="AN67" s="189">
        <f>AI67/C67</f>
        <v>109.39689417102183</v>
      </c>
      <c r="AO67" s="189">
        <f>AJ67/C67</f>
        <v>110.2142006117614</v>
      </c>
      <c r="AP67" s="299">
        <f>AQ67/AI67</f>
        <v>0.1318869932370709</v>
      </c>
      <c r="AQ67" s="186">
        <f t="shared" ref="AQ67:AZ67" si="75">SUM(AQ55,AQ62,AQ66)</f>
        <v>6250740.8967280593</v>
      </c>
      <c r="AR67" s="186">
        <f t="shared" si="75"/>
        <v>6155266.7751216982</v>
      </c>
      <c r="AS67" s="186">
        <f t="shared" si="75"/>
        <v>5988446.9215635769</v>
      </c>
      <c r="AT67" s="186">
        <f t="shared" si="75"/>
        <v>6208536.0141228717</v>
      </c>
      <c r="AU67" s="186">
        <f t="shared" si="75"/>
        <v>12166591.133728065</v>
      </c>
      <c r="AV67" s="186">
        <f t="shared" si="75"/>
        <v>11049552.185121696</v>
      </c>
      <c r="AW67" s="186">
        <f t="shared" si="75"/>
        <v>11904297.158563575</v>
      </c>
      <c r="AX67" s="186">
        <f t="shared" si="75"/>
        <v>11102821.42412287</v>
      </c>
      <c r="AY67" s="186">
        <f t="shared" si="75"/>
        <v>-1117038.9486063635</v>
      </c>
      <c r="AZ67" s="186">
        <f t="shared" si="75"/>
        <v>4841016.1709988266</v>
      </c>
      <c r="BA67" s="167">
        <f>AV67/C67</f>
        <v>25.504695328000665</v>
      </c>
      <c r="BB67" s="162"/>
    </row>
    <row r="68" spans="1:54">
      <c r="A68" s="94" t="s">
        <v>418</v>
      </c>
      <c r="B68" s="93"/>
      <c r="C68" s="187">
        <f>SUM(C67,C64,C57)</f>
        <v>433236</v>
      </c>
      <c r="D68" s="165"/>
      <c r="E68" s="188"/>
      <c r="F68" s="283" t="s">
        <v>388</v>
      </c>
      <c r="G68" s="284"/>
      <c r="H68" s="284"/>
      <c r="I68" s="270"/>
      <c r="J68" s="270">
        <f>M67/C67</f>
        <v>13.655029215023683</v>
      </c>
      <c r="K68" s="285">
        <f>N67/C67</f>
        <v>11.297042281804835</v>
      </c>
      <c r="L68" s="189"/>
      <c r="M68" s="189">
        <f>E67*Emissionsfaktorer!E$10</f>
        <v>6073957.5930000003</v>
      </c>
      <c r="N68" s="167">
        <f>F67*Emissionsfaktorer!E$10</f>
        <v>5968956.5449999999</v>
      </c>
      <c r="O68" s="190"/>
      <c r="P68" s="191"/>
      <c r="Q68" s="172" t="s">
        <v>389</v>
      </c>
      <c r="R68" s="190"/>
      <c r="S68" s="191">
        <v>37</v>
      </c>
      <c r="T68" s="191">
        <v>37</v>
      </c>
      <c r="U68" s="283" t="s">
        <v>388</v>
      </c>
      <c r="V68" s="284"/>
      <c r="W68" s="270"/>
      <c r="X68" s="270">
        <f>X67*Z67</f>
        <v>16.657697438199964</v>
      </c>
      <c r="Y68" s="285">
        <f>Y67*Z67</f>
        <v>13.872692492004695</v>
      </c>
      <c r="Z68" s="188"/>
      <c r="AA68" s="292"/>
      <c r="AB68" s="292">
        <f>S67*Z67</f>
        <v>7216714.2073360002</v>
      </c>
      <c r="AC68" s="292">
        <f>T67*Z67</f>
        <v>6010149.804466146</v>
      </c>
      <c r="AD68" s="291"/>
      <c r="AE68" s="189">
        <f>M68+AB68</f>
        <v>13290671.800336</v>
      </c>
      <c r="AF68" s="189">
        <f>N68+AC68</f>
        <v>11979106.349466145</v>
      </c>
      <c r="AG68" s="189">
        <f>AF68-AE68</f>
        <v>-1311565.4508698545</v>
      </c>
      <c r="AH68" s="167">
        <f>AF68/C68</f>
        <v>27.650302258967734</v>
      </c>
      <c r="AI68" s="188"/>
      <c r="AJ68" s="289" t="s">
        <v>388</v>
      </c>
      <c r="AM68" s="290"/>
      <c r="AN68" s="188"/>
      <c r="AO68" s="188"/>
      <c r="AP68" s="188"/>
      <c r="AQ68" s="292"/>
      <c r="AR68" s="292"/>
      <c r="AS68" s="292"/>
      <c r="AT68" s="292"/>
      <c r="AU68" s="354">
        <f>M68+AQ67</f>
        <v>12324698.48972806</v>
      </c>
      <c r="AV68" s="354">
        <f>N68+AR67</f>
        <v>12124223.320121698</v>
      </c>
      <c r="AW68" s="347">
        <f>M68+AS67</f>
        <v>12062404.514563577</v>
      </c>
      <c r="AX68" s="347">
        <f>N68+AT67</f>
        <v>12177492.559122872</v>
      </c>
      <c r="AY68" s="292">
        <f>AV68-AU68</f>
        <v>-200475.16960636154</v>
      </c>
      <c r="AZ68" s="292">
        <f>AY68-AV68</f>
        <v>-12324698.48972806</v>
      </c>
      <c r="BA68" s="167">
        <f>AV68/C68</f>
        <v>27.985262813158876</v>
      </c>
      <c r="BB68" s="293"/>
    </row>
    <row r="69" spans="1:54">
      <c r="AB69" s="289" t="s">
        <v>388</v>
      </c>
      <c r="AC69" s="290"/>
      <c r="AD69" s="282"/>
      <c r="AE69" s="282">
        <f>AE67/C67</f>
        <v>30.312726653223645</v>
      </c>
      <c r="AF69" s="282">
        <f>AF67/C67</f>
        <v>24.034060157013734</v>
      </c>
      <c r="AQ69" s="289" t="s">
        <v>388</v>
      </c>
      <c r="AR69" s="290"/>
      <c r="AT69" s="282"/>
      <c r="AU69" s="348" t="s">
        <v>442</v>
      </c>
      <c r="AV69" s="348" t="s">
        <v>442</v>
      </c>
      <c r="AW69" s="348" t="s">
        <v>441</v>
      </c>
      <c r="AX69" s="348" t="s">
        <v>441</v>
      </c>
    </row>
    <row r="71" spans="1:54">
      <c r="A71" s="31"/>
      <c r="B71" s="32"/>
    </row>
    <row r="72" spans="1:54">
      <c r="A72" s="27"/>
    </row>
  </sheetData>
  <pageMargins left="0" right="0" top="0" bottom="0.15748031496062992" header="0.31496062992125984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BC34"/>
  <sheetViews>
    <sheetView zoomScale="85" zoomScaleNormal="85" workbookViewId="0">
      <pane xSplit="3" topLeftCell="D1" activePane="topRight" state="frozen"/>
      <selection pane="topRight" activeCell="C43" sqref="C43"/>
    </sheetView>
  </sheetViews>
  <sheetFormatPr defaultRowHeight="15"/>
  <cols>
    <col min="1" max="1" width="46" customWidth="1"/>
    <col min="2" max="2" width="17.85546875" customWidth="1"/>
    <col min="3" max="3" width="35" customWidth="1"/>
    <col min="4" max="4" width="10.42578125" style="116" customWidth="1"/>
    <col min="5" max="5" width="11.42578125" customWidth="1"/>
    <col min="6" max="6" width="10.7109375" customWidth="1"/>
    <col min="7" max="7" width="11.28515625" customWidth="1"/>
    <col min="8" max="9" width="12.28515625" customWidth="1"/>
    <col min="10" max="10" width="11.42578125" customWidth="1"/>
    <col min="11" max="11" width="10.7109375" customWidth="1"/>
    <col min="12" max="12" width="11.42578125" customWidth="1"/>
    <col min="13" max="13" width="11.7109375" customWidth="1"/>
    <col min="14" max="15" width="12.42578125" customWidth="1"/>
    <col min="16" max="16" width="13.140625" customWidth="1"/>
    <col min="17" max="17" width="12.85546875" customWidth="1"/>
    <col min="18" max="18" width="13" customWidth="1"/>
    <col min="19" max="19" width="13.140625" customWidth="1"/>
    <col min="20" max="20" width="12.85546875" customWidth="1"/>
    <col min="21" max="21" width="13" customWidth="1"/>
    <col min="22" max="22" width="11.28515625" customWidth="1"/>
    <col min="23" max="23" width="12" customWidth="1"/>
    <col min="24" max="24" width="10.7109375" customWidth="1"/>
    <col min="25" max="26" width="12.42578125" customWidth="1"/>
    <col min="27" max="27" width="10.5703125" customWidth="1"/>
    <col min="28" max="28" width="11.140625" customWidth="1"/>
    <col min="29" max="29" width="11.28515625" customWidth="1"/>
    <col min="30" max="30" width="11.7109375" customWidth="1"/>
    <col min="31" max="31" width="13.85546875" customWidth="1"/>
    <col min="32" max="32" width="11.7109375" customWidth="1"/>
    <col min="33" max="33" width="11.28515625" customWidth="1"/>
    <col min="34" max="34" width="11.85546875" customWidth="1"/>
    <col min="35" max="35" width="9.85546875" customWidth="1"/>
    <col min="36" max="37" width="11.42578125" customWidth="1"/>
    <col min="38" max="38" width="10.7109375" customWidth="1"/>
    <col min="39" max="39" width="12" customWidth="1"/>
    <col min="40" max="40" width="11.140625" customWidth="1"/>
    <col min="48" max="48" width="9.7109375" bestFit="1" customWidth="1"/>
  </cols>
  <sheetData>
    <row r="1" spans="1:55" ht="44.25" customHeight="1">
      <c r="A1" s="82" t="s">
        <v>242</v>
      </c>
      <c r="B1" s="13" t="s">
        <v>158</v>
      </c>
      <c r="C1" s="63" t="s">
        <v>244</v>
      </c>
      <c r="D1" s="137" t="s">
        <v>265</v>
      </c>
      <c r="E1" s="74"/>
      <c r="F1" s="75" t="s">
        <v>266</v>
      </c>
      <c r="G1" s="75" t="s">
        <v>267</v>
      </c>
      <c r="H1" s="76" t="s">
        <v>384</v>
      </c>
      <c r="I1" s="76" t="s">
        <v>385</v>
      </c>
      <c r="J1" s="75"/>
      <c r="K1" s="75" t="s">
        <v>268</v>
      </c>
      <c r="L1" s="75" t="s">
        <v>269</v>
      </c>
      <c r="M1" s="74"/>
      <c r="N1" s="75" t="s">
        <v>270</v>
      </c>
      <c r="O1" s="77" t="s">
        <v>271</v>
      </c>
      <c r="P1" s="75"/>
      <c r="Q1" s="75" t="s">
        <v>374</v>
      </c>
      <c r="R1" s="75" t="s">
        <v>375</v>
      </c>
      <c r="S1" s="75"/>
      <c r="T1" s="75" t="s">
        <v>272</v>
      </c>
      <c r="U1" s="75" t="s">
        <v>273</v>
      </c>
      <c r="V1" s="76" t="s">
        <v>384</v>
      </c>
      <c r="W1" s="76" t="s">
        <v>385</v>
      </c>
      <c r="X1" s="75"/>
      <c r="Y1" s="75" t="s">
        <v>268</v>
      </c>
      <c r="Z1" s="75" t="s">
        <v>269</v>
      </c>
      <c r="AA1" s="75" t="s">
        <v>274</v>
      </c>
      <c r="AB1" s="75"/>
      <c r="AC1" s="75" t="s">
        <v>275</v>
      </c>
      <c r="AD1" s="77" t="s">
        <v>276</v>
      </c>
      <c r="AE1" s="74"/>
      <c r="AF1" s="75" t="s">
        <v>277</v>
      </c>
      <c r="AG1" s="75" t="s">
        <v>278</v>
      </c>
      <c r="AH1" s="76" t="s">
        <v>384</v>
      </c>
      <c r="AI1" s="77" t="s">
        <v>284</v>
      </c>
      <c r="AJ1" s="75" t="s">
        <v>353</v>
      </c>
      <c r="AK1" s="75" t="s">
        <v>354</v>
      </c>
      <c r="AL1" s="78" t="s">
        <v>438</v>
      </c>
      <c r="AM1" s="78" t="s">
        <v>438</v>
      </c>
      <c r="AN1" s="76" t="s">
        <v>384</v>
      </c>
      <c r="AO1" s="75" t="s">
        <v>268</v>
      </c>
      <c r="AP1" s="75" t="s">
        <v>269</v>
      </c>
      <c r="AQ1" s="75" t="s">
        <v>274</v>
      </c>
      <c r="AR1" s="75" t="s">
        <v>275</v>
      </c>
      <c r="AS1" s="77" t="s">
        <v>276</v>
      </c>
      <c r="AT1" s="78" t="s">
        <v>438</v>
      </c>
      <c r="AU1" s="78" t="s">
        <v>438</v>
      </c>
      <c r="AV1" s="75" t="s">
        <v>277</v>
      </c>
      <c r="AW1" s="75" t="s">
        <v>278</v>
      </c>
      <c r="AX1" s="78" t="s">
        <v>438</v>
      </c>
      <c r="AY1" s="78" t="s">
        <v>438</v>
      </c>
      <c r="AZ1" s="76" t="s">
        <v>384</v>
      </c>
      <c r="BA1" s="76" t="s">
        <v>385</v>
      </c>
      <c r="BB1" s="75" t="s">
        <v>284</v>
      </c>
      <c r="BC1" s="13" t="s">
        <v>264</v>
      </c>
    </row>
    <row r="2" spans="1:55">
      <c r="A2" s="14"/>
      <c r="B2" s="10"/>
      <c r="C2" s="5" t="s">
        <v>159</v>
      </c>
      <c r="D2" s="139">
        <v>3054</v>
      </c>
      <c r="E2" s="129"/>
      <c r="F2" s="124">
        <v>634904</v>
      </c>
      <c r="G2" s="124">
        <v>612507</v>
      </c>
      <c r="H2" s="124">
        <f>G2-F2</f>
        <v>-22397</v>
      </c>
      <c r="I2" s="124">
        <f>G2-E2</f>
        <v>612507</v>
      </c>
      <c r="J2" s="134"/>
      <c r="K2" s="134">
        <f>F2/D2</f>
        <v>207.89259986902422</v>
      </c>
      <c r="L2" s="134">
        <f>G2/D2</f>
        <v>200.55893909626718</v>
      </c>
      <c r="M2" s="173"/>
      <c r="N2" s="134">
        <f>Emissionsfaktorer!E$11*F2</f>
        <v>285071.89600000001</v>
      </c>
      <c r="O2" s="135">
        <f>Emissionsfaktorer!E$12*G2</f>
        <v>231527.64600000001</v>
      </c>
      <c r="P2" s="124"/>
      <c r="Q2" s="124">
        <v>25073</v>
      </c>
      <c r="R2" s="179">
        <v>18591</v>
      </c>
      <c r="S2" s="134"/>
      <c r="T2" s="134">
        <f t="shared" ref="T2:T12" si="0">Q2*T$30*1.163</f>
        <v>1078916.263</v>
      </c>
      <c r="U2" s="134">
        <f t="shared" ref="U2:U12" si="1">R2*U$30*1.163</f>
        <v>799989.321</v>
      </c>
      <c r="V2" s="134">
        <f>U2-T2</f>
        <v>-278926.94200000004</v>
      </c>
      <c r="W2" s="134">
        <f>U2-S2</f>
        <v>799989.321</v>
      </c>
      <c r="X2" s="134"/>
      <c r="Y2" s="134">
        <f t="shared" ref="Y2:Y13" si="2">T2/D2</f>
        <v>353.27971938441391</v>
      </c>
      <c r="Z2" s="134">
        <f t="shared" ref="Z2:Z13" si="3">U2/D2</f>
        <v>261.94804223968566</v>
      </c>
      <c r="AA2" s="124"/>
      <c r="AB2" s="134"/>
      <c r="AC2" s="134">
        <f>Emissionsfaktorer!E$17*T2</f>
        <v>107891.6263</v>
      </c>
      <c r="AD2" s="135">
        <f>Emissionsfaktorer!E$18*U2</f>
        <v>74399.006852999999</v>
      </c>
      <c r="AE2" s="173"/>
      <c r="AF2" s="134">
        <f>N2+AC2</f>
        <v>392963.52230000001</v>
      </c>
      <c r="AG2" s="134">
        <f>O2+AD2</f>
        <v>305926.65285299998</v>
      </c>
      <c r="AH2" s="134">
        <f>AG2-AF2</f>
        <v>-87036.869447000034</v>
      </c>
      <c r="AI2" s="135">
        <f t="shared" ref="AI2:AI13" si="4">AG2/D2</f>
        <v>100.17244690667975</v>
      </c>
      <c r="AJ2" s="134">
        <f t="shared" ref="AJ2:AJ11" si="5">((T2*0.8)/(1.219))+(T2*0.2)</f>
        <v>923849.70903970464</v>
      </c>
      <c r="AK2" s="134">
        <f t="shared" ref="AK2:AK11" si="6">((U2*0.8)/(0.9571))+(U2*0.2)</f>
        <v>828675.59568051412</v>
      </c>
      <c r="AL2" s="134">
        <f>T2/1.219</f>
        <v>885083.07054963079</v>
      </c>
      <c r="AM2" s="134">
        <f>U2/0.9571</f>
        <v>835847.16435064259</v>
      </c>
      <c r="AN2" s="134">
        <f t="shared" ref="AN2:AN11" si="7">AK2-AJ2</f>
        <v>-95174.113359190524</v>
      </c>
      <c r="AO2" s="134">
        <f t="shared" ref="AO2:AO11" si="8">AJ2/D2</f>
        <v>302.50481631948418</v>
      </c>
      <c r="AP2" s="134">
        <f t="shared" ref="AP2:AP11" si="9">AK2/D2</f>
        <v>271.34105948936286</v>
      </c>
      <c r="AQ2" s="124">
        <f>Emissionsfaktorer!E$16</f>
        <v>8.5999999999999993E-2</v>
      </c>
      <c r="AR2" s="134">
        <f t="shared" ref="AR2:AR11" si="10">AQ2*AJ2</f>
        <v>79451.074977414595</v>
      </c>
      <c r="AS2" s="135">
        <f t="shared" ref="AS2:AS11" si="11">AQ2*AK2</f>
        <v>71266.101228524203</v>
      </c>
      <c r="AT2">
        <f t="shared" ref="AT2:AT12" si="12">AL2*AQ2</f>
        <v>76117.144067268237</v>
      </c>
      <c r="AU2" s="173">
        <f t="shared" ref="AU2:AU12" si="13">AM2*AQ2</f>
        <v>71882.856134155256</v>
      </c>
      <c r="AV2" s="134">
        <f t="shared" ref="AV2:AV11" si="14">N2+AR2</f>
        <v>364522.97097741463</v>
      </c>
      <c r="AW2" s="134">
        <f t="shared" ref="AW2:AW11" si="15">O2+AS2</f>
        <v>302793.74722852418</v>
      </c>
      <c r="AX2" s="134">
        <f t="shared" ref="AX2:AX12" si="16">N2+AT2</f>
        <v>361189.04006726824</v>
      </c>
      <c r="AY2" s="134">
        <f t="shared" ref="AY2:AY12" si="17">O2+AU2</f>
        <v>303410.50213415525</v>
      </c>
      <c r="AZ2" s="134">
        <f>AW2-AV2</f>
        <v>-61729.22374889045</v>
      </c>
      <c r="BA2" s="134">
        <f>AW2-AU2</f>
        <v>230910.89109436894</v>
      </c>
      <c r="BB2" s="134">
        <f t="shared" ref="BB2:BB11" si="18">AW2/D2</f>
        <v>99.146610094474198</v>
      </c>
      <c r="BC2" s="37"/>
    </row>
    <row r="3" spans="1:55">
      <c r="A3" s="8" t="s">
        <v>123</v>
      </c>
      <c r="B3" s="86" t="s">
        <v>155</v>
      </c>
      <c r="C3" s="5" t="s">
        <v>155</v>
      </c>
      <c r="D3" s="140">
        <v>5527</v>
      </c>
      <c r="E3" s="129"/>
      <c r="F3" s="124">
        <v>306985</v>
      </c>
      <c r="G3" s="124">
        <v>303261</v>
      </c>
      <c r="H3" s="124">
        <f t="shared" ref="H3:H12" si="19">G3-F3</f>
        <v>-3724</v>
      </c>
      <c r="I3" s="124">
        <f t="shared" ref="I3:I12" si="20">G3-E3</f>
        <v>303261</v>
      </c>
      <c r="J3" s="134"/>
      <c r="K3" s="134">
        <f t="shared" ref="K3:K13" si="21">F3/D3</f>
        <v>55.542789940293105</v>
      </c>
      <c r="L3" s="134">
        <f t="shared" ref="L3:L13" si="22">G3/D3</f>
        <v>54.869006694409265</v>
      </c>
      <c r="M3" s="173"/>
      <c r="N3" s="134">
        <f>Emissionsfaktorer!E$11*F3</f>
        <v>137836.26500000001</v>
      </c>
      <c r="O3" s="135">
        <f>Emissionsfaktorer!E$12*G3</f>
        <v>114632.658</v>
      </c>
      <c r="P3" s="124"/>
      <c r="Q3" s="124">
        <v>18755</v>
      </c>
      <c r="R3" s="124">
        <v>18296</v>
      </c>
      <c r="S3" s="134"/>
      <c r="T3" s="134">
        <f t="shared" si="0"/>
        <v>807046.40500000003</v>
      </c>
      <c r="U3" s="134">
        <f t="shared" si="1"/>
        <v>787295.17599999998</v>
      </c>
      <c r="V3" s="134">
        <f t="shared" ref="V3:V12" si="23">U3-T3</f>
        <v>-19751.22900000005</v>
      </c>
      <c r="W3" s="134">
        <f t="shared" ref="W3:W12" si="24">U3-S3</f>
        <v>787295.17599999998</v>
      </c>
      <c r="X3" s="134"/>
      <c r="Y3" s="134">
        <f t="shared" si="2"/>
        <v>146.01888999457211</v>
      </c>
      <c r="Z3" s="134">
        <f t="shared" si="3"/>
        <v>142.44530052469693</v>
      </c>
      <c r="AA3" s="124"/>
      <c r="AB3" s="134"/>
      <c r="AC3" s="134">
        <f>Emissionsfaktorer!E$17*T3</f>
        <v>80704.640500000009</v>
      </c>
      <c r="AD3" s="135">
        <f>Emissionsfaktorer!E$18*U3</f>
        <v>73218.451367999995</v>
      </c>
      <c r="AE3" s="173"/>
      <c r="AF3" s="134">
        <f t="shared" ref="AF3:AF12" si="25">N3+AC3</f>
        <v>218540.90550000002</v>
      </c>
      <c r="AG3" s="134">
        <f t="shared" ref="AG3:AG12" si="26">O3+AD3</f>
        <v>187851.109368</v>
      </c>
      <c r="AH3" s="134">
        <f t="shared" ref="AH3:AH12" si="27">AG3-AF3</f>
        <v>-30689.796132000018</v>
      </c>
      <c r="AI3" s="135">
        <f t="shared" si="4"/>
        <v>33.987897479283518</v>
      </c>
      <c r="AJ3" s="134">
        <f t="shared" si="5"/>
        <v>691054.17353486479</v>
      </c>
      <c r="AK3" s="134">
        <f t="shared" si="6"/>
        <v>815526.25994140643</v>
      </c>
      <c r="AL3" s="134">
        <f t="shared" ref="AL3:AL12" si="28">T3/1.219</f>
        <v>662056.11566858075</v>
      </c>
      <c r="AM3" s="134">
        <f t="shared" ref="AM3:AM12" si="29">U3/0.9571</f>
        <v>822584.03092675796</v>
      </c>
      <c r="AN3" s="134">
        <f t="shared" si="7"/>
        <v>124472.08640654164</v>
      </c>
      <c r="AO3" s="134">
        <f t="shared" si="8"/>
        <v>125.03241786409713</v>
      </c>
      <c r="AP3" s="134">
        <f t="shared" si="9"/>
        <v>147.55314998035217</v>
      </c>
      <c r="AQ3" s="124">
        <f>Emissionsfaktorer!E$16</f>
        <v>8.5999999999999993E-2</v>
      </c>
      <c r="AR3" s="134">
        <f t="shared" si="10"/>
        <v>59430.658923998366</v>
      </c>
      <c r="AS3" s="135">
        <f t="shared" si="11"/>
        <v>70135.258354960941</v>
      </c>
      <c r="AT3">
        <f t="shared" si="12"/>
        <v>56936.825947497942</v>
      </c>
      <c r="AU3" s="173">
        <f t="shared" si="13"/>
        <v>70742.226659701177</v>
      </c>
      <c r="AV3" s="134">
        <f t="shared" si="14"/>
        <v>197266.92392399837</v>
      </c>
      <c r="AW3" s="134">
        <f t="shared" si="15"/>
        <v>184767.91635496094</v>
      </c>
      <c r="AX3" s="134">
        <f t="shared" si="16"/>
        <v>194773.09094749796</v>
      </c>
      <c r="AY3" s="134">
        <f t="shared" si="17"/>
        <v>185374.88465970117</v>
      </c>
      <c r="AZ3" s="134">
        <f t="shared" ref="AZ3:AZ12" si="30">AW3-AV3</f>
        <v>-12499.007569037436</v>
      </c>
      <c r="BA3" s="134">
        <f t="shared" ref="BA3:BA12" si="31">AW3-AU3</f>
        <v>114025.68969525976</v>
      </c>
      <c r="BB3" s="134">
        <f t="shared" si="18"/>
        <v>33.430055428796983</v>
      </c>
      <c r="BC3" s="37"/>
    </row>
    <row r="4" spans="1:55">
      <c r="A4" s="7" t="s">
        <v>119</v>
      </c>
      <c r="B4" s="86" t="s">
        <v>150</v>
      </c>
      <c r="C4" s="5" t="s">
        <v>119</v>
      </c>
      <c r="D4" s="141">
        <v>2269</v>
      </c>
      <c r="E4" s="129"/>
      <c r="F4" s="124">
        <v>86581</v>
      </c>
      <c r="G4" s="124">
        <v>86531</v>
      </c>
      <c r="H4" s="124">
        <f t="shared" si="19"/>
        <v>-50</v>
      </c>
      <c r="I4" s="124">
        <f t="shared" si="20"/>
        <v>86531</v>
      </c>
      <c r="J4" s="134"/>
      <c r="K4" s="134">
        <f t="shared" si="21"/>
        <v>38.158219479947114</v>
      </c>
      <c r="L4" s="134">
        <f t="shared" si="22"/>
        <v>38.136183340678713</v>
      </c>
      <c r="M4" s="173"/>
      <c r="N4" s="134">
        <f>Emissionsfaktorer!E$11*F4</f>
        <v>38874.868999999999</v>
      </c>
      <c r="O4" s="135">
        <f>Emissionsfaktorer!E$12*G4</f>
        <v>32708.718000000001</v>
      </c>
      <c r="P4" s="124"/>
      <c r="Q4" s="124">
        <v>5513</v>
      </c>
      <c r="R4" s="124">
        <v>4910</v>
      </c>
      <c r="S4" s="134"/>
      <c r="T4" s="134">
        <f t="shared" si="0"/>
        <v>237229.90300000002</v>
      </c>
      <c r="U4" s="134">
        <f t="shared" si="1"/>
        <v>211282.21</v>
      </c>
      <c r="V4" s="134">
        <f t="shared" si="23"/>
        <v>-25947.693000000028</v>
      </c>
      <c r="W4" s="134">
        <f t="shared" si="24"/>
        <v>211282.21</v>
      </c>
      <c r="X4" s="134"/>
      <c r="Y4" s="134">
        <f t="shared" si="2"/>
        <v>104.55262362274131</v>
      </c>
      <c r="Z4" s="134">
        <f t="shared" si="3"/>
        <v>93.116884089907444</v>
      </c>
      <c r="AA4" s="124"/>
      <c r="AB4" s="134"/>
      <c r="AC4" s="134">
        <f>Emissionsfaktorer!E$17*T4</f>
        <v>23722.990300000005</v>
      </c>
      <c r="AD4" s="135">
        <f>Emissionsfaktorer!E$18*U4</f>
        <v>19649.24553</v>
      </c>
      <c r="AE4" s="173"/>
      <c r="AF4" s="134">
        <f t="shared" si="25"/>
        <v>62597.859300000004</v>
      </c>
      <c r="AG4" s="134">
        <f t="shared" si="26"/>
        <v>52357.963530000001</v>
      </c>
      <c r="AH4" s="134">
        <f t="shared" si="27"/>
        <v>-10239.895770000003</v>
      </c>
      <c r="AI4" s="135">
        <f t="shared" si="4"/>
        <v>23.075347523137946</v>
      </c>
      <c r="AJ4" s="134">
        <f t="shared" si="5"/>
        <v>203134.18601427402</v>
      </c>
      <c r="AK4" s="134">
        <f t="shared" si="6"/>
        <v>218858.43552209804</v>
      </c>
      <c r="AL4" s="134">
        <f t="shared" si="28"/>
        <v>194610.25676784251</v>
      </c>
      <c r="AM4" s="134">
        <f t="shared" si="29"/>
        <v>220752.49190262251</v>
      </c>
      <c r="AN4" s="134">
        <f t="shared" si="7"/>
        <v>15724.249507824017</v>
      </c>
      <c r="AO4" s="134">
        <f t="shared" si="8"/>
        <v>89.525864263672986</v>
      </c>
      <c r="AP4" s="134">
        <f t="shared" si="9"/>
        <v>96.455899304582658</v>
      </c>
      <c r="AQ4" s="124">
        <f>Emissionsfaktorer!E$16</f>
        <v>8.5999999999999993E-2</v>
      </c>
      <c r="AR4" s="134">
        <f t="shared" si="10"/>
        <v>17469.539997227563</v>
      </c>
      <c r="AS4" s="135">
        <f t="shared" si="11"/>
        <v>18821.82545490043</v>
      </c>
      <c r="AT4">
        <f t="shared" si="12"/>
        <v>16736.482082034454</v>
      </c>
      <c r="AU4" s="173">
        <f t="shared" si="13"/>
        <v>18984.714303625533</v>
      </c>
      <c r="AV4" s="134">
        <f t="shared" si="14"/>
        <v>56344.408997227561</v>
      </c>
      <c r="AW4" s="134">
        <f t="shared" si="15"/>
        <v>51530.543454900428</v>
      </c>
      <c r="AX4" s="134">
        <f t="shared" si="16"/>
        <v>55611.351082034453</v>
      </c>
      <c r="AY4" s="134">
        <f t="shared" si="17"/>
        <v>51693.432303625537</v>
      </c>
      <c r="AZ4" s="134">
        <f t="shared" si="30"/>
        <v>-4813.8655423271339</v>
      </c>
      <c r="BA4" s="134">
        <f t="shared" si="31"/>
        <v>32545.829151274895</v>
      </c>
      <c r="BB4" s="134">
        <f t="shared" si="18"/>
        <v>22.710684642970659</v>
      </c>
      <c r="BC4" s="37"/>
    </row>
    <row r="5" spans="1:55">
      <c r="A5" s="83" t="s">
        <v>121</v>
      </c>
      <c r="B5" s="86" t="s">
        <v>152</v>
      </c>
      <c r="C5" s="5" t="s">
        <v>160</v>
      </c>
      <c r="D5" s="139">
        <v>584</v>
      </c>
      <c r="E5" s="129"/>
      <c r="F5" s="124">
        <v>15284</v>
      </c>
      <c r="G5" s="204">
        <v>15380</v>
      </c>
      <c r="H5" s="124">
        <f t="shared" si="19"/>
        <v>96</v>
      </c>
      <c r="I5" s="124">
        <f t="shared" si="20"/>
        <v>15380</v>
      </c>
      <c r="J5" s="134"/>
      <c r="K5" s="134">
        <f t="shared" si="21"/>
        <v>26.171232876712327</v>
      </c>
      <c r="L5" s="134">
        <f t="shared" si="22"/>
        <v>26.335616438356166</v>
      </c>
      <c r="M5" s="173"/>
      <c r="N5" s="134">
        <f>Emissionsfaktorer!E$11*F5</f>
        <v>6862.5160000000005</v>
      </c>
      <c r="O5" s="135">
        <f>Emissionsfaktorer!E$12*G5</f>
        <v>5813.64</v>
      </c>
      <c r="P5" s="124"/>
      <c r="Q5" s="124">
        <v>2660</v>
      </c>
      <c r="R5" s="204">
        <v>2148</v>
      </c>
      <c r="S5" s="134"/>
      <c r="T5" s="134">
        <f t="shared" si="0"/>
        <v>114462.46</v>
      </c>
      <c r="U5" s="134">
        <f t="shared" si="1"/>
        <v>92430.588000000003</v>
      </c>
      <c r="V5" s="134">
        <f t="shared" si="23"/>
        <v>-22031.872000000003</v>
      </c>
      <c r="W5" s="134">
        <f t="shared" si="24"/>
        <v>92430.588000000003</v>
      </c>
      <c r="X5" s="134"/>
      <c r="Y5" s="134">
        <f t="shared" si="2"/>
        <v>195.99736301369865</v>
      </c>
      <c r="Z5" s="134">
        <f t="shared" si="3"/>
        <v>158.27155479452054</v>
      </c>
      <c r="AA5" s="124"/>
      <c r="AB5" s="134"/>
      <c r="AC5" s="134">
        <f>Emissionsfaktorer!E$17*T5</f>
        <v>11446.246000000001</v>
      </c>
      <c r="AD5" s="135">
        <f>Emissionsfaktorer!E$18*U5</f>
        <v>8596.0446840000004</v>
      </c>
      <c r="AE5" s="173"/>
      <c r="AF5" s="134">
        <f t="shared" si="25"/>
        <v>18308.762000000002</v>
      </c>
      <c r="AG5" s="134">
        <f t="shared" si="26"/>
        <v>14409.684684</v>
      </c>
      <c r="AH5" s="134">
        <f t="shared" si="27"/>
        <v>-3899.0773160000026</v>
      </c>
      <c r="AI5" s="135">
        <f t="shared" si="4"/>
        <v>24.67411760958904</v>
      </c>
      <c r="AJ5" s="134">
        <f t="shared" si="5"/>
        <v>98011.415707957349</v>
      </c>
      <c r="AK5" s="134">
        <f t="shared" si="6"/>
        <v>95744.993788486056</v>
      </c>
      <c r="AL5" s="134">
        <f t="shared" si="28"/>
        <v>93898.654634946681</v>
      </c>
      <c r="AM5" s="134">
        <f t="shared" si="29"/>
        <v>96573.595235607572</v>
      </c>
      <c r="AN5" s="134">
        <f t="shared" si="7"/>
        <v>-2266.4219194712932</v>
      </c>
      <c r="AO5" s="134">
        <f t="shared" si="8"/>
        <v>167.82776662321464</v>
      </c>
      <c r="AP5" s="134">
        <f t="shared" si="9"/>
        <v>163.94690717206515</v>
      </c>
      <c r="AQ5" s="124">
        <f>Emissionsfaktorer!E$16</f>
        <v>8.5999999999999993E-2</v>
      </c>
      <c r="AR5" s="134">
        <f t="shared" si="10"/>
        <v>8428.9817508843316</v>
      </c>
      <c r="AS5" s="135">
        <f t="shared" si="11"/>
        <v>8234.0694658098</v>
      </c>
      <c r="AT5">
        <f t="shared" si="12"/>
        <v>8075.2842986054138</v>
      </c>
      <c r="AU5" s="173">
        <f t="shared" si="13"/>
        <v>8305.3291902622514</v>
      </c>
      <c r="AV5" s="134">
        <f t="shared" si="14"/>
        <v>15291.497750884333</v>
      </c>
      <c r="AW5" s="134">
        <f t="shared" si="15"/>
        <v>14047.709465809799</v>
      </c>
      <c r="AX5" s="134">
        <f t="shared" si="16"/>
        <v>14937.800298605414</v>
      </c>
      <c r="AY5" s="134">
        <f t="shared" si="17"/>
        <v>14118.969190262251</v>
      </c>
      <c r="AZ5" s="134">
        <f t="shared" si="30"/>
        <v>-1243.7882850745336</v>
      </c>
      <c r="BA5" s="134">
        <f t="shared" si="31"/>
        <v>5742.3802755475481</v>
      </c>
      <c r="BB5" s="134">
        <f t="shared" si="18"/>
        <v>24.054297030496233</v>
      </c>
      <c r="BC5" s="37"/>
    </row>
    <row r="6" spans="1:55">
      <c r="A6" s="7" t="s">
        <v>118</v>
      </c>
      <c r="B6" s="86" t="s">
        <v>149</v>
      </c>
      <c r="C6" s="5" t="s">
        <v>149</v>
      </c>
      <c r="D6" s="140">
        <v>6871</v>
      </c>
      <c r="E6" s="129"/>
      <c r="F6" s="124">
        <v>205070</v>
      </c>
      <c r="G6" s="124">
        <v>198887</v>
      </c>
      <c r="H6" s="124">
        <f t="shared" si="19"/>
        <v>-6183</v>
      </c>
      <c r="I6" s="124">
        <f t="shared" si="20"/>
        <v>198887</v>
      </c>
      <c r="J6" s="134"/>
      <c r="K6" s="134">
        <f t="shared" si="21"/>
        <v>29.845728423810218</v>
      </c>
      <c r="L6" s="134">
        <f t="shared" si="22"/>
        <v>28.945859409110756</v>
      </c>
      <c r="M6" s="173"/>
      <c r="N6" s="134">
        <f>Emissionsfaktorer!E$11*F6</f>
        <v>92076.430000000008</v>
      </c>
      <c r="O6" s="135">
        <f>Emissionsfaktorer!E$12*G6</f>
        <v>75179.286000000007</v>
      </c>
      <c r="P6" s="124"/>
      <c r="Q6" s="124">
        <v>18523</v>
      </c>
      <c r="R6" s="124">
        <v>15902</v>
      </c>
      <c r="S6" s="134"/>
      <c r="T6" s="134">
        <f t="shared" si="0"/>
        <v>797063.21299999999</v>
      </c>
      <c r="U6" s="134">
        <f t="shared" si="1"/>
        <v>684278.96200000006</v>
      </c>
      <c r="V6" s="134">
        <f t="shared" si="23"/>
        <v>-112784.25099999993</v>
      </c>
      <c r="W6" s="134">
        <f t="shared" si="24"/>
        <v>684278.96200000006</v>
      </c>
      <c r="X6" s="134"/>
      <c r="Y6" s="134">
        <f t="shared" si="2"/>
        <v>116.00396055887062</v>
      </c>
      <c r="Z6" s="134">
        <f t="shared" si="3"/>
        <v>99.589428321932772</v>
      </c>
      <c r="AA6" s="124"/>
      <c r="AB6" s="134"/>
      <c r="AC6" s="134">
        <f>Emissionsfaktorer!E$17*T6</f>
        <v>79706.321300000011</v>
      </c>
      <c r="AD6" s="135">
        <f>Emissionsfaktorer!E$18*U6</f>
        <v>63637.943466000004</v>
      </c>
      <c r="AE6" s="173"/>
      <c r="AF6" s="134">
        <f t="shared" si="25"/>
        <v>171782.7513</v>
      </c>
      <c r="AG6" s="134">
        <f t="shared" si="26"/>
        <v>138817.22946600002</v>
      </c>
      <c r="AH6" s="134">
        <f t="shared" si="27"/>
        <v>-32965.521833999985</v>
      </c>
      <c r="AI6" s="135">
        <f t="shared" si="4"/>
        <v>20.203351690583617</v>
      </c>
      <c r="AJ6" s="134">
        <f t="shared" si="5"/>
        <v>682505.80945808045</v>
      </c>
      <c r="AK6" s="134">
        <f t="shared" si="6"/>
        <v>708816.05736708816</v>
      </c>
      <c r="AL6" s="134">
        <f t="shared" si="28"/>
        <v>653866.45857260039</v>
      </c>
      <c r="AM6" s="134">
        <f t="shared" si="29"/>
        <v>714950.33120886015</v>
      </c>
      <c r="AN6" s="134">
        <f t="shared" si="7"/>
        <v>26310.24790900771</v>
      </c>
      <c r="AO6" s="134">
        <f t="shared" si="8"/>
        <v>99.3313650790395</v>
      </c>
      <c r="AP6" s="134">
        <f t="shared" si="9"/>
        <v>103.1605381119325</v>
      </c>
      <c r="AQ6" s="124">
        <f>Emissionsfaktorer!E$16</f>
        <v>8.5999999999999993E-2</v>
      </c>
      <c r="AR6" s="134">
        <f t="shared" si="10"/>
        <v>58695.499613394917</v>
      </c>
      <c r="AS6" s="135">
        <f t="shared" si="11"/>
        <v>60958.18093356958</v>
      </c>
      <c r="AT6">
        <f t="shared" si="12"/>
        <v>56232.51543724363</v>
      </c>
      <c r="AU6" s="173">
        <f t="shared" si="13"/>
        <v>61485.728483961968</v>
      </c>
      <c r="AV6" s="134">
        <f t="shared" si="14"/>
        <v>150771.92961339492</v>
      </c>
      <c r="AW6" s="134">
        <f t="shared" si="15"/>
        <v>136137.46693356958</v>
      </c>
      <c r="AX6" s="134">
        <f t="shared" si="16"/>
        <v>148308.94543724364</v>
      </c>
      <c r="AY6" s="134">
        <f t="shared" si="17"/>
        <v>136665.01448396198</v>
      </c>
      <c r="AZ6" s="134">
        <f t="shared" si="30"/>
        <v>-14634.462679825345</v>
      </c>
      <c r="BA6" s="134">
        <f t="shared" si="31"/>
        <v>74651.738449607612</v>
      </c>
      <c r="BB6" s="134">
        <f t="shared" si="18"/>
        <v>19.813341134270061</v>
      </c>
      <c r="BC6" s="37"/>
    </row>
    <row r="7" spans="1:55">
      <c r="A7" s="7" t="s">
        <v>120</v>
      </c>
      <c r="B7" s="86"/>
      <c r="C7" s="5" t="s">
        <v>161</v>
      </c>
      <c r="D7" s="142">
        <v>750</v>
      </c>
      <c r="E7" s="129"/>
      <c r="F7" s="124">
        <v>179506</v>
      </c>
      <c r="G7" s="124">
        <v>149500</v>
      </c>
      <c r="H7" s="124">
        <f t="shared" si="19"/>
        <v>-30006</v>
      </c>
      <c r="I7" s="124">
        <f t="shared" si="20"/>
        <v>149500</v>
      </c>
      <c r="J7" s="134"/>
      <c r="K7" s="134">
        <f t="shared" si="21"/>
        <v>239.34133333333332</v>
      </c>
      <c r="L7" s="134">
        <f t="shared" si="22"/>
        <v>199.33333333333334</v>
      </c>
      <c r="M7" s="173"/>
      <c r="N7" s="134">
        <f>Emissionsfaktorer!E$11*F7</f>
        <v>80598.194000000003</v>
      </c>
      <c r="O7" s="135">
        <f>Emissionsfaktorer!E$12*G7</f>
        <v>56511</v>
      </c>
      <c r="P7" s="124"/>
      <c r="Q7" s="179">
        <v>5559</v>
      </c>
      <c r="R7" s="124">
        <v>4772</v>
      </c>
      <c r="S7" s="134"/>
      <c r="T7" s="134">
        <f t="shared" si="0"/>
        <v>239209.329</v>
      </c>
      <c r="U7" s="134">
        <f t="shared" si="1"/>
        <v>205343.932</v>
      </c>
      <c r="V7" s="134">
        <f t="shared" si="23"/>
        <v>-33865.396999999997</v>
      </c>
      <c r="W7" s="134">
        <f t="shared" si="24"/>
        <v>205343.932</v>
      </c>
      <c r="X7" s="134"/>
      <c r="Y7" s="134">
        <f t="shared" si="2"/>
        <v>318.94577199999998</v>
      </c>
      <c r="Z7" s="134">
        <f t="shared" si="3"/>
        <v>273.79190933333331</v>
      </c>
      <c r="AA7" s="124"/>
      <c r="AB7" s="134"/>
      <c r="AC7" s="134">
        <f>Emissionsfaktorer!E$17*T7</f>
        <v>23920.9329</v>
      </c>
      <c r="AD7" s="135">
        <f>Emissionsfaktorer!E$18*U7</f>
        <v>19096.985676</v>
      </c>
      <c r="AE7" s="173"/>
      <c r="AF7" s="134">
        <f t="shared" si="25"/>
        <v>104519.1269</v>
      </c>
      <c r="AG7" s="134">
        <f t="shared" si="26"/>
        <v>75607.985675999997</v>
      </c>
      <c r="AH7" s="134">
        <f t="shared" si="27"/>
        <v>-28911.141224000006</v>
      </c>
      <c r="AI7" s="135">
        <f t="shared" si="4"/>
        <v>100.81064756799999</v>
      </c>
      <c r="AJ7" s="134">
        <f t="shared" si="5"/>
        <v>204829.12027087776</v>
      </c>
      <c r="AK7" s="134">
        <f t="shared" si="6"/>
        <v>212707.2208373629</v>
      </c>
      <c r="AL7" s="134">
        <f t="shared" si="28"/>
        <v>196234.06808859718</v>
      </c>
      <c r="AM7" s="134">
        <f t="shared" si="29"/>
        <v>214548.04304670359</v>
      </c>
      <c r="AN7" s="134">
        <f t="shared" si="7"/>
        <v>7878.10056648514</v>
      </c>
      <c r="AO7" s="134">
        <f t="shared" si="8"/>
        <v>273.10549369450365</v>
      </c>
      <c r="AP7" s="134">
        <f t="shared" si="9"/>
        <v>283.60962778315053</v>
      </c>
      <c r="AQ7" s="124">
        <f>Emissionsfaktorer!E$16</f>
        <v>8.5999999999999993E-2</v>
      </c>
      <c r="AR7" s="134">
        <f t="shared" si="10"/>
        <v>17615.304343295487</v>
      </c>
      <c r="AS7" s="135">
        <f t="shared" si="11"/>
        <v>18292.820992013207</v>
      </c>
      <c r="AT7">
        <f t="shared" si="12"/>
        <v>16876.129855619358</v>
      </c>
      <c r="AU7" s="173">
        <f t="shared" si="13"/>
        <v>18451.131702016508</v>
      </c>
      <c r="AV7" s="134">
        <f t="shared" si="14"/>
        <v>98213.49834329549</v>
      </c>
      <c r="AW7" s="134">
        <f t="shared" si="15"/>
        <v>74803.820992013207</v>
      </c>
      <c r="AX7" s="134">
        <f t="shared" si="16"/>
        <v>97474.323855619354</v>
      </c>
      <c r="AY7" s="134">
        <f t="shared" si="17"/>
        <v>74962.131702016515</v>
      </c>
      <c r="AZ7" s="134">
        <f t="shared" si="30"/>
        <v>-23409.677351282284</v>
      </c>
      <c r="BA7" s="134">
        <f t="shared" si="31"/>
        <v>56352.689289996699</v>
      </c>
      <c r="BB7" s="134">
        <f t="shared" si="18"/>
        <v>99.738427989350939</v>
      </c>
      <c r="BC7" s="37"/>
    </row>
    <row r="8" spans="1:55" ht="15.75" customHeight="1">
      <c r="A8" s="7" t="s">
        <v>122</v>
      </c>
      <c r="B8" s="86" t="s">
        <v>153</v>
      </c>
      <c r="C8" s="5" t="s">
        <v>162</v>
      </c>
      <c r="D8" s="139">
        <v>4361</v>
      </c>
      <c r="E8" s="129"/>
      <c r="F8" s="124">
        <v>191072</v>
      </c>
      <c r="G8" s="124">
        <v>190070</v>
      </c>
      <c r="H8" s="124">
        <f t="shared" si="19"/>
        <v>-1002</v>
      </c>
      <c r="I8" s="124">
        <f t="shared" si="20"/>
        <v>190070</v>
      </c>
      <c r="J8" s="134"/>
      <c r="K8" s="134">
        <f t="shared" si="21"/>
        <v>43.813804173354733</v>
      </c>
      <c r="L8" s="134">
        <f t="shared" si="22"/>
        <v>43.58404035771612</v>
      </c>
      <c r="M8" s="173"/>
      <c r="N8" s="134">
        <f>Emissionsfaktorer!E$11*F8</f>
        <v>85791.328000000009</v>
      </c>
      <c r="O8" s="135">
        <f>Emissionsfaktorer!E$12*G8</f>
        <v>71846.460000000006</v>
      </c>
      <c r="P8" s="124"/>
      <c r="Q8" s="124">
        <v>13247</v>
      </c>
      <c r="R8" s="124">
        <v>10971</v>
      </c>
      <c r="S8" s="134"/>
      <c r="T8" s="134">
        <f t="shared" si="0"/>
        <v>570031.65700000001</v>
      </c>
      <c r="U8" s="134">
        <f t="shared" si="1"/>
        <v>472093.10100000002</v>
      </c>
      <c r="V8" s="134">
        <f t="shared" si="23"/>
        <v>-97938.555999999982</v>
      </c>
      <c r="W8" s="134">
        <f t="shared" si="24"/>
        <v>472093.10100000002</v>
      </c>
      <c r="X8" s="134"/>
      <c r="Y8" s="134">
        <f t="shared" si="2"/>
        <v>130.71122609493236</v>
      </c>
      <c r="Z8" s="134">
        <f t="shared" si="3"/>
        <v>108.25340541160286</v>
      </c>
      <c r="AA8" s="124"/>
      <c r="AB8" s="134"/>
      <c r="AC8" s="134">
        <f>Emissionsfaktorer!E$17*T8</f>
        <v>57003.165700000005</v>
      </c>
      <c r="AD8" s="135">
        <f>Emissionsfaktorer!E$18*U8</f>
        <v>43904.658393000005</v>
      </c>
      <c r="AE8" s="173"/>
      <c r="AF8" s="134">
        <f t="shared" si="25"/>
        <v>142794.49370000002</v>
      </c>
      <c r="AG8" s="134">
        <f t="shared" si="26"/>
        <v>115751.11839300001</v>
      </c>
      <c r="AH8" s="134">
        <f t="shared" si="27"/>
        <v>-27043.375307000009</v>
      </c>
      <c r="AI8" s="135">
        <f t="shared" si="4"/>
        <v>26.54233395849576</v>
      </c>
      <c r="AJ8" s="134">
        <f t="shared" si="5"/>
        <v>488104.21950500412</v>
      </c>
      <c r="AK8" s="134">
        <f t="shared" si="6"/>
        <v>489021.56743644347</v>
      </c>
      <c r="AL8" s="134">
        <f t="shared" si="28"/>
        <v>467622.36013125512</v>
      </c>
      <c r="AM8" s="134">
        <f t="shared" si="29"/>
        <v>493253.68404555431</v>
      </c>
      <c r="AN8" s="134">
        <f t="shared" si="7"/>
        <v>917.34793143934803</v>
      </c>
      <c r="AO8" s="134">
        <f t="shared" si="8"/>
        <v>111.92483822632518</v>
      </c>
      <c r="AP8" s="134">
        <f t="shared" si="9"/>
        <v>112.13519088200951</v>
      </c>
      <c r="AQ8" s="124">
        <f>Emissionsfaktorer!E$16</f>
        <v>8.5999999999999993E-2</v>
      </c>
      <c r="AR8" s="134">
        <f t="shared" si="10"/>
        <v>41976.962877430349</v>
      </c>
      <c r="AS8" s="135">
        <f t="shared" si="11"/>
        <v>42055.854799534136</v>
      </c>
      <c r="AT8">
        <f t="shared" si="12"/>
        <v>40215.522971287937</v>
      </c>
      <c r="AU8" s="173">
        <f t="shared" si="13"/>
        <v>42419.816827917668</v>
      </c>
      <c r="AV8" s="134">
        <f t="shared" si="14"/>
        <v>127768.29087743035</v>
      </c>
      <c r="AW8" s="134">
        <f t="shared" si="15"/>
        <v>113902.31479953414</v>
      </c>
      <c r="AX8" s="134">
        <f t="shared" si="16"/>
        <v>126006.85097128795</v>
      </c>
      <c r="AY8" s="134">
        <f t="shared" si="17"/>
        <v>114266.27682791767</v>
      </c>
      <c r="AZ8" s="134">
        <f t="shared" si="30"/>
        <v>-13865.976077896208</v>
      </c>
      <c r="BA8" s="134">
        <f t="shared" si="31"/>
        <v>71482.497971616482</v>
      </c>
      <c r="BB8" s="134">
        <f t="shared" si="18"/>
        <v>26.118393671069512</v>
      </c>
      <c r="BC8" s="37"/>
    </row>
    <row r="9" spans="1:55" ht="14.25" customHeight="1">
      <c r="A9" s="14"/>
      <c r="B9" s="10"/>
      <c r="C9" s="5" t="s">
        <v>154</v>
      </c>
      <c r="D9" s="139">
        <v>5765</v>
      </c>
      <c r="E9" s="129"/>
      <c r="F9" s="124">
        <v>848849</v>
      </c>
      <c r="G9" s="204">
        <v>868668</v>
      </c>
      <c r="H9" s="124">
        <f t="shared" si="19"/>
        <v>19819</v>
      </c>
      <c r="I9" s="124">
        <f t="shared" si="20"/>
        <v>868668</v>
      </c>
      <c r="J9" s="134"/>
      <c r="K9" s="134">
        <f t="shared" si="21"/>
        <v>147.24180398959237</v>
      </c>
      <c r="L9" s="134">
        <f t="shared" si="22"/>
        <v>150.679618386817</v>
      </c>
      <c r="M9" s="173"/>
      <c r="N9" s="134">
        <f>Emissionsfaktorer!E$11*F9</f>
        <v>381133.201</v>
      </c>
      <c r="O9" s="135">
        <f>Emissionsfaktorer!E$12*G9</f>
        <v>328356.50400000002</v>
      </c>
      <c r="P9" s="124"/>
      <c r="Q9" s="124">
        <v>18657</v>
      </c>
      <c r="R9" s="124">
        <v>15330</v>
      </c>
      <c r="S9" s="134"/>
      <c r="T9" s="134">
        <f t="shared" si="0"/>
        <v>802829.36699999997</v>
      </c>
      <c r="U9" s="134">
        <f t="shared" si="1"/>
        <v>659665.23</v>
      </c>
      <c r="V9" s="134">
        <f t="shared" si="23"/>
        <v>-143164.13699999999</v>
      </c>
      <c r="W9" s="134">
        <f t="shared" si="24"/>
        <v>659665.23</v>
      </c>
      <c r="X9" s="134"/>
      <c r="Y9" s="134">
        <f t="shared" si="2"/>
        <v>139.25921370338247</v>
      </c>
      <c r="Z9" s="134">
        <f t="shared" si="3"/>
        <v>114.4258855160451</v>
      </c>
      <c r="AA9" s="124"/>
      <c r="AB9" s="134"/>
      <c r="AC9" s="134">
        <f>Emissionsfaktorer!E$17*T9</f>
        <v>80282.936700000006</v>
      </c>
      <c r="AD9" s="135">
        <f>Emissionsfaktorer!E$18*U9</f>
        <v>61348.866389999996</v>
      </c>
      <c r="AE9" s="173"/>
      <c r="AF9" s="134">
        <f t="shared" si="25"/>
        <v>461416.13770000002</v>
      </c>
      <c r="AG9" s="134">
        <f t="shared" si="26"/>
        <v>389705.37039</v>
      </c>
      <c r="AH9" s="134">
        <f t="shared" si="27"/>
        <v>-71710.767310000025</v>
      </c>
      <c r="AI9" s="135">
        <f t="shared" si="4"/>
        <v>67.598503103209026</v>
      </c>
      <c r="AJ9" s="134">
        <f t="shared" si="5"/>
        <v>687443.22664036101</v>
      </c>
      <c r="AK9" s="134">
        <f t="shared" si="6"/>
        <v>683319.71823905548</v>
      </c>
      <c r="AL9" s="134">
        <f t="shared" si="28"/>
        <v>658596.6915504511</v>
      </c>
      <c r="AM9" s="134">
        <f t="shared" si="29"/>
        <v>689233.34029881936</v>
      </c>
      <c r="AN9" s="134">
        <f t="shared" si="7"/>
        <v>-4123.5084013055312</v>
      </c>
      <c r="AO9" s="134">
        <f t="shared" si="8"/>
        <v>119.24427175027945</v>
      </c>
      <c r="AP9" s="134">
        <f t="shared" si="9"/>
        <v>118.52900576566444</v>
      </c>
      <c r="AQ9" s="124">
        <f>Emissionsfaktorer!E$16</f>
        <v>8.5999999999999993E-2</v>
      </c>
      <c r="AR9" s="134">
        <f t="shared" si="10"/>
        <v>59120.11749107104</v>
      </c>
      <c r="AS9" s="135">
        <f t="shared" si="11"/>
        <v>58765.495768558765</v>
      </c>
      <c r="AT9">
        <f t="shared" si="12"/>
        <v>56639.315473338793</v>
      </c>
      <c r="AU9" s="173">
        <f t="shared" si="13"/>
        <v>59274.067265698461</v>
      </c>
      <c r="AV9" s="134">
        <f t="shared" si="14"/>
        <v>440253.31849107106</v>
      </c>
      <c r="AW9" s="134">
        <f t="shared" si="15"/>
        <v>387121.99976855877</v>
      </c>
      <c r="AX9" s="134">
        <f t="shared" si="16"/>
        <v>437772.51647333882</v>
      </c>
      <c r="AY9" s="134">
        <f t="shared" si="17"/>
        <v>387630.57126569847</v>
      </c>
      <c r="AZ9" s="134">
        <f t="shared" si="30"/>
        <v>-53131.318722512282</v>
      </c>
      <c r="BA9" s="134">
        <f t="shared" si="31"/>
        <v>327847.93250286032</v>
      </c>
      <c r="BB9" s="134">
        <f t="shared" si="18"/>
        <v>67.150390246063964</v>
      </c>
      <c r="BC9" s="37"/>
    </row>
    <row r="10" spans="1:55">
      <c r="A10" s="7" t="s">
        <v>124</v>
      </c>
      <c r="B10" s="86" t="s">
        <v>156</v>
      </c>
      <c r="C10" s="5" t="s">
        <v>163</v>
      </c>
      <c r="D10" s="140">
        <v>4089</v>
      </c>
      <c r="E10" s="129"/>
      <c r="F10" s="124">
        <v>170976</v>
      </c>
      <c r="G10" s="124">
        <v>163185</v>
      </c>
      <c r="H10" s="124">
        <f t="shared" si="19"/>
        <v>-7791</v>
      </c>
      <c r="I10" s="124">
        <f t="shared" si="20"/>
        <v>163185</v>
      </c>
      <c r="J10" s="134"/>
      <c r="K10" s="134">
        <f t="shared" si="21"/>
        <v>41.813646368305207</v>
      </c>
      <c r="L10" s="134">
        <f t="shared" si="22"/>
        <v>39.908290535583269</v>
      </c>
      <c r="M10" s="173"/>
      <c r="N10" s="134">
        <f>Emissionsfaktorer!E$11*F10</f>
        <v>76768.224000000002</v>
      </c>
      <c r="O10" s="135">
        <f>Emissionsfaktorer!E$12*G10</f>
        <v>61683.93</v>
      </c>
      <c r="P10" s="124"/>
      <c r="Q10" s="124">
        <v>6398</v>
      </c>
      <c r="R10" s="124">
        <v>6191</v>
      </c>
      <c r="S10" s="134"/>
      <c r="T10" s="134">
        <f t="shared" si="0"/>
        <v>275312.33799999999</v>
      </c>
      <c r="U10" s="134">
        <f t="shared" si="1"/>
        <v>266404.92100000003</v>
      </c>
      <c r="V10" s="134">
        <f t="shared" si="23"/>
        <v>-8907.4169999999576</v>
      </c>
      <c r="W10" s="134">
        <f t="shared" si="24"/>
        <v>266404.92100000003</v>
      </c>
      <c r="X10" s="134"/>
      <c r="Y10" s="134">
        <f t="shared" si="2"/>
        <v>67.329992174125707</v>
      </c>
      <c r="Z10" s="134">
        <f t="shared" si="3"/>
        <v>65.151606994375157</v>
      </c>
      <c r="AA10" s="124"/>
      <c r="AB10" s="134"/>
      <c r="AC10" s="134">
        <f>Emissionsfaktorer!E$17*T10</f>
        <v>27531.233800000002</v>
      </c>
      <c r="AD10" s="135">
        <f>Emissionsfaktorer!E$18*U10</f>
        <v>24775.657653000002</v>
      </c>
      <c r="AE10" s="173"/>
      <c r="AF10" s="134">
        <f t="shared" si="25"/>
        <v>104299.4578</v>
      </c>
      <c r="AG10" s="134">
        <f t="shared" si="26"/>
        <v>86459.587652999995</v>
      </c>
      <c r="AH10" s="134">
        <f t="shared" si="27"/>
        <v>-17839.870147000009</v>
      </c>
      <c r="AI10" s="135">
        <f t="shared" si="4"/>
        <v>21.144433272927365</v>
      </c>
      <c r="AJ10" s="134">
        <f t="shared" si="5"/>
        <v>235743.2472554553</v>
      </c>
      <c r="AK10" s="134">
        <f t="shared" si="6"/>
        <v>275957.75444344379</v>
      </c>
      <c r="AL10" s="134">
        <f t="shared" si="28"/>
        <v>225850.97456931908</v>
      </c>
      <c r="AM10" s="134">
        <f t="shared" si="29"/>
        <v>278345.96280430473</v>
      </c>
      <c r="AN10" s="134">
        <f t="shared" si="7"/>
        <v>40214.507187988493</v>
      </c>
      <c r="AO10" s="134">
        <f t="shared" si="8"/>
        <v>57.653031855088116</v>
      </c>
      <c r="AP10" s="134">
        <f t="shared" si="9"/>
        <v>67.487834297736313</v>
      </c>
      <c r="AQ10" s="124">
        <f>Emissionsfaktorer!E$16</f>
        <v>8.5999999999999993E-2</v>
      </c>
      <c r="AR10" s="134">
        <f t="shared" si="10"/>
        <v>20273.919263969154</v>
      </c>
      <c r="AS10" s="135">
        <f t="shared" si="11"/>
        <v>23732.366882136164</v>
      </c>
      <c r="AT10">
        <f t="shared" si="12"/>
        <v>19423.183812961441</v>
      </c>
      <c r="AU10" s="173">
        <f t="shared" si="13"/>
        <v>23937.752801170205</v>
      </c>
      <c r="AV10" s="134">
        <f t="shared" si="14"/>
        <v>97042.143263969163</v>
      </c>
      <c r="AW10" s="134">
        <f t="shared" si="15"/>
        <v>85416.296882136172</v>
      </c>
      <c r="AX10" s="134">
        <f t="shared" si="16"/>
        <v>96191.407812961435</v>
      </c>
      <c r="AY10" s="134">
        <f t="shared" si="17"/>
        <v>85621.682801170202</v>
      </c>
      <c r="AZ10" s="134">
        <f t="shared" si="30"/>
        <v>-11625.846381832991</v>
      </c>
      <c r="BA10" s="134">
        <f t="shared" si="31"/>
        <v>61478.544080965963</v>
      </c>
      <c r="BB10" s="134">
        <f t="shared" si="18"/>
        <v>20.889287572055803</v>
      </c>
      <c r="BC10" s="37"/>
    </row>
    <row r="11" spans="1:55">
      <c r="A11" s="7"/>
      <c r="B11" s="86"/>
      <c r="C11" s="64" t="s">
        <v>358</v>
      </c>
      <c r="D11" s="241">
        <v>14675</v>
      </c>
      <c r="E11" s="225"/>
      <c r="F11" s="204">
        <v>1262029</v>
      </c>
      <c r="G11" s="204">
        <v>1219520</v>
      </c>
      <c r="H11" s="124">
        <f t="shared" si="19"/>
        <v>-42509</v>
      </c>
      <c r="I11" s="124">
        <f t="shared" si="20"/>
        <v>1219520</v>
      </c>
      <c r="J11" s="134"/>
      <c r="K11" s="134">
        <f t="shared" si="21"/>
        <v>85.998568994889268</v>
      </c>
      <c r="L11" s="134">
        <f t="shared" si="22"/>
        <v>83.101873935264052</v>
      </c>
      <c r="M11" s="173"/>
      <c r="N11" s="134">
        <f>Emissionsfaktorer!E$11*F11</f>
        <v>566651.02100000007</v>
      </c>
      <c r="O11" s="135">
        <f>Emissionsfaktorer!E$12*G11</f>
        <v>460978.56</v>
      </c>
      <c r="P11" s="124"/>
      <c r="Q11" s="124">
        <v>18353</v>
      </c>
      <c r="R11" s="179">
        <v>14787</v>
      </c>
      <c r="S11" s="134"/>
      <c r="T11" s="134">
        <f t="shared" si="0"/>
        <v>789747.94299999997</v>
      </c>
      <c r="U11" s="134">
        <f t="shared" si="1"/>
        <v>636299.397</v>
      </c>
      <c r="V11" s="134">
        <f t="shared" si="23"/>
        <v>-153448.54599999997</v>
      </c>
      <c r="W11" s="134">
        <f t="shared" si="24"/>
        <v>636299.397</v>
      </c>
      <c r="X11" s="134"/>
      <c r="Y11" s="134">
        <f t="shared" si="2"/>
        <v>53.815873458262352</v>
      </c>
      <c r="Z11" s="134">
        <f t="shared" si="3"/>
        <v>43.3594137649063</v>
      </c>
      <c r="AA11" s="124"/>
      <c r="AB11" s="134"/>
      <c r="AC11" s="134">
        <f>Emissionsfaktorer!E$17*T11</f>
        <v>78974.794300000009</v>
      </c>
      <c r="AD11" s="135">
        <f>Emissionsfaktorer!E$18*U11</f>
        <v>59175.843921</v>
      </c>
      <c r="AE11" s="173"/>
      <c r="AF11" s="134">
        <f t="shared" si="25"/>
        <v>645625.81530000013</v>
      </c>
      <c r="AG11" s="134">
        <f t="shared" si="26"/>
        <v>520154.40392100002</v>
      </c>
      <c r="AH11" s="134">
        <f t="shared" si="27"/>
        <v>-125471.41137900011</v>
      </c>
      <c r="AI11" s="135">
        <f t="shared" si="4"/>
        <v>35.444933827666098</v>
      </c>
      <c r="AJ11" s="134">
        <f t="shared" si="5"/>
        <v>676241.92198802298</v>
      </c>
      <c r="AK11" s="134">
        <f t="shared" si="6"/>
        <v>659116.02567520633</v>
      </c>
      <c r="AL11" s="134">
        <f t="shared" si="28"/>
        <v>647865.41673502862</v>
      </c>
      <c r="AM11" s="134">
        <f t="shared" si="29"/>
        <v>664820.18284400797</v>
      </c>
      <c r="AN11" s="134">
        <f t="shared" si="7"/>
        <v>-17125.896312816651</v>
      </c>
      <c r="AO11" s="134">
        <f t="shared" si="8"/>
        <v>46.08122125983121</v>
      </c>
      <c r="AP11" s="134">
        <f t="shared" si="9"/>
        <v>44.914209586044727</v>
      </c>
      <c r="AQ11" s="124">
        <f>Emissionsfaktorer!E$16</f>
        <v>8.5999999999999993E-2</v>
      </c>
      <c r="AR11" s="134">
        <f t="shared" si="10"/>
        <v>58156.805290969969</v>
      </c>
      <c r="AS11" s="135">
        <f t="shared" si="11"/>
        <v>56683.97820806774</v>
      </c>
      <c r="AT11">
        <f t="shared" si="12"/>
        <v>55716.425839212454</v>
      </c>
      <c r="AU11" s="173">
        <f t="shared" si="13"/>
        <v>57174.535724584683</v>
      </c>
      <c r="AV11" s="134">
        <f t="shared" si="14"/>
        <v>624807.82629097009</v>
      </c>
      <c r="AW11" s="134">
        <f t="shared" si="15"/>
        <v>517662.53820806777</v>
      </c>
      <c r="AX11" s="134">
        <f t="shared" si="16"/>
        <v>622367.44683921256</v>
      </c>
      <c r="AY11" s="134">
        <f t="shared" si="17"/>
        <v>518153.09572458465</v>
      </c>
      <c r="AZ11" s="134">
        <f t="shared" si="30"/>
        <v>-107145.28808290232</v>
      </c>
      <c r="BA11" s="134">
        <f t="shared" si="31"/>
        <v>460488.00248348305</v>
      </c>
      <c r="BB11" s="134">
        <f t="shared" si="18"/>
        <v>35.275130371929663</v>
      </c>
      <c r="BC11" s="37"/>
    </row>
    <row r="12" spans="1:55">
      <c r="A12" s="14"/>
      <c r="B12" s="10"/>
      <c r="C12" s="5" t="s">
        <v>164</v>
      </c>
      <c r="D12" s="139">
        <v>447</v>
      </c>
      <c r="E12" s="129"/>
      <c r="F12" s="124">
        <v>29286</v>
      </c>
      <c r="G12" s="124">
        <v>28098</v>
      </c>
      <c r="H12" s="124">
        <f t="shared" si="19"/>
        <v>-1188</v>
      </c>
      <c r="I12" s="124">
        <f t="shared" si="20"/>
        <v>28098</v>
      </c>
      <c r="J12" s="134"/>
      <c r="K12" s="134">
        <f t="shared" si="21"/>
        <v>65.516778523489933</v>
      </c>
      <c r="L12" s="134">
        <f t="shared" si="22"/>
        <v>62.859060402684563</v>
      </c>
      <c r="M12" s="173"/>
      <c r="N12" s="134">
        <f>Emissionsfaktorer!E$11*F12</f>
        <v>13149.414000000001</v>
      </c>
      <c r="O12" s="135">
        <f>Emissionsfaktorer!E$12*G12</f>
        <v>10621.044</v>
      </c>
      <c r="P12" s="124"/>
      <c r="Q12" s="124">
        <v>1791</v>
      </c>
      <c r="R12" s="124">
        <v>1426</v>
      </c>
      <c r="S12" s="134"/>
      <c r="T12" s="134">
        <f t="shared" si="0"/>
        <v>77068.521000000008</v>
      </c>
      <c r="U12" s="134">
        <f t="shared" si="1"/>
        <v>61362.205999999998</v>
      </c>
      <c r="V12" s="134">
        <f t="shared" si="23"/>
        <v>-15706.31500000001</v>
      </c>
      <c r="W12" s="134">
        <f t="shared" si="24"/>
        <v>61362.205999999998</v>
      </c>
      <c r="X12" s="134"/>
      <c r="Y12" s="134">
        <f t="shared" si="2"/>
        <v>172.41279865771813</v>
      </c>
      <c r="Z12" s="134">
        <f t="shared" si="3"/>
        <v>137.27562863534675</v>
      </c>
      <c r="AA12" s="124"/>
      <c r="AB12" s="134"/>
      <c r="AC12" s="134">
        <f>Emissionsfaktorer!E$17*T12</f>
        <v>7706.852100000001</v>
      </c>
      <c r="AD12" s="135">
        <f>Emissionsfaktorer!E$18*U12</f>
        <v>5706.6851580000002</v>
      </c>
      <c r="AE12" s="173"/>
      <c r="AF12" s="134">
        <f t="shared" si="25"/>
        <v>20856.266100000001</v>
      </c>
      <c r="AG12" s="134">
        <f t="shared" si="26"/>
        <v>16327.729158</v>
      </c>
      <c r="AH12" s="134">
        <f t="shared" si="27"/>
        <v>-4528.5369420000006</v>
      </c>
      <c r="AI12" s="135">
        <f t="shared" si="4"/>
        <v>36.527358295302015</v>
      </c>
      <c r="AJ12" s="134">
        <f>((T12*0.8)/(1.219))+(T12*0.2)</f>
        <v>65991.896816899098</v>
      </c>
      <c r="AK12" s="134">
        <f>((U12*0.8)/(0.9571))+(U12*0.2)</f>
        <v>63562.551742263095</v>
      </c>
      <c r="AL12" s="134">
        <f t="shared" si="28"/>
        <v>63222.740771123877</v>
      </c>
      <c r="AM12" s="134">
        <f t="shared" si="29"/>
        <v>64112.638177828856</v>
      </c>
      <c r="AN12" s="134">
        <f>AK12-AJ12</f>
        <v>-2429.3450746360031</v>
      </c>
      <c r="AO12" s="134">
        <f>AJ12/D12</f>
        <v>147.63287878500915</v>
      </c>
      <c r="AP12" s="134">
        <f>AK12/D12</f>
        <v>142.19810233168477</v>
      </c>
      <c r="AQ12" s="124">
        <f>Emissionsfaktorer!E$16</f>
        <v>8.5999999999999993E-2</v>
      </c>
      <c r="AR12" s="134">
        <f>AQ12*AJ12</f>
        <v>5675.3031262533223</v>
      </c>
      <c r="AS12" s="135">
        <f>AQ12*AK12</f>
        <v>5466.379449834626</v>
      </c>
      <c r="AT12">
        <f t="shared" si="12"/>
        <v>5437.1557063166529</v>
      </c>
      <c r="AU12" s="173">
        <f t="shared" si="13"/>
        <v>5513.6868832932814</v>
      </c>
      <c r="AV12" s="134">
        <f>N12+AR12</f>
        <v>18824.717126253323</v>
      </c>
      <c r="AW12" s="134">
        <f>O12+AS12</f>
        <v>16087.423449834627</v>
      </c>
      <c r="AX12" s="134">
        <f t="shared" si="16"/>
        <v>18586.569706316652</v>
      </c>
      <c r="AY12" s="134">
        <f t="shared" si="17"/>
        <v>16134.730883293281</v>
      </c>
      <c r="AZ12" s="134">
        <f t="shared" si="30"/>
        <v>-2737.2936764186961</v>
      </c>
      <c r="BA12" s="134">
        <f t="shared" si="31"/>
        <v>10573.736566541345</v>
      </c>
      <c r="BB12" s="134">
        <f>AW12/D12</f>
        <v>35.989761632739658</v>
      </c>
      <c r="BC12" s="37"/>
    </row>
    <row r="13" spans="1:55" s="62" customFormat="1">
      <c r="A13" s="84" t="s">
        <v>280</v>
      </c>
      <c r="B13" s="202"/>
      <c r="C13" s="25"/>
      <c r="D13" s="178">
        <f>SUM(D2:D12)</f>
        <v>48392</v>
      </c>
      <c r="E13" s="131"/>
      <c r="F13" s="131">
        <f>SUM(F2:F12)</f>
        <v>3930542</v>
      </c>
      <c r="G13" s="131">
        <f>SUM(G2:G12)</f>
        <v>3835607</v>
      </c>
      <c r="H13" s="131">
        <f>SUM(H2:H12)</f>
        <v>-94935</v>
      </c>
      <c r="I13" s="131">
        <f>SUM(I2:I12)</f>
        <v>3835607</v>
      </c>
      <c r="J13" s="132"/>
      <c r="K13" s="192">
        <f t="shared" si="21"/>
        <v>81.222970738965117</v>
      </c>
      <c r="L13" s="192">
        <f t="shared" si="22"/>
        <v>79.261179533807237</v>
      </c>
      <c r="M13" s="288"/>
      <c r="N13" s="132">
        <f>SUM(N2:N12)</f>
        <v>1764813.3580000002</v>
      </c>
      <c r="O13" s="132">
        <f>SUM(O2:O12)</f>
        <v>1449859.446</v>
      </c>
      <c r="P13" s="130"/>
      <c r="Q13" s="131">
        <f>SUM(Q2:Q12)</f>
        <v>134529</v>
      </c>
      <c r="R13" s="131">
        <f>SUM(R2:R12)</f>
        <v>113324</v>
      </c>
      <c r="S13" s="288"/>
      <c r="T13" s="132">
        <f>SUM(T2:T12)</f>
        <v>5788917.3990000002</v>
      </c>
      <c r="U13" s="132">
        <f>SUM(U2:U12)</f>
        <v>4876445.0440000007</v>
      </c>
      <c r="V13" s="132">
        <f>SUM(V2:V12)</f>
        <v>-912472.35499999998</v>
      </c>
      <c r="W13" s="132">
        <f>SUM(W2:W12)</f>
        <v>4876445.0440000007</v>
      </c>
      <c r="X13" s="192"/>
      <c r="Y13" s="192">
        <f t="shared" si="2"/>
        <v>119.62550419490826</v>
      </c>
      <c r="Z13" s="192">
        <f t="shared" si="3"/>
        <v>100.76965291783767</v>
      </c>
      <c r="AA13" s="131"/>
      <c r="AB13" s="132"/>
      <c r="AC13" s="132">
        <f>SUM(AC2:AC12)</f>
        <v>578891.73990000016</v>
      </c>
      <c r="AD13" s="133">
        <f>SUM(AD2:AD12)</f>
        <v>453509.38909199997</v>
      </c>
      <c r="AE13" s="130"/>
      <c r="AF13" s="131">
        <f>SUM(AF2:AF12)</f>
        <v>2343705.0979000004</v>
      </c>
      <c r="AG13" s="131">
        <f>SUM(AG2:AG12)</f>
        <v>1903368.835092</v>
      </c>
      <c r="AH13" s="131">
        <f>SUM(AH2:AH12)</f>
        <v>-440336.2628080002</v>
      </c>
      <c r="AI13" s="133">
        <f t="shared" si="4"/>
        <v>39.332303585138035</v>
      </c>
      <c r="AJ13" s="132">
        <f>SUM(AJ2:AJ12)</f>
        <v>4956908.9262315007</v>
      </c>
      <c r="AK13" s="132">
        <f>SUM(AK2:AK12)</f>
        <v>5051306.1806733683</v>
      </c>
      <c r="AL13" s="132">
        <f>SUM(AL2:AL12)</f>
        <v>4748906.8080393765</v>
      </c>
      <c r="AM13" s="132">
        <f>SUM(AM2:AM12)</f>
        <v>5095021.4648417095</v>
      </c>
      <c r="AN13" s="132">
        <f>SUM(AN2:AN12)</f>
        <v>94397.254441866346</v>
      </c>
      <c r="AO13" s="192">
        <f>AJ13/D13</f>
        <v>102.43240465844562</v>
      </c>
      <c r="AP13" s="192">
        <f>AK13/D13</f>
        <v>104.3830835814467</v>
      </c>
      <c r="AQ13" s="131"/>
      <c r="AR13" s="132">
        <f t="shared" ref="AR13:BA13" si="32">SUM(AR2:AR12)</f>
        <v>426294.16765590908</v>
      </c>
      <c r="AS13" s="133">
        <f t="shared" si="32"/>
        <v>434412.33153790951</v>
      </c>
      <c r="AT13" s="132">
        <f t="shared" si="32"/>
        <v>408405.98549138627</v>
      </c>
      <c r="AU13" s="133">
        <f t="shared" si="32"/>
        <v>438171.84597638698</v>
      </c>
      <c r="AV13" s="131">
        <f t="shared" si="32"/>
        <v>2191107.5256559094</v>
      </c>
      <c r="AW13" s="131">
        <f t="shared" si="32"/>
        <v>1884271.7775379096</v>
      </c>
      <c r="AX13" s="131">
        <f t="shared" si="32"/>
        <v>2173219.3434913862</v>
      </c>
      <c r="AY13" s="131">
        <f t="shared" si="32"/>
        <v>1888031.2919763871</v>
      </c>
      <c r="AZ13" s="131">
        <f t="shared" si="32"/>
        <v>-306835.74811799976</v>
      </c>
      <c r="BA13" s="131">
        <f t="shared" si="32"/>
        <v>1446099.9315615224</v>
      </c>
      <c r="BB13" s="133">
        <f>AW13/D13</f>
        <v>38.937671051783553</v>
      </c>
      <c r="BC13" s="201"/>
    </row>
    <row r="14" spans="1:55" ht="44.25" customHeight="1">
      <c r="A14" s="85" t="s">
        <v>243</v>
      </c>
      <c r="B14" s="22" t="s">
        <v>158</v>
      </c>
      <c r="C14" s="35" t="s">
        <v>245</v>
      </c>
      <c r="D14" s="138" t="s">
        <v>265</v>
      </c>
      <c r="E14" s="79"/>
      <c r="F14" s="78" t="s">
        <v>266</v>
      </c>
      <c r="G14" s="78" t="s">
        <v>267</v>
      </c>
      <c r="H14" s="76" t="s">
        <v>384</v>
      </c>
      <c r="I14" s="76" t="s">
        <v>385</v>
      </c>
      <c r="J14" s="78"/>
      <c r="K14" s="78" t="s">
        <v>268</v>
      </c>
      <c r="L14" s="78" t="s">
        <v>269</v>
      </c>
      <c r="M14" s="79"/>
      <c r="N14" s="78" t="s">
        <v>270</v>
      </c>
      <c r="O14" s="80" t="s">
        <v>271</v>
      </c>
      <c r="P14" s="78"/>
      <c r="Q14" s="78" t="s">
        <v>374</v>
      </c>
      <c r="R14" s="78" t="s">
        <v>375</v>
      </c>
      <c r="S14" s="78"/>
      <c r="T14" s="78" t="s">
        <v>272</v>
      </c>
      <c r="U14" s="78" t="s">
        <v>273</v>
      </c>
      <c r="V14" s="76" t="s">
        <v>384</v>
      </c>
      <c r="W14" s="76" t="s">
        <v>385</v>
      </c>
      <c r="X14" s="78"/>
      <c r="Y14" s="78" t="s">
        <v>268</v>
      </c>
      <c r="Z14" s="78" t="s">
        <v>269</v>
      </c>
      <c r="AA14" s="78" t="s">
        <v>274</v>
      </c>
      <c r="AB14" s="78"/>
      <c r="AC14" s="78" t="s">
        <v>275</v>
      </c>
      <c r="AD14" s="80" t="s">
        <v>276</v>
      </c>
      <c r="AE14" s="79"/>
      <c r="AF14" s="78" t="s">
        <v>277</v>
      </c>
      <c r="AG14" s="78" t="s">
        <v>278</v>
      </c>
      <c r="AH14" s="76" t="s">
        <v>384</v>
      </c>
      <c r="AI14" s="80" t="s">
        <v>284</v>
      </c>
      <c r="AJ14" s="78" t="s">
        <v>353</v>
      </c>
      <c r="AK14" s="78" t="s">
        <v>354</v>
      </c>
      <c r="AN14" s="76" t="s">
        <v>384</v>
      </c>
      <c r="AO14" s="78" t="s">
        <v>268</v>
      </c>
      <c r="AP14" s="78" t="s">
        <v>269</v>
      </c>
      <c r="AQ14" s="78" t="s">
        <v>274</v>
      </c>
      <c r="AR14" s="78" t="s">
        <v>275</v>
      </c>
      <c r="AS14" s="80" t="s">
        <v>276</v>
      </c>
      <c r="AU14" s="79"/>
      <c r="AV14" s="78" t="s">
        <v>277</v>
      </c>
      <c r="AW14" s="78" t="s">
        <v>278</v>
      </c>
      <c r="AX14" s="78"/>
      <c r="AY14" s="78"/>
      <c r="AZ14" s="76" t="s">
        <v>384</v>
      </c>
      <c r="BA14" s="76" t="s">
        <v>385</v>
      </c>
      <c r="BB14" s="78" t="s">
        <v>284</v>
      </c>
      <c r="BC14" s="22" t="s">
        <v>264</v>
      </c>
    </row>
    <row r="15" spans="1:55">
      <c r="A15" s="31" t="s">
        <v>144</v>
      </c>
      <c r="B15" s="10"/>
      <c r="C15" s="5" t="s">
        <v>253</v>
      </c>
      <c r="D15" s="139">
        <v>763</v>
      </c>
      <c r="E15" s="129"/>
      <c r="F15" s="124">
        <v>39685</v>
      </c>
      <c r="G15" s="124">
        <v>37744</v>
      </c>
      <c r="H15" s="124">
        <f>G15-F15</f>
        <v>-1941</v>
      </c>
      <c r="I15" s="124">
        <f>G15-E15</f>
        <v>37744</v>
      </c>
      <c r="J15" s="134"/>
      <c r="K15" s="134">
        <f>F15/D15</f>
        <v>52.011795543905635</v>
      </c>
      <c r="L15" s="134">
        <f>G15/D15</f>
        <v>49.467889908256879</v>
      </c>
      <c r="M15" s="173"/>
      <c r="N15" s="134">
        <f>Emissionsfaktorer!E$11*F15</f>
        <v>17818.564999999999</v>
      </c>
      <c r="O15" s="135">
        <f>Emissionsfaktorer!E$12*G15</f>
        <v>14267.232</v>
      </c>
      <c r="P15" s="124"/>
      <c r="Q15" s="204">
        <v>2819</v>
      </c>
      <c r="R15" s="204">
        <v>2375</v>
      </c>
      <c r="S15" s="134"/>
      <c r="T15" s="134">
        <f>Q15*T$30*1.163</f>
        <v>121304.38900000001</v>
      </c>
      <c r="U15" s="134">
        <f>R15*U$30*1.163</f>
        <v>102198.625</v>
      </c>
      <c r="V15" s="134">
        <f>U15-T15</f>
        <v>-19105.76400000001</v>
      </c>
      <c r="W15" s="134">
        <f>U15-S15</f>
        <v>102198.625</v>
      </c>
      <c r="X15" s="134"/>
      <c r="Y15" s="134">
        <f>T15/D15</f>
        <v>158.98347182175624</v>
      </c>
      <c r="Z15" s="134">
        <f>U15/D15</f>
        <v>133.94315203145479</v>
      </c>
      <c r="AA15" s="179"/>
      <c r="AB15" s="134"/>
      <c r="AC15" s="134">
        <f>Emissionsfaktorer!E$17*T15</f>
        <v>12130.438900000001</v>
      </c>
      <c r="AD15" s="135">
        <f>Emissionsfaktorer!E$18*U15</f>
        <v>9504.4721250000002</v>
      </c>
      <c r="AE15" s="173"/>
      <c r="AF15" s="134">
        <f>N15+AC15</f>
        <v>29949.0039</v>
      </c>
      <c r="AG15" s="134">
        <f>O15+AD15</f>
        <v>23771.704125</v>
      </c>
      <c r="AH15" s="134">
        <f>AG15-AF15</f>
        <v>-6177.2997749999995</v>
      </c>
      <c r="AI15" s="135">
        <f>AG15/D15</f>
        <v>31.155575524246395</v>
      </c>
      <c r="AJ15" s="134">
        <f>((T15*0.8)/(1.219))+(T15*0.2)</f>
        <v>103869.99281230516</v>
      </c>
      <c r="AK15" s="134">
        <f>((U15*0.8)/(0.9571))+(U15*0.2)</f>
        <v>105863.29620468082</v>
      </c>
      <c r="AL15" s="134">
        <f>T15/1.219</f>
        <v>99511.393765381465</v>
      </c>
      <c r="AM15" s="134">
        <f>U15/0.9571</f>
        <v>106779.46400585101</v>
      </c>
      <c r="AN15" s="134">
        <f>AK15-AJ15</f>
        <v>1993.3033923756593</v>
      </c>
      <c r="AO15" s="134">
        <f>AJ15/D15</f>
        <v>136.13367341062275</v>
      </c>
      <c r="AP15" s="134">
        <f>AK15/D15</f>
        <v>138.74612870862492</v>
      </c>
      <c r="AQ15" s="124">
        <f>Emissionsfaktorer!E$16</f>
        <v>8.5999999999999993E-2</v>
      </c>
      <c r="AR15" s="134">
        <f>AQ15*AJ15</f>
        <v>8932.819381858244</v>
      </c>
      <c r="AS15" s="135">
        <f>AQ15*AK15</f>
        <v>9104.2434736025498</v>
      </c>
      <c r="AT15">
        <f>AL15*AQ15</f>
        <v>8557.9798638228058</v>
      </c>
      <c r="AU15" s="173">
        <f>AM15*AQ15</f>
        <v>9183.0339045031869</v>
      </c>
      <c r="AV15" s="134">
        <f>N15+AR15</f>
        <v>26751.384381858243</v>
      </c>
      <c r="AW15" s="134">
        <f>O15+AS15</f>
        <v>23371.47547360255</v>
      </c>
      <c r="AX15" s="134">
        <f>N15+AT15</f>
        <v>26376.544863822804</v>
      </c>
      <c r="AY15" s="134">
        <f>O15+AU15</f>
        <v>23450.265904503187</v>
      </c>
      <c r="AZ15" s="134">
        <f>AW15-AV15</f>
        <v>-3379.9089082556929</v>
      </c>
      <c r="BA15" s="134">
        <f>AW15-AU15</f>
        <v>14188.441569099363</v>
      </c>
      <c r="BB15" s="134">
        <f>AW15/D15</f>
        <v>30.631029454262844</v>
      </c>
      <c r="BC15" s="37"/>
    </row>
    <row r="16" spans="1:55" s="62" customFormat="1">
      <c r="A16" s="23" t="s">
        <v>280</v>
      </c>
      <c r="B16" s="24"/>
      <c r="C16" s="25"/>
      <c r="D16" s="178">
        <f>SUM(D15:D15)</f>
        <v>763</v>
      </c>
      <c r="E16" s="130"/>
      <c r="F16" s="131">
        <f>SUM(F15:F15)</f>
        <v>39685</v>
      </c>
      <c r="G16" s="131">
        <f>SUM(G15:G15)</f>
        <v>37744</v>
      </c>
      <c r="H16" s="131">
        <f>SUM(H15:H15)</f>
        <v>-1941</v>
      </c>
      <c r="I16" s="131">
        <f>SUM(I15:I15)</f>
        <v>37744</v>
      </c>
      <c r="J16" s="132"/>
      <c r="K16" s="192">
        <f>F16/D16</f>
        <v>52.011795543905635</v>
      </c>
      <c r="L16" s="192">
        <f>G16/D16</f>
        <v>49.467889908256879</v>
      </c>
      <c r="M16" s="288"/>
      <c r="N16" s="132">
        <f>SUM(N15:N15)</f>
        <v>17818.564999999999</v>
      </c>
      <c r="O16" s="132">
        <f>SUM(O15:O15)</f>
        <v>14267.232</v>
      </c>
      <c r="P16" s="130"/>
      <c r="Q16" s="131">
        <f>SUM(Q15:Q15)</f>
        <v>2819</v>
      </c>
      <c r="R16" s="131">
        <f>SUM(R15:R15)</f>
        <v>2375</v>
      </c>
      <c r="S16" s="288"/>
      <c r="T16" s="132">
        <f>SUM(T15:T15)</f>
        <v>121304.38900000001</v>
      </c>
      <c r="U16" s="132">
        <f>SUM(U15:U15)</f>
        <v>102198.625</v>
      </c>
      <c r="V16" s="132">
        <f>SUM(V15:V15)</f>
        <v>-19105.76400000001</v>
      </c>
      <c r="W16" s="132">
        <f>SUM(W15:W15)</f>
        <v>102198.625</v>
      </c>
      <c r="X16" s="192"/>
      <c r="Y16" s="192">
        <f>T16/D16</f>
        <v>158.98347182175624</v>
      </c>
      <c r="Z16" s="192">
        <f>U16/D16</f>
        <v>133.94315203145479</v>
      </c>
      <c r="AA16" s="131"/>
      <c r="AB16" s="132"/>
      <c r="AC16" s="132">
        <f>SUM(AC15:AC15)</f>
        <v>12130.438900000001</v>
      </c>
      <c r="AD16" s="132">
        <f>SUM(AD15:AD15)</f>
        <v>9504.4721250000002</v>
      </c>
      <c r="AE16" s="132"/>
      <c r="AF16" s="132">
        <f>SUM(AF15:AF15)</f>
        <v>29949.0039</v>
      </c>
      <c r="AG16" s="132">
        <f>SUM(AG15:AG15)</f>
        <v>23771.704125</v>
      </c>
      <c r="AH16" s="132">
        <f>SUM(AH15:AH15)</f>
        <v>-6177.2997749999995</v>
      </c>
      <c r="AI16" s="133">
        <f>AG16/D16</f>
        <v>31.155575524246395</v>
      </c>
      <c r="AJ16" s="132">
        <f>SUM(AJ15:AJ15)</f>
        <v>103869.99281230516</v>
      </c>
      <c r="AK16" s="132">
        <f>SUM(AK15:AK15)</f>
        <v>105863.29620468082</v>
      </c>
      <c r="AL16" s="132">
        <f>SUM(AL15:AL15)</f>
        <v>99511.393765381465</v>
      </c>
      <c r="AM16" s="132">
        <f>SUM(AM15:AM15)</f>
        <v>106779.46400585101</v>
      </c>
      <c r="AN16" s="132">
        <f>SUM(AN15:AN15)</f>
        <v>1993.3033923756593</v>
      </c>
      <c r="AO16" s="192">
        <f>AJ16/D16</f>
        <v>136.13367341062275</v>
      </c>
      <c r="AP16" s="192">
        <f>AK16/D16</f>
        <v>138.74612870862492</v>
      </c>
      <c r="AQ16" s="131"/>
      <c r="AR16" s="132">
        <f t="shared" ref="AR16:BA16" si="33">SUM(AR15:AR15)</f>
        <v>8932.819381858244</v>
      </c>
      <c r="AS16" s="132">
        <f t="shared" si="33"/>
        <v>9104.2434736025498</v>
      </c>
      <c r="AT16" s="132">
        <f t="shared" si="33"/>
        <v>8557.9798638228058</v>
      </c>
      <c r="AU16" s="132">
        <f t="shared" si="33"/>
        <v>9183.0339045031869</v>
      </c>
      <c r="AV16" s="132">
        <f t="shared" si="33"/>
        <v>26751.384381858243</v>
      </c>
      <c r="AW16" s="132">
        <f t="shared" si="33"/>
        <v>23371.47547360255</v>
      </c>
      <c r="AX16" s="132">
        <f t="shared" si="33"/>
        <v>26376.544863822804</v>
      </c>
      <c r="AY16" s="132">
        <f t="shared" si="33"/>
        <v>23450.265904503187</v>
      </c>
      <c r="AZ16" s="132">
        <f t="shared" si="33"/>
        <v>-3379.9089082556929</v>
      </c>
      <c r="BA16" s="132">
        <f t="shared" si="33"/>
        <v>14188.441569099363</v>
      </c>
      <c r="BB16" s="133">
        <f>AW16/D16</f>
        <v>30.631029454262844</v>
      </c>
      <c r="BC16" s="201"/>
    </row>
    <row r="17" spans="1:55" ht="44.25" customHeight="1">
      <c r="A17" s="85" t="s">
        <v>246</v>
      </c>
      <c r="B17" s="22" t="s">
        <v>158</v>
      </c>
      <c r="C17" s="35" t="s">
        <v>247</v>
      </c>
      <c r="D17" s="138" t="s">
        <v>265</v>
      </c>
      <c r="E17" s="79"/>
      <c r="F17" s="78" t="s">
        <v>266</v>
      </c>
      <c r="G17" s="78" t="s">
        <v>267</v>
      </c>
      <c r="H17" s="76" t="s">
        <v>384</v>
      </c>
      <c r="I17" s="76" t="s">
        <v>385</v>
      </c>
      <c r="J17" s="78"/>
      <c r="K17" s="78" t="s">
        <v>268</v>
      </c>
      <c r="L17" s="78" t="s">
        <v>269</v>
      </c>
      <c r="M17" s="79"/>
      <c r="N17" s="78" t="s">
        <v>270</v>
      </c>
      <c r="O17" s="80" t="s">
        <v>271</v>
      </c>
      <c r="P17" s="78"/>
      <c r="Q17" s="78" t="s">
        <v>374</v>
      </c>
      <c r="R17" s="78" t="s">
        <v>375</v>
      </c>
      <c r="S17" s="78"/>
      <c r="T17" s="78" t="s">
        <v>272</v>
      </c>
      <c r="U17" s="78" t="s">
        <v>273</v>
      </c>
      <c r="V17" s="76" t="s">
        <v>384</v>
      </c>
      <c r="W17" s="76" t="s">
        <v>385</v>
      </c>
      <c r="X17" s="78"/>
      <c r="Y17" s="78" t="s">
        <v>268</v>
      </c>
      <c r="Z17" s="78" t="s">
        <v>269</v>
      </c>
      <c r="AA17" s="78" t="s">
        <v>274</v>
      </c>
      <c r="AB17" s="78"/>
      <c r="AC17" s="78" t="s">
        <v>275</v>
      </c>
      <c r="AD17" s="80" t="s">
        <v>276</v>
      </c>
      <c r="AE17" s="79"/>
      <c r="AF17" s="78" t="s">
        <v>277</v>
      </c>
      <c r="AG17" s="78" t="s">
        <v>278</v>
      </c>
      <c r="AH17" s="76" t="s">
        <v>384</v>
      </c>
      <c r="AI17" s="80" t="s">
        <v>284</v>
      </c>
      <c r="AJ17" s="78" t="s">
        <v>353</v>
      </c>
      <c r="AK17" s="78" t="s">
        <v>354</v>
      </c>
      <c r="AN17" s="76" t="s">
        <v>384</v>
      </c>
      <c r="AO17" s="78" t="s">
        <v>268</v>
      </c>
      <c r="AP17" s="78" t="s">
        <v>269</v>
      </c>
      <c r="AQ17" s="78" t="s">
        <v>274</v>
      </c>
      <c r="AR17" s="78" t="s">
        <v>275</v>
      </c>
      <c r="AS17" s="80" t="s">
        <v>276</v>
      </c>
      <c r="AU17" s="79"/>
      <c r="AV17" s="78" t="s">
        <v>277</v>
      </c>
      <c r="AW17" s="78" t="s">
        <v>278</v>
      </c>
      <c r="AX17" s="78"/>
      <c r="AY17" s="78"/>
      <c r="AZ17" s="76" t="s">
        <v>384</v>
      </c>
      <c r="BA17" s="76" t="s">
        <v>385</v>
      </c>
      <c r="BB17" s="80" t="s">
        <v>284</v>
      </c>
      <c r="BC17" s="13" t="s">
        <v>264</v>
      </c>
    </row>
    <row r="18" spans="1:55">
      <c r="A18" s="14"/>
      <c r="B18" s="10"/>
      <c r="C18" s="5" t="s">
        <v>254</v>
      </c>
      <c r="D18" s="139">
        <v>1240</v>
      </c>
      <c r="E18" s="116"/>
      <c r="F18" s="116">
        <v>37782</v>
      </c>
      <c r="G18" s="116">
        <v>36579</v>
      </c>
      <c r="H18" s="124">
        <f t="shared" ref="H18:H27" si="34">G18-F18</f>
        <v>-1203</v>
      </c>
      <c r="I18" s="124">
        <f t="shared" ref="I18:I27" si="35">G18-E18</f>
        <v>36579</v>
      </c>
      <c r="J18" s="134"/>
      <c r="K18" s="134">
        <f>F18/D18</f>
        <v>30.469354838709677</v>
      </c>
      <c r="L18" s="134">
        <f>G18/D18</f>
        <v>29.499193548387098</v>
      </c>
      <c r="M18" s="173"/>
      <c r="N18" s="134">
        <f>Emissionsfaktorer!E$11*F18</f>
        <v>16964.117999999999</v>
      </c>
      <c r="O18" s="135">
        <f>Emissionsfaktorer!E$12*G18</f>
        <v>13826.862000000001</v>
      </c>
      <c r="P18" s="116"/>
      <c r="Q18" s="116">
        <v>20301</v>
      </c>
      <c r="R18" s="116">
        <v>17591</v>
      </c>
      <c r="S18" s="134"/>
      <c r="T18" s="134">
        <f t="shared" ref="T18:T27" si="36">Q18*T$30*1.163</f>
        <v>873572.33100000001</v>
      </c>
      <c r="U18" s="134">
        <f t="shared" ref="U18:U27" si="37">R18*U$30*1.163</f>
        <v>756958.321</v>
      </c>
      <c r="V18" s="134">
        <f t="shared" ref="V18:V27" si="38">U18-T18</f>
        <v>-116614.01000000001</v>
      </c>
      <c r="W18" s="134">
        <f t="shared" ref="W18:W27" si="39">U18-S18</f>
        <v>756958.321</v>
      </c>
      <c r="X18" s="134"/>
      <c r="Y18" s="134">
        <f t="shared" ref="Y18:Y29" si="40">T18/D18</f>
        <v>704.49381532258064</v>
      </c>
      <c r="Z18" s="134">
        <f t="shared" ref="Z18:Z29" si="41">U18/D18</f>
        <v>610.45025887096779</v>
      </c>
      <c r="AA18" s="124"/>
      <c r="AB18" s="134"/>
      <c r="AC18" s="134">
        <f>Emissionsfaktorer!E$17*T18</f>
        <v>87357.233100000012</v>
      </c>
      <c r="AD18" s="135">
        <f>Emissionsfaktorer!E$18*U18</f>
        <v>70397.123852999997</v>
      </c>
      <c r="AE18" s="173"/>
      <c r="AF18" s="134">
        <f t="shared" ref="AF18:AF27" si="42">N18+AC18</f>
        <v>104321.35110000001</v>
      </c>
      <c r="AG18" s="134">
        <f t="shared" ref="AG18:AG27" si="43">O18+AD18</f>
        <v>84223.985852999991</v>
      </c>
      <c r="AH18" s="134">
        <f t="shared" ref="AH18:AH27" si="44">AG18-AF18</f>
        <v>-20097.365247000023</v>
      </c>
      <c r="AI18" s="135">
        <f t="shared" ref="AI18:AI30" si="45">AG18/D18</f>
        <v>67.922569236290315</v>
      </c>
      <c r="AJ18" s="134">
        <f t="shared" ref="AJ18:AJ27" si="46">((T18*0.8)/(1.219))+(T18*0.2)</f>
        <v>748018.70311550458</v>
      </c>
      <c r="AK18" s="134">
        <f t="shared" ref="AK18:AK27" si="47">((U18*0.8)/(0.9571))+(U18*0.2)</f>
        <v>784101.57622591162</v>
      </c>
      <c r="AL18" s="134">
        <f t="shared" ref="AL18:AL27" si="48">T18/1.219</f>
        <v>716630.29614438058</v>
      </c>
      <c r="AM18" s="134">
        <f t="shared" ref="AM18:AM27" si="49">U18/0.9571</f>
        <v>790887.39003238955</v>
      </c>
      <c r="AN18" s="134">
        <f t="shared" ref="AN18:AN27" si="50">AK18-AJ18</f>
        <v>36082.873110407032</v>
      </c>
      <c r="AO18" s="134">
        <f>AJ18/D18</f>
        <v>603.24088960927793</v>
      </c>
      <c r="AP18" s="134">
        <f>AK18/D18</f>
        <v>632.33998082734809</v>
      </c>
      <c r="AQ18" s="124">
        <f>Emissionsfaktorer!E$16</f>
        <v>8.5999999999999993E-2</v>
      </c>
      <c r="AR18" s="134">
        <f t="shared" ref="AR18:AR27" si="51">AQ18*AJ18</f>
        <v>64329.608467933387</v>
      </c>
      <c r="AS18" s="135">
        <f t="shared" ref="AS18:AS27" si="52">AQ18*AK18</f>
        <v>67432.7355554284</v>
      </c>
      <c r="AT18">
        <f t="shared" ref="AT18:AT27" si="53">AL18*AQ18</f>
        <v>61630.205468416723</v>
      </c>
      <c r="AU18" s="173">
        <f t="shared" ref="AU18:AU27" si="54">AM18*AQ18</f>
        <v>68016.315542785494</v>
      </c>
      <c r="AV18" s="134">
        <f t="shared" ref="AV18:AW22" si="55">N18+AR18</f>
        <v>81293.726467933389</v>
      </c>
      <c r="AW18" s="134">
        <f t="shared" si="55"/>
        <v>81259.597555428394</v>
      </c>
      <c r="AX18" s="134">
        <f t="shared" ref="AX18:AX27" si="56">N18+AT18</f>
        <v>78594.323468416726</v>
      </c>
      <c r="AY18" s="134">
        <f t="shared" ref="AY18:AY27" si="57">O18+AU18</f>
        <v>81843.177542785503</v>
      </c>
      <c r="AZ18" s="134">
        <f t="shared" ref="AZ18:AZ27" si="58">AW18-AV18</f>
        <v>-34.128912504995242</v>
      </c>
      <c r="BA18" s="134">
        <f t="shared" ref="BA18:BA27" si="59">AW18-AU18</f>
        <v>13243.2820126429</v>
      </c>
      <c r="BB18" s="134">
        <f>AW18/D18</f>
        <v>65.531933512442251</v>
      </c>
      <c r="BC18" s="37"/>
    </row>
    <row r="19" spans="1:55">
      <c r="A19" s="14"/>
      <c r="B19" s="10"/>
      <c r="C19" s="5" t="s">
        <v>157</v>
      </c>
      <c r="D19" s="139">
        <v>8514</v>
      </c>
      <c r="E19" s="116"/>
      <c r="F19" s="116">
        <v>1799066</v>
      </c>
      <c r="G19" s="116">
        <v>1684610</v>
      </c>
      <c r="H19" s="124">
        <f t="shared" si="34"/>
        <v>-114456</v>
      </c>
      <c r="I19" s="124">
        <f t="shared" si="35"/>
        <v>1684610</v>
      </c>
      <c r="J19" s="134"/>
      <c r="K19" s="134">
        <f t="shared" ref="K19:K29" si="60">F19/D19</f>
        <v>211.30678881841672</v>
      </c>
      <c r="L19" s="134">
        <f t="shared" ref="L19:L29" si="61">G19/D19</f>
        <v>197.86351891003054</v>
      </c>
      <c r="M19" s="173"/>
      <c r="N19" s="134">
        <f>Emissionsfaktorer!E$11*F19</f>
        <v>807780.63399999996</v>
      </c>
      <c r="O19" s="135">
        <f>Emissionsfaktorer!E$12*G19</f>
        <v>636782.57999999996</v>
      </c>
      <c r="P19" s="116"/>
      <c r="Q19" s="116">
        <v>75854</v>
      </c>
      <c r="R19" s="116">
        <v>65459</v>
      </c>
      <c r="S19" s="134"/>
      <c r="T19" s="134">
        <f t="shared" si="36"/>
        <v>3264073.4739999999</v>
      </c>
      <c r="U19" s="134">
        <f t="shared" si="37"/>
        <v>2816766.2290000003</v>
      </c>
      <c r="V19" s="134">
        <f t="shared" si="38"/>
        <v>-447307.24499999965</v>
      </c>
      <c r="W19" s="134">
        <f t="shared" si="39"/>
        <v>2816766.2290000003</v>
      </c>
      <c r="X19" s="134"/>
      <c r="Y19" s="134">
        <f t="shared" si="40"/>
        <v>383.37719920131548</v>
      </c>
      <c r="Z19" s="134">
        <f t="shared" si="41"/>
        <v>330.83935036410622</v>
      </c>
      <c r="AA19" s="124"/>
      <c r="AB19" s="134"/>
      <c r="AC19" s="134">
        <f>Emissionsfaktorer!E$17*T19</f>
        <v>326407.34740000003</v>
      </c>
      <c r="AD19" s="135">
        <f>Emissionsfaktorer!E$18*U19</f>
        <v>261959.25929700001</v>
      </c>
      <c r="AE19" s="173"/>
      <c r="AF19" s="134">
        <f t="shared" si="42"/>
        <v>1134187.9813999999</v>
      </c>
      <c r="AG19" s="134">
        <f t="shared" si="43"/>
        <v>898741.83929699997</v>
      </c>
      <c r="AH19" s="134">
        <f t="shared" si="44"/>
        <v>-235446.14210299996</v>
      </c>
      <c r="AI19" s="135">
        <f t="shared" si="45"/>
        <v>105.56046973185342</v>
      </c>
      <c r="AJ19" s="134">
        <f t="shared" si="46"/>
        <v>2794946.5891396226</v>
      </c>
      <c r="AK19" s="134">
        <f t="shared" si="47"/>
        <v>2917770.7394788219</v>
      </c>
      <c r="AL19" s="134">
        <f t="shared" si="48"/>
        <v>2677664.8679245282</v>
      </c>
      <c r="AM19" s="134">
        <f t="shared" si="49"/>
        <v>2943021.867098527</v>
      </c>
      <c r="AN19" s="134">
        <f t="shared" si="50"/>
        <v>122824.15033919923</v>
      </c>
      <c r="AO19" s="134">
        <f>AJ19/D19</f>
        <v>328.2765549846867</v>
      </c>
      <c r="AP19" s="134">
        <f>AK19/D19</f>
        <v>342.7026943245034</v>
      </c>
      <c r="AQ19" s="124">
        <f>Emissionsfaktorer!E$16</f>
        <v>8.5999999999999993E-2</v>
      </c>
      <c r="AR19" s="134">
        <f t="shared" si="51"/>
        <v>240365.40666600753</v>
      </c>
      <c r="AS19" s="135">
        <f t="shared" si="52"/>
        <v>250928.28359517865</v>
      </c>
      <c r="AT19">
        <f t="shared" si="53"/>
        <v>230279.17864150941</v>
      </c>
      <c r="AU19" s="173">
        <f t="shared" si="54"/>
        <v>253099.88057047329</v>
      </c>
      <c r="AV19" s="134">
        <f t="shared" si="55"/>
        <v>1048146.0406660074</v>
      </c>
      <c r="AW19" s="134">
        <f t="shared" si="55"/>
        <v>887710.86359517858</v>
      </c>
      <c r="AX19" s="134">
        <f t="shared" si="56"/>
        <v>1038059.8126415093</v>
      </c>
      <c r="AY19" s="134">
        <f t="shared" si="57"/>
        <v>889882.46057047322</v>
      </c>
      <c r="AZ19" s="134">
        <f t="shared" si="58"/>
        <v>-160435.17707082885</v>
      </c>
      <c r="BA19" s="134">
        <f t="shared" si="59"/>
        <v>634610.98302470532</v>
      </c>
      <c r="BB19" s="134">
        <f>AW19/D19</f>
        <v>104.26484185989882</v>
      </c>
      <c r="BC19" s="37"/>
    </row>
    <row r="20" spans="1:55">
      <c r="A20" s="14"/>
      <c r="B20" s="10"/>
      <c r="C20" s="223" t="s">
        <v>359</v>
      </c>
      <c r="D20" s="241">
        <v>1861</v>
      </c>
      <c r="E20" s="205"/>
      <c r="F20" s="205">
        <v>14259</v>
      </c>
      <c r="G20" s="205">
        <v>12824</v>
      </c>
      <c r="H20" s="124">
        <f t="shared" si="34"/>
        <v>-1435</v>
      </c>
      <c r="I20" s="124">
        <f t="shared" si="35"/>
        <v>12824</v>
      </c>
      <c r="J20" s="134"/>
      <c r="K20" s="134">
        <f>F20/D20</f>
        <v>7.662009672219237</v>
      </c>
      <c r="L20" s="134">
        <f>G20/D20</f>
        <v>6.8909188608275125</v>
      </c>
      <c r="M20" s="173"/>
      <c r="N20" s="134">
        <f>Emissionsfaktorer!E$11*F20</f>
        <v>6402.2910000000002</v>
      </c>
      <c r="O20" s="135">
        <f>Emissionsfaktorer!E$12*G20</f>
        <v>4847.4719999999998</v>
      </c>
      <c r="P20" s="116"/>
      <c r="Q20" s="116"/>
      <c r="R20" s="116"/>
      <c r="S20" s="134"/>
      <c r="T20" s="134">
        <f t="shared" si="36"/>
        <v>0</v>
      </c>
      <c r="U20" s="134">
        <f t="shared" si="37"/>
        <v>0</v>
      </c>
      <c r="V20" s="134">
        <f t="shared" si="38"/>
        <v>0</v>
      </c>
      <c r="W20" s="134">
        <f t="shared" si="39"/>
        <v>0</v>
      </c>
      <c r="X20" s="134"/>
      <c r="Y20" s="134">
        <f t="shared" si="40"/>
        <v>0</v>
      </c>
      <c r="Z20" s="134">
        <f t="shared" si="41"/>
        <v>0</v>
      </c>
      <c r="AA20" s="124"/>
      <c r="AB20" s="134"/>
      <c r="AC20" s="134">
        <f>Emissionsfaktorer!E$17*T20</f>
        <v>0</v>
      </c>
      <c r="AD20" s="135">
        <f>Emissionsfaktorer!E$18*U20</f>
        <v>0</v>
      </c>
      <c r="AE20" s="173"/>
      <c r="AF20" s="134">
        <f t="shared" si="42"/>
        <v>6402.2910000000002</v>
      </c>
      <c r="AG20" s="134">
        <f t="shared" si="43"/>
        <v>4847.4719999999998</v>
      </c>
      <c r="AH20" s="134">
        <f t="shared" si="44"/>
        <v>-1554.8190000000004</v>
      </c>
      <c r="AI20" s="135">
        <f t="shared" si="45"/>
        <v>2.6047673293927995</v>
      </c>
      <c r="AJ20" s="134">
        <f t="shared" si="46"/>
        <v>0</v>
      </c>
      <c r="AK20" s="134">
        <f t="shared" si="47"/>
        <v>0</v>
      </c>
      <c r="AL20" s="134">
        <f t="shared" si="48"/>
        <v>0</v>
      </c>
      <c r="AM20" s="134">
        <f t="shared" si="49"/>
        <v>0</v>
      </c>
      <c r="AN20" s="134">
        <f t="shared" si="50"/>
        <v>0</v>
      </c>
      <c r="AO20" s="134">
        <f>AJ20/D20</f>
        <v>0</v>
      </c>
      <c r="AP20" s="134">
        <f>AK20/D20</f>
        <v>0</v>
      </c>
      <c r="AQ20" s="124">
        <f>Emissionsfaktorer!E$16</f>
        <v>8.5999999999999993E-2</v>
      </c>
      <c r="AR20" s="134">
        <f t="shared" si="51"/>
        <v>0</v>
      </c>
      <c r="AS20" s="135">
        <f t="shared" si="52"/>
        <v>0</v>
      </c>
      <c r="AT20">
        <f t="shared" si="53"/>
        <v>0</v>
      </c>
      <c r="AU20" s="173">
        <f t="shared" si="54"/>
        <v>0</v>
      </c>
      <c r="AV20" s="134">
        <f t="shared" si="55"/>
        <v>6402.2910000000002</v>
      </c>
      <c r="AW20" s="134">
        <f t="shared" si="55"/>
        <v>4847.4719999999998</v>
      </c>
      <c r="AX20" s="134">
        <f t="shared" si="56"/>
        <v>6402.2910000000002</v>
      </c>
      <c r="AY20" s="134">
        <f t="shared" si="57"/>
        <v>4847.4719999999998</v>
      </c>
      <c r="AZ20" s="134">
        <f t="shared" si="58"/>
        <v>-1554.8190000000004</v>
      </c>
      <c r="BA20" s="134">
        <f t="shared" si="59"/>
        <v>4847.4719999999998</v>
      </c>
      <c r="BB20" s="134">
        <f>AW20/D20</f>
        <v>2.6047673293927995</v>
      </c>
      <c r="BC20" s="37"/>
    </row>
    <row r="21" spans="1:55">
      <c r="A21" s="14"/>
      <c r="B21" s="10"/>
      <c r="C21" s="5" t="s">
        <v>255</v>
      </c>
      <c r="D21" s="139">
        <v>128</v>
      </c>
      <c r="E21" s="116"/>
      <c r="F21" s="205">
        <v>3216</v>
      </c>
      <c r="G21" s="116">
        <v>2955</v>
      </c>
      <c r="H21" s="124">
        <f t="shared" si="34"/>
        <v>-261</v>
      </c>
      <c r="I21" s="124">
        <f t="shared" si="35"/>
        <v>2955</v>
      </c>
      <c r="J21" s="134"/>
      <c r="K21" s="134">
        <f t="shared" si="60"/>
        <v>25.125</v>
      </c>
      <c r="L21" s="134">
        <f t="shared" si="61"/>
        <v>23.0859375</v>
      </c>
      <c r="M21" s="173"/>
      <c r="N21" s="134">
        <f>Emissionsfaktorer!E$11*F21</f>
        <v>1443.9839999999999</v>
      </c>
      <c r="O21" s="135">
        <f>Emissionsfaktorer!E$12*G21</f>
        <v>1116.99</v>
      </c>
      <c r="P21" s="116"/>
      <c r="Q21" s="116">
        <v>1655</v>
      </c>
      <c r="R21" s="116">
        <v>1315</v>
      </c>
      <c r="S21" s="134"/>
      <c r="T21" s="134">
        <f t="shared" si="36"/>
        <v>71216.305000000008</v>
      </c>
      <c r="U21" s="134">
        <f t="shared" si="37"/>
        <v>56585.764999999999</v>
      </c>
      <c r="V21" s="134">
        <f t="shared" si="38"/>
        <v>-14630.540000000008</v>
      </c>
      <c r="W21" s="134">
        <f t="shared" si="39"/>
        <v>56585.764999999999</v>
      </c>
      <c r="X21" s="134"/>
      <c r="Y21" s="134">
        <f t="shared" si="40"/>
        <v>556.37738281250006</v>
      </c>
      <c r="Z21" s="134">
        <f t="shared" si="41"/>
        <v>442.0762890625</v>
      </c>
      <c r="AA21" s="124"/>
      <c r="AB21" s="134"/>
      <c r="AC21" s="134">
        <f>Emissionsfaktorer!E$17*T21</f>
        <v>7121.6305000000011</v>
      </c>
      <c r="AD21" s="135">
        <f>Emissionsfaktorer!E$18*U21</f>
        <v>5262.4761449999996</v>
      </c>
      <c r="AE21" s="173"/>
      <c r="AF21" s="134">
        <f t="shared" si="42"/>
        <v>8565.6145000000015</v>
      </c>
      <c r="AG21" s="134">
        <f t="shared" si="43"/>
        <v>6379.4661449999994</v>
      </c>
      <c r="AH21" s="134">
        <f t="shared" si="44"/>
        <v>-2186.1483550000021</v>
      </c>
      <c r="AI21" s="135">
        <f t="shared" si="45"/>
        <v>49.839579257812495</v>
      </c>
      <c r="AJ21" s="134">
        <f t="shared" si="46"/>
        <v>60980.786840853165</v>
      </c>
      <c r="AK21" s="134">
        <f t="shared" si="47"/>
        <v>58614.835582802218</v>
      </c>
      <c r="AL21" s="134">
        <f t="shared" si="48"/>
        <v>58421.907301066451</v>
      </c>
      <c r="AM21" s="134">
        <f t="shared" si="49"/>
        <v>59122.103228502769</v>
      </c>
      <c r="AN21" s="134">
        <f t="shared" si="50"/>
        <v>-2365.9512580509472</v>
      </c>
      <c r="AO21" s="134">
        <f>AJ21/D21</f>
        <v>476.41239719416535</v>
      </c>
      <c r="AP21" s="134">
        <f>AK21/D21</f>
        <v>457.92840299064233</v>
      </c>
      <c r="AQ21" s="124">
        <f>Emissionsfaktorer!E$16</f>
        <v>8.5999999999999993E-2</v>
      </c>
      <c r="AR21" s="134">
        <f t="shared" si="51"/>
        <v>5244.3476683133722</v>
      </c>
      <c r="AS21" s="135">
        <f t="shared" si="52"/>
        <v>5040.8758601209902</v>
      </c>
      <c r="AT21">
        <f t="shared" si="53"/>
        <v>5024.2840278917147</v>
      </c>
      <c r="AU21" s="173">
        <f t="shared" si="54"/>
        <v>5084.5008776512377</v>
      </c>
      <c r="AV21" s="134">
        <f t="shared" si="55"/>
        <v>6688.3316683133726</v>
      </c>
      <c r="AW21" s="134">
        <f t="shared" si="55"/>
        <v>6157.86586012099</v>
      </c>
      <c r="AX21" s="134">
        <f t="shared" si="56"/>
        <v>6468.2680278917142</v>
      </c>
      <c r="AY21" s="134">
        <f t="shared" si="57"/>
        <v>6201.4908776512375</v>
      </c>
      <c r="AZ21" s="134">
        <f t="shared" si="58"/>
        <v>-530.46580819238261</v>
      </c>
      <c r="BA21" s="134">
        <f t="shared" si="59"/>
        <v>1073.3649824697522</v>
      </c>
      <c r="BB21" s="134">
        <f>AW21/D21</f>
        <v>48.108327032195234</v>
      </c>
      <c r="BC21" s="37"/>
    </row>
    <row r="22" spans="1:55">
      <c r="A22" s="14"/>
      <c r="B22" s="10"/>
      <c r="C22" s="223" t="s">
        <v>360</v>
      </c>
      <c r="D22" s="241">
        <v>1486</v>
      </c>
      <c r="E22" s="116"/>
      <c r="F22" s="205">
        <v>15383</v>
      </c>
      <c r="G22" s="205">
        <v>13059</v>
      </c>
      <c r="H22" s="124">
        <f t="shared" si="34"/>
        <v>-2324</v>
      </c>
      <c r="I22" s="124">
        <f t="shared" si="35"/>
        <v>13059</v>
      </c>
      <c r="J22" s="134"/>
      <c r="K22" s="134">
        <f>F22/D22</f>
        <v>10.351951547779274</v>
      </c>
      <c r="L22" s="134">
        <f>G22/D22</f>
        <v>8.7880215343203236</v>
      </c>
      <c r="M22" s="173"/>
      <c r="N22" s="134">
        <f>Emissionsfaktorer!E$11*F22</f>
        <v>6906.9670000000006</v>
      </c>
      <c r="O22" s="135">
        <f>Emissionsfaktorer!E$12*G22</f>
        <v>4936.3019999999997</v>
      </c>
      <c r="P22" s="116"/>
      <c r="Q22" s="116"/>
      <c r="R22" s="116"/>
      <c r="S22" s="134"/>
      <c r="T22" s="134">
        <f t="shared" si="36"/>
        <v>0</v>
      </c>
      <c r="U22" s="134">
        <f t="shared" si="37"/>
        <v>0</v>
      </c>
      <c r="V22" s="134">
        <f t="shared" si="38"/>
        <v>0</v>
      </c>
      <c r="W22" s="134">
        <f t="shared" si="39"/>
        <v>0</v>
      </c>
      <c r="X22" s="134"/>
      <c r="Y22" s="134">
        <f t="shared" si="40"/>
        <v>0</v>
      </c>
      <c r="Z22" s="134">
        <f t="shared" si="41"/>
        <v>0</v>
      </c>
      <c r="AA22" s="124"/>
      <c r="AB22" s="134"/>
      <c r="AC22" s="134">
        <f>Emissionsfaktorer!E$17*T22</f>
        <v>0</v>
      </c>
      <c r="AD22" s="135">
        <f>Emissionsfaktorer!E$18*U22</f>
        <v>0</v>
      </c>
      <c r="AE22" s="173"/>
      <c r="AF22" s="134">
        <f t="shared" si="42"/>
        <v>6906.9670000000006</v>
      </c>
      <c r="AG22" s="134">
        <f t="shared" si="43"/>
        <v>4936.3019999999997</v>
      </c>
      <c r="AH22" s="134">
        <f t="shared" si="44"/>
        <v>-1970.6650000000009</v>
      </c>
      <c r="AI22" s="135">
        <f t="shared" si="45"/>
        <v>3.3218721399730819</v>
      </c>
      <c r="AJ22" s="134">
        <f t="shared" si="46"/>
        <v>0</v>
      </c>
      <c r="AK22" s="134">
        <f t="shared" si="47"/>
        <v>0</v>
      </c>
      <c r="AL22" s="134">
        <f t="shared" si="48"/>
        <v>0</v>
      </c>
      <c r="AM22" s="134">
        <f t="shared" si="49"/>
        <v>0</v>
      </c>
      <c r="AN22" s="134">
        <f t="shared" si="50"/>
        <v>0</v>
      </c>
      <c r="AO22" s="134">
        <f>AJ22/D22</f>
        <v>0</v>
      </c>
      <c r="AP22" s="134">
        <f>AK22/D22</f>
        <v>0</v>
      </c>
      <c r="AQ22" s="124">
        <f>Emissionsfaktorer!E$16</f>
        <v>8.5999999999999993E-2</v>
      </c>
      <c r="AR22" s="134">
        <f t="shared" si="51"/>
        <v>0</v>
      </c>
      <c r="AS22" s="135">
        <f t="shared" si="52"/>
        <v>0</v>
      </c>
      <c r="AT22">
        <f t="shared" si="53"/>
        <v>0</v>
      </c>
      <c r="AU22" s="173">
        <f t="shared" si="54"/>
        <v>0</v>
      </c>
      <c r="AV22" s="134">
        <f t="shared" si="55"/>
        <v>6906.9670000000006</v>
      </c>
      <c r="AW22" s="134">
        <f t="shared" si="55"/>
        <v>4936.3019999999997</v>
      </c>
      <c r="AX22" s="134">
        <f t="shared" si="56"/>
        <v>6906.9670000000006</v>
      </c>
      <c r="AY22" s="134">
        <f t="shared" si="57"/>
        <v>4936.3019999999997</v>
      </c>
      <c r="AZ22" s="134">
        <f t="shared" si="58"/>
        <v>-1970.6650000000009</v>
      </c>
      <c r="BA22" s="134">
        <f t="shared" si="59"/>
        <v>4936.3019999999997</v>
      </c>
      <c r="BB22" s="134">
        <f>AW22/D22</f>
        <v>3.3218721399730819</v>
      </c>
      <c r="BC22" s="37"/>
    </row>
    <row r="23" spans="1:55">
      <c r="A23" s="7" t="s">
        <v>115</v>
      </c>
      <c r="B23" s="86" t="s">
        <v>147</v>
      </c>
      <c r="C23" s="5" t="s">
        <v>147</v>
      </c>
      <c r="D23" s="142">
        <v>319</v>
      </c>
      <c r="E23" s="116"/>
      <c r="F23" s="116">
        <v>23682</v>
      </c>
      <c r="G23" s="205">
        <v>16989</v>
      </c>
      <c r="H23" s="124">
        <f t="shared" si="34"/>
        <v>-6693</v>
      </c>
      <c r="I23" s="124">
        <f t="shared" si="35"/>
        <v>16989</v>
      </c>
      <c r="J23" s="134"/>
      <c r="K23" s="134">
        <f t="shared" si="60"/>
        <v>74.238244514106583</v>
      </c>
      <c r="L23" s="134">
        <f t="shared" si="61"/>
        <v>53.257053291536053</v>
      </c>
      <c r="M23" s="173"/>
      <c r="N23" s="134">
        <f>Emissionsfaktorer!E$11*F23</f>
        <v>10633.218000000001</v>
      </c>
      <c r="O23" s="135">
        <f>Emissionsfaktorer!E$12*G23</f>
        <v>6421.8419999999996</v>
      </c>
      <c r="P23" s="116"/>
      <c r="Q23" s="116">
        <v>1980</v>
      </c>
      <c r="R23" s="116">
        <v>1568</v>
      </c>
      <c r="S23" s="134"/>
      <c r="T23" s="134">
        <f t="shared" si="36"/>
        <v>85201.38</v>
      </c>
      <c r="U23" s="134">
        <f t="shared" si="37"/>
        <v>67472.608000000007</v>
      </c>
      <c r="V23" s="134">
        <f t="shared" si="38"/>
        <v>-17728.771999999997</v>
      </c>
      <c r="W23" s="134">
        <f t="shared" si="39"/>
        <v>67472.608000000007</v>
      </c>
      <c r="X23" s="134"/>
      <c r="Y23" s="134">
        <f t="shared" si="40"/>
        <v>267.08896551724138</v>
      </c>
      <c r="Z23" s="134">
        <f t="shared" si="41"/>
        <v>211.51287774294673</v>
      </c>
      <c r="AA23" s="124"/>
      <c r="AB23" s="134"/>
      <c r="AC23" s="134">
        <f>Emissionsfaktorer!E$17*T23</f>
        <v>8520.1380000000008</v>
      </c>
      <c r="AD23" s="135">
        <f>Emissionsfaktorer!E$18*U23</f>
        <v>6274.9525440000007</v>
      </c>
      <c r="AE23" s="173"/>
      <c r="AF23" s="134">
        <f t="shared" si="42"/>
        <v>19153.356</v>
      </c>
      <c r="AG23" s="134">
        <f t="shared" si="43"/>
        <v>12696.794544</v>
      </c>
      <c r="AH23" s="134">
        <f t="shared" si="44"/>
        <v>-6456.5614559999995</v>
      </c>
      <c r="AI23" s="135">
        <f t="shared" si="45"/>
        <v>39.801863774294674</v>
      </c>
      <c r="AJ23" s="134">
        <f t="shared" si="46"/>
        <v>72955.865827727655</v>
      </c>
      <c r="AK23" s="134">
        <f t="shared" si="47"/>
        <v>69892.062504816655</v>
      </c>
      <c r="AL23" s="134">
        <f t="shared" si="48"/>
        <v>69894.487284659554</v>
      </c>
      <c r="AM23" s="134">
        <f t="shared" si="49"/>
        <v>70496.926131020809</v>
      </c>
      <c r="AN23" s="134">
        <f t="shared" si="50"/>
        <v>-3063.8033229110006</v>
      </c>
      <c r="AO23" s="134">
        <f t="shared" ref="AO23:AO29" si="62">AJ23/D23</f>
        <v>228.70177375463214</v>
      </c>
      <c r="AP23" s="134">
        <f t="shared" ref="AP23:AP29" si="63">AK23/D23</f>
        <v>219.09737462324969</v>
      </c>
      <c r="AQ23" s="124">
        <f>Emissionsfaktorer!E$16</f>
        <v>8.5999999999999993E-2</v>
      </c>
      <c r="AR23" s="134">
        <f t="shared" si="51"/>
        <v>6274.2044611845777</v>
      </c>
      <c r="AS23" s="135">
        <f t="shared" si="52"/>
        <v>6010.7173754142323</v>
      </c>
      <c r="AT23">
        <f t="shared" si="53"/>
        <v>6010.9259064807211</v>
      </c>
      <c r="AU23" s="173">
        <f t="shared" si="54"/>
        <v>6062.7356472677893</v>
      </c>
      <c r="AV23" s="134">
        <f t="shared" ref="AV23:AW27" si="64">N23+AR23</f>
        <v>16907.422461184578</v>
      </c>
      <c r="AW23" s="134">
        <f t="shared" si="64"/>
        <v>12432.559375414232</v>
      </c>
      <c r="AX23" s="134">
        <f t="shared" si="56"/>
        <v>16644.14390648072</v>
      </c>
      <c r="AY23" s="134">
        <f t="shared" si="57"/>
        <v>12484.57764726779</v>
      </c>
      <c r="AZ23" s="134">
        <f t="shared" si="58"/>
        <v>-4474.8630857703465</v>
      </c>
      <c r="BA23" s="134">
        <f t="shared" si="59"/>
        <v>6369.8237281464426</v>
      </c>
      <c r="BB23" s="134">
        <f t="shared" ref="BB23:BB30" si="65">AW23/D23</f>
        <v>38.973540361800097</v>
      </c>
      <c r="BC23" s="37"/>
    </row>
    <row r="24" spans="1:55" ht="30">
      <c r="A24" s="7" t="s">
        <v>116</v>
      </c>
      <c r="B24" s="86" t="s">
        <v>148</v>
      </c>
      <c r="C24" s="5" t="s">
        <v>256</v>
      </c>
      <c r="D24" s="141">
        <v>2052</v>
      </c>
      <c r="E24" s="116"/>
      <c r="F24" s="116">
        <v>8616</v>
      </c>
      <c r="G24" s="116">
        <v>7564</v>
      </c>
      <c r="H24" s="124">
        <f t="shared" si="34"/>
        <v>-1052</v>
      </c>
      <c r="I24" s="124">
        <f t="shared" si="35"/>
        <v>7564</v>
      </c>
      <c r="J24" s="134"/>
      <c r="K24" s="134">
        <f t="shared" si="60"/>
        <v>4.1988304093567255</v>
      </c>
      <c r="L24" s="134">
        <f t="shared" si="61"/>
        <v>3.6861598440545809</v>
      </c>
      <c r="M24" s="173"/>
      <c r="N24" s="134">
        <f>Emissionsfaktorer!E$11*F24</f>
        <v>3868.5840000000003</v>
      </c>
      <c r="O24" s="135">
        <f>Emissionsfaktorer!E$12*G24</f>
        <v>2859.192</v>
      </c>
      <c r="P24" s="116"/>
      <c r="Q24" s="116">
        <v>3059</v>
      </c>
      <c r="R24" s="116">
        <v>2584</v>
      </c>
      <c r="S24" s="134"/>
      <c r="T24" s="134">
        <f t="shared" si="36"/>
        <v>131631.829</v>
      </c>
      <c r="U24" s="134">
        <f t="shared" si="37"/>
        <v>111192.10400000001</v>
      </c>
      <c r="V24" s="134">
        <f t="shared" si="38"/>
        <v>-20439.724999999991</v>
      </c>
      <c r="W24" s="134">
        <f t="shared" si="39"/>
        <v>111192.10400000001</v>
      </c>
      <c r="X24" s="134"/>
      <c r="Y24" s="134">
        <f t="shared" si="40"/>
        <v>64.148064814814816</v>
      </c>
      <c r="Z24" s="134">
        <f t="shared" si="41"/>
        <v>54.187185185185186</v>
      </c>
      <c r="AA24" s="124"/>
      <c r="AB24" s="134"/>
      <c r="AC24" s="134">
        <f>Emissionsfaktorer!E$17*T24</f>
        <v>13163.1829</v>
      </c>
      <c r="AD24" s="135">
        <f>Emissionsfaktorer!E$18*U24</f>
        <v>10340.865672</v>
      </c>
      <c r="AE24" s="173"/>
      <c r="AF24" s="134">
        <f t="shared" si="42"/>
        <v>17031.766899999999</v>
      </c>
      <c r="AG24" s="134">
        <f t="shared" si="43"/>
        <v>13200.057671999999</v>
      </c>
      <c r="AH24" s="134">
        <f t="shared" si="44"/>
        <v>-3831.7092279999997</v>
      </c>
      <c r="AI24" s="135">
        <f t="shared" si="45"/>
        <v>6.4327766432748534</v>
      </c>
      <c r="AJ24" s="134">
        <f t="shared" si="46"/>
        <v>112713.12806415094</v>
      </c>
      <c r="AK24" s="134">
        <f t="shared" si="47"/>
        <v>115179.26627069275</v>
      </c>
      <c r="AL24" s="134">
        <f t="shared" si="48"/>
        <v>107983.45283018867</v>
      </c>
      <c r="AM24" s="134">
        <f t="shared" si="49"/>
        <v>116176.05683836591</v>
      </c>
      <c r="AN24" s="134">
        <f t="shared" si="50"/>
        <v>2466.1382065418147</v>
      </c>
      <c r="AO24" s="134">
        <f t="shared" si="62"/>
        <v>54.928424982529698</v>
      </c>
      <c r="AP24" s="134">
        <f t="shared" si="63"/>
        <v>56.130246720610501</v>
      </c>
      <c r="AQ24" s="124">
        <f>Emissionsfaktorer!E$16</f>
        <v>8.5999999999999993E-2</v>
      </c>
      <c r="AR24" s="134">
        <f t="shared" si="51"/>
        <v>9693.3290135169791</v>
      </c>
      <c r="AS24" s="135">
        <f t="shared" si="52"/>
        <v>9905.4168992795767</v>
      </c>
      <c r="AT24">
        <f t="shared" si="53"/>
        <v>9286.576943396225</v>
      </c>
      <c r="AU24" s="173">
        <f t="shared" si="54"/>
        <v>9991.1408880994677</v>
      </c>
      <c r="AV24" s="134">
        <f t="shared" si="64"/>
        <v>13561.91301351698</v>
      </c>
      <c r="AW24" s="134">
        <f t="shared" si="64"/>
        <v>12764.608899279578</v>
      </c>
      <c r="AX24" s="134">
        <f t="shared" si="56"/>
        <v>13155.160943396226</v>
      </c>
      <c r="AY24" s="134">
        <f t="shared" si="57"/>
        <v>12850.332888099467</v>
      </c>
      <c r="AZ24" s="134">
        <f t="shared" si="58"/>
        <v>-797.30411423740225</v>
      </c>
      <c r="BA24" s="134">
        <f t="shared" si="59"/>
        <v>2773.4680111801099</v>
      </c>
      <c r="BB24" s="134">
        <f t="shared" si="65"/>
        <v>6.2205696390251353</v>
      </c>
      <c r="BC24" s="37"/>
    </row>
    <row r="25" spans="1:55">
      <c r="A25" s="34" t="s">
        <v>141</v>
      </c>
      <c r="B25" s="10"/>
      <c r="C25" s="5" t="s">
        <v>257</v>
      </c>
      <c r="D25" s="140">
        <v>2412</v>
      </c>
      <c r="E25" s="116"/>
      <c r="F25" s="116">
        <v>19999</v>
      </c>
      <c r="G25" s="116">
        <v>20380</v>
      </c>
      <c r="H25" s="124">
        <f t="shared" si="34"/>
        <v>381</v>
      </c>
      <c r="I25" s="124">
        <f t="shared" si="35"/>
        <v>20380</v>
      </c>
      <c r="J25" s="134"/>
      <c r="K25" s="134">
        <f t="shared" si="60"/>
        <v>8.2914593698175789</v>
      </c>
      <c r="L25" s="134">
        <f t="shared" si="61"/>
        <v>8.4494195688225542</v>
      </c>
      <c r="M25" s="173"/>
      <c r="N25" s="134">
        <f>Emissionsfaktorer!E$11*F25</f>
        <v>8979.5509999999995</v>
      </c>
      <c r="O25" s="135">
        <f>Emissionsfaktorer!E$12*G25</f>
        <v>7703.64</v>
      </c>
      <c r="P25" s="116"/>
      <c r="Q25" s="116">
        <v>1936</v>
      </c>
      <c r="R25" s="116">
        <v>1713</v>
      </c>
      <c r="S25" s="134"/>
      <c r="T25" s="134">
        <f t="shared" si="36"/>
        <v>83308.016000000003</v>
      </c>
      <c r="U25" s="134">
        <f t="shared" si="37"/>
        <v>73712.103000000003</v>
      </c>
      <c r="V25" s="134">
        <f t="shared" si="38"/>
        <v>-9595.9130000000005</v>
      </c>
      <c r="W25" s="134">
        <f t="shared" si="39"/>
        <v>73712.103000000003</v>
      </c>
      <c r="X25" s="134"/>
      <c r="Y25" s="134">
        <f t="shared" si="40"/>
        <v>34.538978441127696</v>
      </c>
      <c r="Z25" s="134">
        <f t="shared" si="41"/>
        <v>30.560573383084577</v>
      </c>
      <c r="AA25" s="124"/>
      <c r="AB25" s="134"/>
      <c r="AC25" s="134">
        <f>Emissionsfaktorer!E$17*T25</f>
        <v>8330.8016000000007</v>
      </c>
      <c r="AD25" s="135">
        <f>Emissionsfaktorer!E$18*U25</f>
        <v>6855.2255789999999</v>
      </c>
      <c r="AE25" s="173"/>
      <c r="AF25" s="134">
        <f t="shared" si="42"/>
        <v>17310.352599999998</v>
      </c>
      <c r="AG25" s="134">
        <f t="shared" si="43"/>
        <v>14558.865579000001</v>
      </c>
      <c r="AH25" s="134">
        <f t="shared" si="44"/>
        <v>-2751.4870209999972</v>
      </c>
      <c r="AI25" s="135">
        <f t="shared" si="45"/>
        <v>6.0360139216417918</v>
      </c>
      <c r="AJ25" s="134">
        <f t="shared" si="46"/>
        <v>71334.624364889256</v>
      </c>
      <c r="AK25" s="134">
        <f t="shared" si="47"/>
        <v>76355.295325733998</v>
      </c>
      <c r="AL25" s="134">
        <f t="shared" si="48"/>
        <v>68341.276456111562</v>
      </c>
      <c r="AM25" s="134">
        <f t="shared" si="49"/>
        <v>77016.093407167486</v>
      </c>
      <c r="AN25" s="134">
        <f t="shared" si="50"/>
        <v>5020.6709608447418</v>
      </c>
      <c r="AO25" s="134">
        <f t="shared" si="62"/>
        <v>29.574885723420088</v>
      </c>
      <c r="AP25" s="134">
        <f t="shared" si="63"/>
        <v>31.656424264400496</v>
      </c>
      <c r="AQ25" s="124">
        <f>Emissionsfaktorer!E$16</f>
        <v>8.5999999999999993E-2</v>
      </c>
      <c r="AR25" s="134">
        <f t="shared" si="51"/>
        <v>6134.777695380476</v>
      </c>
      <c r="AS25" s="135">
        <f t="shared" si="52"/>
        <v>6566.5553980131235</v>
      </c>
      <c r="AT25">
        <f t="shared" si="53"/>
        <v>5877.3497752255935</v>
      </c>
      <c r="AU25" s="173">
        <f t="shared" si="54"/>
        <v>6623.384033016403</v>
      </c>
      <c r="AV25" s="134">
        <f t="shared" si="64"/>
        <v>15114.328695380475</v>
      </c>
      <c r="AW25" s="134">
        <f t="shared" si="64"/>
        <v>14270.195398013124</v>
      </c>
      <c r="AX25" s="134">
        <f t="shared" si="56"/>
        <v>14856.900775225593</v>
      </c>
      <c r="AY25" s="134">
        <f t="shared" si="57"/>
        <v>14327.024033016403</v>
      </c>
      <c r="AZ25" s="134">
        <f t="shared" si="58"/>
        <v>-844.13329736735068</v>
      </c>
      <c r="BA25" s="134">
        <f t="shared" si="59"/>
        <v>7646.8113649967208</v>
      </c>
      <c r="BB25" s="134">
        <f t="shared" si="65"/>
        <v>5.9163330837533685</v>
      </c>
      <c r="BC25" s="37"/>
    </row>
    <row r="26" spans="1:55">
      <c r="A26" s="14"/>
      <c r="B26" s="10"/>
      <c r="C26" s="5" t="s">
        <v>258</v>
      </c>
      <c r="D26" s="139">
        <v>590</v>
      </c>
      <c r="E26" s="116"/>
      <c r="F26" s="205">
        <v>5700</v>
      </c>
      <c r="G26" s="116">
        <v>5723</v>
      </c>
      <c r="H26" s="124">
        <f t="shared" si="34"/>
        <v>23</v>
      </c>
      <c r="I26" s="124">
        <f t="shared" si="35"/>
        <v>5723</v>
      </c>
      <c r="J26" s="134"/>
      <c r="K26" s="134">
        <f t="shared" si="60"/>
        <v>9.6610169491525415</v>
      </c>
      <c r="L26" s="134">
        <f t="shared" si="61"/>
        <v>9.6999999999999993</v>
      </c>
      <c r="M26" s="173"/>
      <c r="N26" s="134">
        <f>Emissionsfaktorer!E$11*F26</f>
        <v>2559.3000000000002</v>
      </c>
      <c r="O26" s="135">
        <f>Emissionsfaktorer!E$12*G26</f>
        <v>2163.2939999999999</v>
      </c>
      <c r="P26" s="116"/>
      <c r="Q26" s="116">
        <v>4186</v>
      </c>
      <c r="R26" s="116">
        <v>4270</v>
      </c>
      <c r="S26" s="134"/>
      <c r="T26" s="134">
        <f t="shared" si="36"/>
        <v>180127.766</v>
      </c>
      <c r="U26" s="134">
        <f t="shared" si="37"/>
        <v>183742.37</v>
      </c>
      <c r="V26" s="134">
        <f t="shared" si="38"/>
        <v>3614.6039999999921</v>
      </c>
      <c r="W26" s="134">
        <f t="shared" si="39"/>
        <v>183742.37</v>
      </c>
      <c r="X26" s="134"/>
      <c r="Y26" s="134">
        <f t="shared" si="40"/>
        <v>305.30129830508474</v>
      </c>
      <c r="Z26" s="134">
        <f t="shared" si="41"/>
        <v>311.42774576271188</v>
      </c>
      <c r="AA26" s="124"/>
      <c r="AB26" s="134"/>
      <c r="AC26" s="134">
        <f>Emissionsfaktorer!E$17*T26</f>
        <v>18012.776600000001</v>
      </c>
      <c r="AD26" s="135">
        <f>Emissionsfaktorer!E$18*U26</f>
        <v>17088.040409999998</v>
      </c>
      <c r="AE26" s="173"/>
      <c r="AF26" s="134">
        <f t="shared" si="42"/>
        <v>20572.0766</v>
      </c>
      <c r="AG26" s="134">
        <f t="shared" si="43"/>
        <v>19251.334409999996</v>
      </c>
      <c r="AH26" s="134">
        <f t="shared" si="44"/>
        <v>-1320.7421900000045</v>
      </c>
      <c r="AI26" s="135">
        <f t="shared" si="45"/>
        <v>32.629380355932199</v>
      </c>
      <c r="AJ26" s="134">
        <f t="shared" si="46"/>
        <v>154239.01735094341</v>
      </c>
      <c r="AK26" s="134">
        <f t="shared" si="47"/>
        <v>190331.06307115249</v>
      </c>
      <c r="AL26" s="134">
        <f t="shared" si="48"/>
        <v>147766.83018867925</v>
      </c>
      <c r="AM26" s="134">
        <f t="shared" si="49"/>
        <v>191978.23633894057</v>
      </c>
      <c r="AN26" s="134">
        <f t="shared" si="50"/>
        <v>36092.045720209077</v>
      </c>
      <c r="AO26" s="134">
        <f t="shared" si="62"/>
        <v>261.42206330668375</v>
      </c>
      <c r="AP26" s="134">
        <f t="shared" si="63"/>
        <v>322.59502215449572</v>
      </c>
      <c r="AQ26" s="124">
        <f>Emissionsfaktorer!E$16</f>
        <v>8.5999999999999993E-2</v>
      </c>
      <c r="AR26" s="134">
        <f t="shared" si="51"/>
        <v>13264.555492181133</v>
      </c>
      <c r="AS26" s="135">
        <f t="shared" si="52"/>
        <v>16368.471424119112</v>
      </c>
      <c r="AT26">
        <f t="shared" si="53"/>
        <v>12707.947396226415</v>
      </c>
      <c r="AU26" s="173">
        <f t="shared" si="54"/>
        <v>16510.128325148886</v>
      </c>
      <c r="AV26" s="134">
        <f t="shared" si="64"/>
        <v>15823.855492181134</v>
      </c>
      <c r="AW26" s="134">
        <f t="shared" si="64"/>
        <v>18531.765424119112</v>
      </c>
      <c r="AX26" s="134">
        <f t="shared" si="56"/>
        <v>15267.247396226416</v>
      </c>
      <c r="AY26" s="134">
        <f t="shared" si="57"/>
        <v>18673.422325148887</v>
      </c>
      <c r="AZ26" s="134">
        <f t="shared" si="58"/>
        <v>2707.9099319379784</v>
      </c>
      <c r="BA26" s="134">
        <f t="shared" si="59"/>
        <v>2021.6370989702264</v>
      </c>
      <c r="BB26" s="134">
        <f t="shared" si="65"/>
        <v>31.409771905286632</v>
      </c>
      <c r="BC26" s="37"/>
    </row>
    <row r="27" spans="1:55">
      <c r="A27" s="7" t="s">
        <v>114</v>
      </c>
      <c r="B27" s="86" t="s">
        <v>146</v>
      </c>
      <c r="C27" s="5" t="s">
        <v>146</v>
      </c>
      <c r="D27" s="144">
        <v>1315</v>
      </c>
      <c r="E27" s="116"/>
      <c r="F27" s="116">
        <v>16533</v>
      </c>
      <c r="G27" s="116">
        <v>15680</v>
      </c>
      <c r="H27" s="124">
        <f t="shared" si="34"/>
        <v>-853</v>
      </c>
      <c r="I27" s="124">
        <f t="shared" si="35"/>
        <v>15680</v>
      </c>
      <c r="J27" s="134"/>
      <c r="K27" s="134">
        <f t="shared" si="60"/>
        <v>12.572623574144487</v>
      </c>
      <c r="L27" s="134">
        <f t="shared" si="61"/>
        <v>11.923954372623575</v>
      </c>
      <c r="M27" s="173"/>
      <c r="N27" s="134">
        <f>Emissionsfaktorer!E$11*F27</f>
        <v>7423.317</v>
      </c>
      <c r="O27" s="135">
        <f>Emissionsfaktorer!E$12*G27</f>
        <v>5927.04</v>
      </c>
      <c r="P27" s="116"/>
      <c r="Q27" s="116">
        <v>1298</v>
      </c>
      <c r="R27" s="116">
        <v>1151</v>
      </c>
      <c r="S27" s="134"/>
      <c r="T27" s="134">
        <f t="shared" si="36"/>
        <v>55854.238000000005</v>
      </c>
      <c r="U27" s="134">
        <f t="shared" si="37"/>
        <v>49528.681000000004</v>
      </c>
      <c r="V27" s="134">
        <f t="shared" si="38"/>
        <v>-6325.5570000000007</v>
      </c>
      <c r="W27" s="134">
        <f t="shared" si="39"/>
        <v>49528.681000000004</v>
      </c>
      <c r="X27" s="134"/>
      <c r="Y27" s="134">
        <f t="shared" si="40"/>
        <v>42.47470570342206</v>
      </c>
      <c r="Z27" s="134">
        <f t="shared" si="41"/>
        <v>37.664396197718631</v>
      </c>
      <c r="AA27" s="124"/>
      <c r="AB27" s="134"/>
      <c r="AC27" s="134">
        <f>Emissionsfaktorer!E$14*T27</f>
        <v>14633.810356000002</v>
      </c>
      <c r="AD27" s="135">
        <f>Emissionsfaktorer!E$15*U27</f>
        <v>11886.883440000001</v>
      </c>
      <c r="AE27" s="173"/>
      <c r="AF27" s="134">
        <f t="shared" si="42"/>
        <v>22057.127356000001</v>
      </c>
      <c r="AG27" s="134">
        <f t="shared" si="43"/>
        <v>17813.923440000002</v>
      </c>
      <c r="AH27" s="134">
        <f t="shared" si="44"/>
        <v>-4243.2039159999986</v>
      </c>
      <c r="AI27" s="135">
        <f t="shared" si="45"/>
        <v>13.546709840304183</v>
      </c>
      <c r="AJ27" s="134">
        <f t="shared" si="46"/>
        <v>47826.623153732566</v>
      </c>
      <c r="AK27" s="134">
        <f t="shared" si="47"/>
        <v>51304.696392247417</v>
      </c>
      <c r="AL27" s="134">
        <f t="shared" si="48"/>
        <v>45819.719442165711</v>
      </c>
      <c r="AM27" s="134">
        <f t="shared" si="49"/>
        <v>51748.700240309277</v>
      </c>
      <c r="AN27" s="134">
        <f t="shared" si="50"/>
        <v>3478.0732385148513</v>
      </c>
      <c r="AO27" s="134">
        <f t="shared" si="62"/>
        <v>36.370055630214878</v>
      </c>
      <c r="AP27" s="134">
        <f t="shared" si="63"/>
        <v>39.014978245055069</v>
      </c>
      <c r="AQ27" s="124">
        <f>Emissionsfaktorer!E$13</f>
        <v>0.34699999999999998</v>
      </c>
      <c r="AR27" s="134">
        <f t="shared" si="51"/>
        <v>16595.838234345199</v>
      </c>
      <c r="AS27" s="135">
        <f t="shared" si="52"/>
        <v>17802.729648109853</v>
      </c>
      <c r="AT27">
        <f t="shared" si="53"/>
        <v>15899.4426464315</v>
      </c>
      <c r="AU27" s="173">
        <f t="shared" si="54"/>
        <v>17956.798983387318</v>
      </c>
      <c r="AV27" s="134">
        <f t="shared" si="64"/>
        <v>24019.155234345199</v>
      </c>
      <c r="AW27" s="134">
        <f t="shared" si="64"/>
        <v>23729.769648109854</v>
      </c>
      <c r="AX27" s="134">
        <f t="shared" si="56"/>
        <v>23322.759646431499</v>
      </c>
      <c r="AY27" s="134">
        <f t="shared" si="57"/>
        <v>23883.838983387319</v>
      </c>
      <c r="AZ27" s="134">
        <f t="shared" si="58"/>
        <v>-289.38558623534482</v>
      </c>
      <c r="BA27" s="134">
        <f t="shared" si="59"/>
        <v>5772.9706647225357</v>
      </c>
      <c r="BB27" s="134">
        <f t="shared" si="65"/>
        <v>18.045452203885819</v>
      </c>
      <c r="BC27" s="37"/>
    </row>
    <row r="28" spans="1:55" s="62" customFormat="1">
      <c r="A28" s="23" t="s">
        <v>280</v>
      </c>
      <c r="B28" s="24"/>
      <c r="C28" s="25"/>
      <c r="D28" s="130">
        <f t="shared" ref="D28:R28" si="66">SUM(D18:D27)</f>
        <v>19917</v>
      </c>
      <c r="E28" s="130"/>
      <c r="F28" s="183">
        <f t="shared" si="66"/>
        <v>1944236</v>
      </c>
      <c r="G28" s="183">
        <f t="shared" si="66"/>
        <v>1816363</v>
      </c>
      <c r="H28" s="183">
        <f t="shared" si="66"/>
        <v>-127873</v>
      </c>
      <c r="I28" s="183">
        <f t="shared" si="66"/>
        <v>1816363</v>
      </c>
      <c r="J28" s="132"/>
      <c r="K28" s="192">
        <f t="shared" si="60"/>
        <v>97.616910177235525</v>
      </c>
      <c r="L28" s="192">
        <f t="shared" si="61"/>
        <v>91.196615956218309</v>
      </c>
      <c r="M28" s="154"/>
      <c r="N28" s="155">
        <f t="shared" si="66"/>
        <v>872961.96400000004</v>
      </c>
      <c r="O28" s="155">
        <f t="shared" si="66"/>
        <v>686585.21399999992</v>
      </c>
      <c r="P28" s="130"/>
      <c r="Q28" s="131">
        <f t="shared" si="66"/>
        <v>110269</v>
      </c>
      <c r="R28" s="131">
        <f t="shared" si="66"/>
        <v>95651</v>
      </c>
      <c r="S28" s="288"/>
      <c r="T28" s="132">
        <f>SUM(T18:T27)</f>
        <v>4744985.3389999988</v>
      </c>
      <c r="U28" s="132">
        <f>SUM(U18:U27)</f>
        <v>4115958.1810000003</v>
      </c>
      <c r="V28" s="132">
        <f>SUM(V18:V27)</f>
        <v>-629027.15799999959</v>
      </c>
      <c r="W28" s="132">
        <f>SUM(W18:W27)</f>
        <v>4115958.1810000003</v>
      </c>
      <c r="X28" s="192"/>
      <c r="Y28" s="192">
        <f t="shared" si="40"/>
        <v>238.23795446101315</v>
      </c>
      <c r="Z28" s="192">
        <f t="shared" si="41"/>
        <v>206.65552949741428</v>
      </c>
      <c r="AA28" s="131"/>
      <c r="AB28" s="132"/>
      <c r="AC28" s="132">
        <f t="shared" ref="AC28:AH28" si="67">SUM(AC18:AC27)</f>
        <v>483546.92045600002</v>
      </c>
      <c r="AD28" s="133">
        <f t="shared" si="67"/>
        <v>390064.82694000006</v>
      </c>
      <c r="AE28" s="154"/>
      <c r="AF28" s="155">
        <f t="shared" si="67"/>
        <v>1356508.8844559998</v>
      </c>
      <c r="AG28" s="155">
        <f t="shared" si="67"/>
        <v>1076650.0409399997</v>
      </c>
      <c r="AH28" s="132">
        <f t="shared" si="67"/>
        <v>-279858.84351600008</v>
      </c>
      <c r="AI28" s="133">
        <f t="shared" si="45"/>
        <v>54.056837924386187</v>
      </c>
      <c r="AJ28" s="132">
        <f t="shared" ref="AJ28:AN28" si="68">SUM(AJ18:AJ27)</f>
        <v>4063015.3378574243</v>
      </c>
      <c r="AK28" s="132">
        <f t="shared" si="68"/>
        <v>4263549.5348521797</v>
      </c>
      <c r="AL28" s="132">
        <f t="shared" si="68"/>
        <v>3892522.8375717797</v>
      </c>
      <c r="AM28" s="132">
        <f t="shared" si="68"/>
        <v>4300447.3733152235</v>
      </c>
      <c r="AN28" s="132">
        <f t="shared" si="68"/>
        <v>200534.19699475481</v>
      </c>
      <c r="AO28" s="192">
        <f t="shared" si="62"/>
        <v>203.99735591993897</v>
      </c>
      <c r="AP28" s="192">
        <f t="shared" si="63"/>
        <v>214.06585002019278</v>
      </c>
      <c r="AQ28" s="131"/>
      <c r="AR28" s="132">
        <f t="shared" ref="AR28:BA28" si="69">SUM(AR18:AR27)</f>
        <v>361902.06769886264</v>
      </c>
      <c r="AS28" s="133">
        <f t="shared" si="69"/>
        <v>380055.78575566399</v>
      </c>
      <c r="AT28" s="132">
        <f t="shared" si="69"/>
        <v>346715.91080557829</v>
      </c>
      <c r="AU28" s="133">
        <f t="shared" si="69"/>
        <v>383344.88486782979</v>
      </c>
      <c r="AV28" s="155">
        <f t="shared" si="69"/>
        <v>1234864.0316988626</v>
      </c>
      <c r="AW28" s="155">
        <f t="shared" si="69"/>
        <v>1066640.9997556638</v>
      </c>
      <c r="AX28" s="155">
        <f t="shared" si="69"/>
        <v>1219677.874805578</v>
      </c>
      <c r="AY28" s="155">
        <f t="shared" si="69"/>
        <v>1069930.0988678299</v>
      </c>
      <c r="AZ28" s="132">
        <f t="shared" si="69"/>
        <v>-168223.03194319867</v>
      </c>
      <c r="BA28" s="132">
        <f t="shared" si="69"/>
        <v>683296.11488783394</v>
      </c>
      <c r="BB28" s="133">
        <f t="shared" si="65"/>
        <v>53.554300334169994</v>
      </c>
      <c r="BC28" s="201"/>
    </row>
    <row r="29" spans="1:55" s="102" customFormat="1">
      <c r="A29" s="98" t="s">
        <v>281</v>
      </c>
      <c r="B29" s="103"/>
      <c r="C29" s="99"/>
      <c r="D29" s="146">
        <f>D13+D16+D28</f>
        <v>69072</v>
      </c>
      <c r="E29" s="184"/>
      <c r="F29" s="118">
        <f>F13+F16+F28</f>
        <v>5914463</v>
      </c>
      <c r="G29" s="118">
        <f>G13+G16+G28</f>
        <v>5689714</v>
      </c>
      <c r="H29" s="118">
        <f>H13+H16+H28</f>
        <v>-224749</v>
      </c>
      <c r="I29" s="118">
        <f>I13+I16+I28</f>
        <v>5689714</v>
      </c>
      <c r="J29" s="132"/>
      <c r="K29" s="192">
        <f t="shared" si="60"/>
        <v>85.627504632846879</v>
      </c>
      <c r="L29" s="192">
        <f t="shared" si="61"/>
        <v>82.373668056520728</v>
      </c>
      <c r="M29" s="193"/>
      <c r="N29" s="170">
        <f>N13+N16+N28</f>
        <v>2655593.8870000001</v>
      </c>
      <c r="O29" s="170">
        <f>O13+O16+O28</f>
        <v>2150711.892</v>
      </c>
      <c r="P29" s="184"/>
      <c r="Q29" s="118">
        <f>Q13+Q16+Q28</f>
        <v>247617</v>
      </c>
      <c r="R29" s="118">
        <f>R13+R16+R28</f>
        <v>211350</v>
      </c>
      <c r="S29" s="193"/>
      <c r="T29" s="170">
        <f>T13+T16+T28</f>
        <v>10655207.127</v>
      </c>
      <c r="U29" s="170">
        <f>U13+U16+U28</f>
        <v>9094601.8500000015</v>
      </c>
      <c r="V29" s="170">
        <f>V13+V16+V28</f>
        <v>-1560605.2769999995</v>
      </c>
      <c r="W29" s="170">
        <f>W13+W16+W28</f>
        <v>9094601.8500000015</v>
      </c>
      <c r="X29" s="170"/>
      <c r="Y29" s="170">
        <f t="shared" si="40"/>
        <v>154.26232231584433</v>
      </c>
      <c r="Z29" s="170">
        <f t="shared" si="41"/>
        <v>131.66843076789439</v>
      </c>
      <c r="AA29" s="161" t="e">
        <f>AB29/S29</f>
        <v>#DIV/0!</v>
      </c>
      <c r="AB29" s="170"/>
      <c r="AC29" s="170">
        <f>AC13+AC16+AC28</f>
        <v>1074569.099256</v>
      </c>
      <c r="AD29" s="185">
        <f>AD13+AD16+AD28</f>
        <v>853078.688157</v>
      </c>
      <c r="AE29" s="193"/>
      <c r="AF29" s="349">
        <f>AF13+AF16+AF28</f>
        <v>3730162.9862560001</v>
      </c>
      <c r="AG29" s="349">
        <f>AG13+AG16+AG28</f>
        <v>3003790.5801569996</v>
      </c>
      <c r="AH29" s="170">
        <f>AH13+AH16+AH28</f>
        <v>-726372.40609900025</v>
      </c>
      <c r="AI29" s="166">
        <f t="shared" si="45"/>
        <v>43.48781822094336</v>
      </c>
      <c r="AJ29" s="170">
        <f>AJ13+AJ16+AJ28</f>
        <v>9123794.2569012307</v>
      </c>
      <c r="AK29" s="170">
        <f>AK13+AK16+AK28</f>
        <v>9420719.0117302276</v>
      </c>
      <c r="AL29" s="170">
        <f>AL13+AL16+AL28</f>
        <v>8740941.0393765382</v>
      </c>
      <c r="AM29" s="170">
        <f>AM13+AM16+AM28</f>
        <v>9502248.3021627851</v>
      </c>
      <c r="AN29" s="170">
        <f>AN13+AN16+AN28</f>
        <v>296924.75482899684</v>
      </c>
      <c r="AO29" s="170">
        <f t="shared" si="62"/>
        <v>132.09106811589689</v>
      </c>
      <c r="AP29" s="170">
        <f t="shared" si="63"/>
        <v>136.38983975750273</v>
      </c>
      <c r="AQ29" s="161">
        <f>AR29/AJ29</f>
        <v>8.7368153236651758E-2</v>
      </c>
      <c r="AR29" s="170">
        <f t="shared" ref="AR29:BA29" si="70">AR13+AR16+AR28</f>
        <v>797129.05473662994</v>
      </c>
      <c r="AS29" s="185">
        <f t="shared" si="70"/>
        <v>823572.36076717614</v>
      </c>
      <c r="AT29" s="170">
        <f t="shared" si="70"/>
        <v>763679.87616078742</v>
      </c>
      <c r="AU29" s="185">
        <f t="shared" si="70"/>
        <v>830699.76474871999</v>
      </c>
      <c r="AV29" s="170">
        <f t="shared" si="70"/>
        <v>3452722.9417366302</v>
      </c>
      <c r="AW29" s="170">
        <f t="shared" si="70"/>
        <v>2974284.2527671759</v>
      </c>
      <c r="AX29" s="170">
        <f t="shared" si="70"/>
        <v>3419273.7631607871</v>
      </c>
      <c r="AY29" s="170">
        <f t="shared" si="70"/>
        <v>2981411.6567487204</v>
      </c>
      <c r="AZ29" s="170">
        <f t="shared" si="70"/>
        <v>-478438.68896945415</v>
      </c>
      <c r="BA29" s="170">
        <f t="shared" si="70"/>
        <v>2143584.4880184559</v>
      </c>
      <c r="BB29" s="166">
        <f t="shared" si="65"/>
        <v>43.060636043073544</v>
      </c>
      <c r="BC29" s="104"/>
    </row>
    <row r="30" spans="1:55">
      <c r="A30" s="94" t="s">
        <v>418</v>
      </c>
      <c r="B30" s="48"/>
      <c r="C30" s="48"/>
      <c r="D30" s="165">
        <f>D29</f>
        <v>69072</v>
      </c>
      <c r="E30" s="145"/>
      <c r="F30" s="172"/>
      <c r="G30" s="283" t="s">
        <v>388</v>
      </c>
      <c r="H30" s="284"/>
      <c r="I30" s="284"/>
      <c r="J30" s="270"/>
      <c r="K30" s="270">
        <f>N29/D29</f>
        <v>38.44674958014825</v>
      </c>
      <c r="L30" s="270">
        <f>O29/D29</f>
        <v>31.137246525364837</v>
      </c>
      <c r="M30" s="194"/>
      <c r="N30" s="192">
        <f>F29*Emissionsfaktorer!E10</f>
        <v>2726567.443</v>
      </c>
      <c r="O30" s="166">
        <f>G29*Emissionsfaktorer!E10</f>
        <v>2622958.1540000001</v>
      </c>
      <c r="P30" s="145"/>
      <c r="Q30" s="172"/>
      <c r="R30" s="172" t="s">
        <v>389</v>
      </c>
      <c r="S30" s="190"/>
      <c r="T30" s="191">
        <v>37</v>
      </c>
      <c r="U30" s="191">
        <v>37</v>
      </c>
      <c r="V30" s="283" t="s">
        <v>388</v>
      </c>
      <c r="W30" s="284"/>
      <c r="X30" s="270"/>
      <c r="Y30" s="270" t="e">
        <f>Y29*AA29</f>
        <v>#DIV/0!</v>
      </c>
      <c r="Z30" s="285" t="e">
        <f>Z29*AA29</f>
        <v>#DIV/0!</v>
      </c>
      <c r="AA30" s="172"/>
      <c r="AB30" s="192"/>
      <c r="AC30" s="192" t="e">
        <f>T29*AA29</f>
        <v>#DIV/0!</v>
      </c>
      <c r="AD30" s="192" t="e">
        <f>U29*AA29</f>
        <v>#DIV/0!</v>
      </c>
      <c r="AE30" s="194"/>
      <c r="AF30" s="192" t="e">
        <f>N30+AC30</f>
        <v>#DIV/0!</v>
      </c>
      <c r="AG30" s="192" t="e">
        <f>O30+AD30</f>
        <v>#DIV/0!</v>
      </c>
      <c r="AH30" s="192" t="e">
        <f>AG30-AF30</f>
        <v>#DIV/0!</v>
      </c>
      <c r="AI30" s="166" t="e">
        <f t="shared" si="45"/>
        <v>#DIV/0!</v>
      </c>
      <c r="AJ30" s="172"/>
      <c r="AK30" s="172"/>
      <c r="AN30" s="172"/>
      <c r="AO30" s="172"/>
      <c r="AP30" s="172"/>
      <c r="AQ30" s="172"/>
      <c r="AR30" s="192">
        <f>AJ29*AQ29</f>
        <v>797129.05473662994</v>
      </c>
      <c r="AS30" s="192">
        <f>AK29*AQ29</f>
        <v>823070.82221628504</v>
      </c>
      <c r="AT30" s="192">
        <f>AL29*AQ29</f>
        <v>763679.87616078753</v>
      </c>
      <c r="AU30" s="192">
        <f>AM29*AQ29</f>
        <v>830193.88575607224</v>
      </c>
      <c r="AV30" s="346">
        <f>N30+AR29</f>
        <v>3523696.49773663</v>
      </c>
      <c r="AW30" s="346">
        <f>O30+AS29</f>
        <v>3446530.5147671765</v>
      </c>
      <c r="AX30" s="347">
        <f>N30+AT29</f>
        <v>3490247.3191607874</v>
      </c>
      <c r="AY30" s="347">
        <f>O30+AU29</f>
        <v>3453657.9187487201</v>
      </c>
      <c r="AZ30" s="192">
        <f>AW30-AV30</f>
        <v>-77165.982969453558</v>
      </c>
      <c r="BA30" s="192">
        <f>AZ30-AW30</f>
        <v>-3523696.49773663</v>
      </c>
      <c r="BB30" s="166">
        <f t="shared" si="65"/>
        <v>49.897650491764772</v>
      </c>
      <c r="BC30" s="81"/>
    </row>
    <row r="31" spans="1:55">
      <c r="AC31" s="283" t="s">
        <v>388</v>
      </c>
      <c r="AD31" s="284"/>
      <c r="AE31" s="282"/>
      <c r="AF31" s="282">
        <f>AF29/D29</f>
        <v>54.003981153810521</v>
      </c>
      <c r="AG31" s="282">
        <f>AG29/D29</f>
        <v>43.48781822094336</v>
      </c>
      <c r="AR31" s="283" t="s">
        <v>388</v>
      </c>
      <c r="AS31" s="284"/>
      <c r="AU31" s="282"/>
      <c r="AV31" s="348" t="s">
        <v>442</v>
      </c>
      <c r="AW31" s="348" t="s">
        <v>442</v>
      </c>
      <c r="AX31" s="348" t="s">
        <v>441</v>
      </c>
      <c r="AY31" s="348" t="s">
        <v>441</v>
      </c>
    </row>
    <row r="32" spans="1:55">
      <c r="AV32" s="320" t="e">
        <f>1-(AV31/AU31)</f>
        <v>#VALUE!</v>
      </c>
      <c r="AW32" s="320" t="e">
        <f>1-(AW31/AU31)</f>
        <v>#VALUE!</v>
      </c>
      <c r="AX32" s="320"/>
      <c r="AY32" s="320"/>
    </row>
    <row r="33" spans="5:51">
      <c r="AU33" s="282"/>
      <c r="AV33" s="282">
        <f>AV30/D29</f>
        <v>51.014832316085098</v>
      </c>
      <c r="AW33" s="282">
        <f>AW30/D29</f>
        <v>49.897650491764772</v>
      </c>
      <c r="AX33" s="282"/>
      <c r="AY33" s="282"/>
    </row>
    <row r="34" spans="5:51">
      <c r="E34" s="300"/>
      <c r="J34" s="300"/>
      <c r="M34" s="300"/>
    </row>
  </sheetData>
  <pageMargins left="0" right="0" top="0.74803149606299213" bottom="0.74803149606299213" header="0.31496062992125984" footer="0.31496062992125984"/>
  <pageSetup paperSize="8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BC28"/>
  <sheetViews>
    <sheetView tabSelected="1" zoomScale="90" zoomScaleNormal="90" workbookViewId="0">
      <pane xSplit="3" topLeftCell="D1" activePane="topRight" state="frozen"/>
      <selection pane="topRight" activeCell="D39" sqref="D39"/>
    </sheetView>
  </sheetViews>
  <sheetFormatPr defaultRowHeight="15"/>
  <cols>
    <col min="1" max="1" width="27.42578125" customWidth="1"/>
    <col min="2" max="2" width="30.42578125" bestFit="1" customWidth="1"/>
    <col min="3" max="3" width="19.5703125" bestFit="1" customWidth="1"/>
    <col min="4" max="4" width="7.28515625" customWidth="1"/>
    <col min="5" max="7" width="12.5703125" customWidth="1"/>
    <col min="8" max="8" width="11" customWidth="1"/>
    <col min="9" max="9" width="11.85546875" customWidth="1"/>
    <col min="10" max="10" width="8.7109375" customWidth="1"/>
    <col min="11" max="11" width="9.140625" customWidth="1"/>
    <col min="13" max="13" width="12.85546875" customWidth="1"/>
    <col min="14" max="15" width="11" customWidth="1"/>
    <col min="16" max="16" width="12.42578125" customWidth="1"/>
    <col min="17" max="17" width="12.28515625" customWidth="1"/>
    <col min="18" max="18" width="12.140625" customWidth="1"/>
    <col min="19" max="19" width="13.7109375" customWidth="1"/>
    <col min="20" max="20" width="10.85546875" customWidth="1"/>
    <col min="21" max="21" width="11.28515625" customWidth="1"/>
    <col min="22" max="22" width="15.7109375" customWidth="1"/>
    <col min="23" max="23" width="14" customWidth="1"/>
    <col min="24" max="24" width="15.5703125" customWidth="1"/>
    <col min="25" max="25" width="12" customWidth="1"/>
    <col min="26" max="26" width="11" customWidth="1"/>
    <col min="27" max="27" width="8.28515625" customWidth="1"/>
    <col min="28" max="28" width="8.5703125" customWidth="1"/>
    <col min="29" max="29" width="10.42578125" customWidth="1"/>
    <col min="30" max="30" width="11.7109375" customWidth="1"/>
    <col min="31" max="33" width="15" customWidth="1"/>
    <col min="34" max="34" width="10" customWidth="1"/>
    <col min="35" max="35" width="7.5703125" customWidth="1"/>
    <col min="36" max="37" width="12.42578125" customWidth="1"/>
    <col min="38" max="38" width="11.42578125" customWidth="1"/>
    <col min="39" max="39" width="11.5703125" customWidth="1"/>
    <col min="40" max="40" width="10.140625" customWidth="1"/>
    <col min="46" max="46" width="10" bestFit="1" customWidth="1"/>
  </cols>
  <sheetData>
    <row r="1" spans="1:55" ht="44.25" customHeight="1">
      <c r="A1" s="17" t="s">
        <v>248</v>
      </c>
      <c r="B1" s="17" t="s">
        <v>145</v>
      </c>
      <c r="C1" s="17"/>
      <c r="D1" s="147" t="s">
        <v>265</v>
      </c>
      <c r="E1" s="70"/>
      <c r="F1" s="71" t="s">
        <v>266</v>
      </c>
      <c r="G1" s="71" t="s">
        <v>267</v>
      </c>
      <c r="H1" s="72" t="s">
        <v>384</v>
      </c>
      <c r="I1" s="72" t="s">
        <v>385</v>
      </c>
      <c r="J1" s="71"/>
      <c r="K1" s="71" t="s">
        <v>268</v>
      </c>
      <c r="L1" s="71" t="s">
        <v>269</v>
      </c>
      <c r="M1" s="71"/>
      <c r="N1" s="71" t="s">
        <v>270</v>
      </c>
      <c r="O1" s="71" t="s">
        <v>271</v>
      </c>
      <c r="P1" s="70"/>
      <c r="Q1" s="71" t="s">
        <v>374</v>
      </c>
      <c r="R1" s="301" t="s">
        <v>375</v>
      </c>
      <c r="S1" s="71"/>
      <c r="T1" s="71" t="s">
        <v>272</v>
      </c>
      <c r="U1" s="71" t="s">
        <v>273</v>
      </c>
      <c r="V1" s="72" t="s">
        <v>384</v>
      </c>
      <c r="W1" s="72" t="s">
        <v>385</v>
      </c>
      <c r="X1" s="71"/>
      <c r="Y1" s="71" t="s">
        <v>268</v>
      </c>
      <c r="Z1" s="71" t="s">
        <v>269</v>
      </c>
      <c r="AA1" s="70" t="s">
        <v>274</v>
      </c>
      <c r="AB1" s="71"/>
      <c r="AC1" s="71" t="s">
        <v>275</v>
      </c>
      <c r="AD1" s="71" t="s">
        <v>276</v>
      </c>
      <c r="AE1" s="70"/>
      <c r="AF1" s="71" t="s">
        <v>277</v>
      </c>
      <c r="AG1" s="71" t="s">
        <v>278</v>
      </c>
      <c r="AH1" s="72" t="s">
        <v>384</v>
      </c>
      <c r="AI1" s="108" t="s">
        <v>284</v>
      </c>
      <c r="AJ1" s="71" t="s">
        <v>353</v>
      </c>
      <c r="AK1" s="71" t="s">
        <v>354</v>
      </c>
      <c r="AL1" s="301" t="s">
        <v>439</v>
      </c>
      <c r="AM1" s="301" t="s">
        <v>437</v>
      </c>
      <c r="AN1" s="72" t="s">
        <v>384</v>
      </c>
      <c r="AO1" s="71" t="s">
        <v>268</v>
      </c>
      <c r="AP1" s="71" t="s">
        <v>269</v>
      </c>
      <c r="AQ1" s="70" t="s">
        <v>274</v>
      </c>
      <c r="AR1" s="71" t="s">
        <v>275</v>
      </c>
      <c r="AS1" s="71" t="s">
        <v>276</v>
      </c>
      <c r="AT1" s="301" t="s">
        <v>438</v>
      </c>
      <c r="AU1" s="70" t="s">
        <v>437</v>
      </c>
      <c r="AV1" s="71" t="s">
        <v>277</v>
      </c>
      <c r="AW1" s="71" t="s">
        <v>278</v>
      </c>
      <c r="AX1" s="301" t="s">
        <v>438</v>
      </c>
      <c r="AY1" s="70" t="s">
        <v>437</v>
      </c>
      <c r="AZ1" s="72" t="s">
        <v>384</v>
      </c>
      <c r="BA1" s="72" t="s">
        <v>385</v>
      </c>
      <c r="BB1" s="108" t="s">
        <v>284</v>
      </c>
      <c r="BC1" s="73" t="s">
        <v>264</v>
      </c>
    </row>
    <row r="2" spans="1:55">
      <c r="A2" s="7" t="s">
        <v>130</v>
      </c>
      <c r="B2" s="18" t="s">
        <v>130</v>
      </c>
      <c r="C2" s="18"/>
      <c r="D2" s="180">
        <v>6735</v>
      </c>
      <c r="E2" s="129"/>
      <c r="F2" s="124">
        <v>279879</v>
      </c>
      <c r="G2" s="206">
        <v>306524</v>
      </c>
      <c r="H2" s="124">
        <f>G2-F2</f>
        <v>26645</v>
      </c>
      <c r="I2" s="124">
        <f>G2-E2</f>
        <v>306524</v>
      </c>
      <c r="J2" s="134"/>
      <c r="K2" s="134">
        <f>F2/D2</f>
        <v>41.555902004454346</v>
      </c>
      <c r="L2" s="134">
        <f>G2/D2</f>
        <v>45.512100965107649</v>
      </c>
      <c r="M2" s="134"/>
      <c r="N2" s="134">
        <f>F2*Emissionsfaktorer!E$11</f>
        <v>125665.671</v>
      </c>
      <c r="O2" s="134">
        <f>G2*Emissionsfaktorer!E$12</f>
        <v>115866.072</v>
      </c>
      <c r="P2" s="236"/>
      <c r="Q2" s="237">
        <v>15553</v>
      </c>
      <c r="R2" s="302">
        <v>12393</v>
      </c>
      <c r="S2" s="134"/>
      <c r="T2" s="134">
        <f t="shared" ref="T2:T25" si="0">Q2*T$27*1.163</f>
        <v>669261.14300000004</v>
      </c>
      <c r="U2" s="134">
        <f t="shared" ref="U2:U25" si="1">R2*U$27*1.163</f>
        <v>533283.18299999996</v>
      </c>
      <c r="V2" s="134">
        <f>U2-T2</f>
        <v>-135977.96000000008</v>
      </c>
      <c r="W2" s="134">
        <f>U2-S2</f>
        <v>533283.18299999996</v>
      </c>
      <c r="X2" s="134"/>
      <c r="Y2" s="134">
        <f t="shared" ref="Y2:Y26" si="2">T2/D2</f>
        <v>99.370622568671124</v>
      </c>
      <c r="Z2" s="134">
        <f t="shared" ref="Z2:Z26" si="3">U2/D2</f>
        <v>79.180873496659231</v>
      </c>
      <c r="AA2" s="129">
        <v>9.0999999999999998E-2</v>
      </c>
      <c r="AB2" s="134"/>
      <c r="AC2" s="134">
        <f>Emissionsfaktorer!E$17*T2</f>
        <v>66926.114300000001</v>
      </c>
      <c r="AD2" s="134">
        <f>Emissionsfaktorer!E$18*U2</f>
        <v>49595.336018999995</v>
      </c>
      <c r="AE2" s="173"/>
      <c r="AF2" s="134">
        <f>N2+AC2</f>
        <v>192591.78529999999</v>
      </c>
      <c r="AG2" s="134">
        <f>O2+AD2</f>
        <v>165461.40801899999</v>
      </c>
      <c r="AH2" s="134">
        <f>AG2-AF2</f>
        <v>-27130.377280999994</v>
      </c>
      <c r="AI2" s="135">
        <f t="shared" ref="AI2:AI27" si="4">AG2/D2</f>
        <v>24.567395399999999</v>
      </c>
      <c r="AJ2" s="134">
        <f>((T2*0.8)/(1.219))+(T2*0.2)</f>
        <v>573072.01071648893</v>
      </c>
      <c r="AK2" s="134">
        <f>((U2*0.8)/(0.9571))+(U2*0.2)</f>
        <v>552405.82310088805</v>
      </c>
      <c r="AL2" s="134">
        <f>T2/1.219</f>
        <v>549024.72764561116</v>
      </c>
      <c r="AM2" s="134">
        <f>U2/0.9571</f>
        <v>557186.48312611016</v>
      </c>
      <c r="AN2" s="134">
        <f>AK2-AJ2</f>
        <v>-20666.18761560088</v>
      </c>
      <c r="AO2" s="134">
        <f>AJ2/D2</f>
        <v>85.088643016553661</v>
      </c>
      <c r="AP2" s="134">
        <f>AK2/D2</f>
        <v>82.020166755885384</v>
      </c>
      <c r="AQ2" s="129">
        <f>Emissionsfaktorer!E$16</f>
        <v>8.5999999999999993E-2</v>
      </c>
      <c r="AR2" s="134">
        <f>AQ2*AJ2</f>
        <v>49284.192921618043</v>
      </c>
      <c r="AS2" s="134">
        <f>AQ2*AK2</f>
        <v>47506.900786676371</v>
      </c>
      <c r="AT2">
        <f t="shared" ref="AT2:AT25" si="5">AL2*AQ2</f>
        <v>47216.126577522555</v>
      </c>
      <c r="AU2" s="173">
        <f t="shared" ref="AU2:AU25" si="6">AM2*AQ2</f>
        <v>47918.037548845474</v>
      </c>
      <c r="AV2" s="134">
        <f t="shared" ref="AV2:AW5" si="7">N2+AR2</f>
        <v>174949.86392161803</v>
      </c>
      <c r="AW2" s="134">
        <f t="shared" si="7"/>
        <v>163372.97278667637</v>
      </c>
      <c r="AX2" s="134">
        <f t="shared" ref="AX2:AX25" si="8">N2+AT2</f>
        <v>172881.79757752255</v>
      </c>
      <c r="AY2" s="134">
        <f t="shared" ref="AY2:AY25" si="9">O2+AU2</f>
        <v>163784.10954884547</v>
      </c>
      <c r="AZ2" s="134">
        <f>AW2-AV2</f>
        <v>-11576.891134941659</v>
      </c>
      <c r="BA2" s="134">
        <f>AW2-AU2</f>
        <v>115454.9352378309</v>
      </c>
      <c r="BB2" s="135">
        <f>AW2/D2</f>
        <v>24.257308505816834</v>
      </c>
      <c r="BC2" s="91"/>
    </row>
    <row r="3" spans="1:55">
      <c r="A3" s="18"/>
      <c r="B3" s="18" t="s">
        <v>151</v>
      </c>
      <c r="C3" s="18"/>
      <c r="D3" s="139">
        <v>750</v>
      </c>
      <c r="E3" s="129"/>
      <c r="F3" s="124">
        <v>26278</v>
      </c>
      <c r="G3" s="206">
        <v>24761</v>
      </c>
      <c r="H3" s="124">
        <f t="shared" ref="H3:H25" si="10">G3-F3</f>
        <v>-1517</v>
      </c>
      <c r="I3" s="124">
        <f t="shared" ref="I3:I25" si="11">G3-E3</f>
        <v>24761</v>
      </c>
      <c r="J3" s="134"/>
      <c r="K3" s="134">
        <f t="shared" ref="K3:K25" si="12">F3/D3</f>
        <v>35.037333333333336</v>
      </c>
      <c r="L3" s="134">
        <f t="shared" ref="L3:L25" si="13">G3/D3</f>
        <v>33.014666666666663</v>
      </c>
      <c r="M3" s="134"/>
      <c r="N3" s="134">
        <f>F3*Emissionsfaktorer!E$11</f>
        <v>11798.822</v>
      </c>
      <c r="O3" s="134">
        <f>G3*Emissionsfaktorer!E$12</f>
        <v>9359.6579999999994</v>
      </c>
      <c r="P3" s="235"/>
      <c r="Q3" s="179">
        <v>1940</v>
      </c>
      <c r="R3" s="302">
        <v>1638</v>
      </c>
      <c r="S3" s="134"/>
      <c r="T3" s="134">
        <f t="shared" si="0"/>
        <v>83480.14</v>
      </c>
      <c r="U3" s="134">
        <f t="shared" si="1"/>
        <v>70484.778000000006</v>
      </c>
      <c r="V3" s="134">
        <f t="shared" ref="V3:V20" si="14">U3-T3</f>
        <v>-12995.361999999994</v>
      </c>
      <c r="W3" s="134">
        <f t="shared" ref="W3:W25" si="15">U3-S3</f>
        <v>70484.778000000006</v>
      </c>
      <c r="X3" s="134"/>
      <c r="Y3" s="134">
        <f t="shared" si="2"/>
        <v>111.30685333333334</v>
      </c>
      <c r="Z3" s="134">
        <f t="shared" si="3"/>
        <v>93.979704000000012</v>
      </c>
      <c r="AA3" s="129">
        <v>9.0999999999999998E-2</v>
      </c>
      <c r="AB3" s="134"/>
      <c r="AC3" s="134">
        <f>Emissionsfaktorer!E$17*T3</f>
        <v>8348.014000000001</v>
      </c>
      <c r="AD3" s="134">
        <f>Emissionsfaktorer!E$18*U3</f>
        <v>6555.0843540000005</v>
      </c>
      <c r="AE3" s="173"/>
      <c r="AF3" s="134">
        <f t="shared" ref="AF3:AF25" si="16">N3+AC3</f>
        <v>20146.836000000003</v>
      </c>
      <c r="AG3" s="134">
        <f t="shared" ref="AG3:AG25" si="17">O3+AD3</f>
        <v>15914.742354</v>
      </c>
      <c r="AH3" s="134">
        <f t="shared" ref="AH3:AH25" si="18">AG3-AF3</f>
        <v>-4232.093646000003</v>
      </c>
      <c r="AI3" s="135">
        <f t="shared" si="4"/>
        <v>21.219656472</v>
      </c>
      <c r="AJ3" s="134">
        <f>((T3*0.8)/(1.219))+(T3*0.2)</f>
        <v>71482.00995242002</v>
      </c>
      <c r="AK3" s="134">
        <f>((U3*0.8)/(0.9571))+(U3*0.2)</f>
        <v>73012.243866638804</v>
      </c>
      <c r="AL3" s="134">
        <f t="shared" ref="AL3:AL25" si="19">T3/1.219</f>
        <v>68482.477440525021</v>
      </c>
      <c r="AM3" s="134">
        <f t="shared" ref="AM3:AM25" si="20">U3/0.9571</f>
        <v>73644.110333298522</v>
      </c>
      <c r="AN3" s="134">
        <f>AK3-AJ3</f>
        <v>1530.2339142187848</v>
      </c>
      <c r="AO3" s="134">
        <f>AJ3/D3</f>
        <v>95.309346603226686</v>
      </c>
      <c r="AP3" s="134">
        <f>AK3/D3</f>
        <v>97.349658488851745</v>
      </c>
      <c r="AQ3" s="129">
        <f>Emissionsfaktorer!E$16</f>
        <v>8.5999999999999993E-2</v>
      </c>
      <c r="AR3" s="134">
        <f>AQ3*AJ3</f>
        <v>6147.4528559081209</v>
      </c>
      <c r="AS3" s="134">
        <f>AQ3*AK3</f>
        <v>6279.052972530937</v>
      </c>
      <c r="AT3">
        <f t="shared" si="5"/>
        <v>5889.4930598851515</v>
      </c>
      <c r="AU3" s="173">
        <f t="shared" si="6"/>
        <v>6333.3934886636725</v>
      </c>
      <c r="AV3" s="134">
        <f t="shared" si="7"/>
        <v>17946.274855908123</v>
      </c>
      <c r="AW3" s="134">
        <f t="shared" si="7"/>
        <v>15638.710972530936</v>
      </c>
      <c r="AX3" s="134">
        <f t="shared" si="8"/>
        <v>17688.31505988515</v>
      </c>
      <c r="AY3" s="134">
        <f t="shared" si="9"/>
        <v>15693.051488663672</v>
      </c>
      <c r="AZ3" s="134">
        <f t="shared" ref="AZ3:AZ25" si="21">AW3-AV3</f>
        <v>-2307.5638833771864</v>
      </c>
      <c r="BA3" s="134">
        <f t="shared" ref="BA3:BA25" si="22">AW3-AU3</f>
        <v>9305.3174838672639</v>
      </c>
      <c r="BB3" s="135">
        <f>AW3/D3</f>
        <v>20.851614630041247</v>
      </c>
      <c r="BC3" s="91"/>
    </row>
    <row r="4" spans="1:55">
      <c r="A4" s="7" t="s">
        <v>125</v>
      </c>
      <c r="B4" s="18" t="s">
        <v>165</v>
      </c>
      <c r="C4" s="18"/>
      <c r="D4" s="181">
        <v>425</v>
      </c>
      <c r="E4" s="129"/>
      <c r="F4" s="124">
        <v>34898</v>
      </c>
      <c r="G4" s="206">
        <v>34303</v>
      </c>
      <c r="H4" s="124">
        <f t="shared" si="10"/>
        <v>-595</v>
      </c>
      <c r="I4" s="124">
        <f t="shared" si="11"/>
        <v>34303</v>
      </c>
      <c r="J4" s="134"/>
      <c r="K4" s="134">
        <f t="shared" si="12"/>
        <v>82.112941176470585</v>
      </c>
      <c r="L4" s="134">
        <f t="shared" si="13"/>
        <v>80.712941176470594</v>
      </c>
      <c r="M4" s="134"/>
      <c r="N4" s="134">
        <f>F4*Emissionsfaktorer!E$11</f>
        <v>15669.202000000001</v>
      </c>
      <c r="O4" s="134">
        <f>G4*Emissionsfaktorer!E$12</f>
        <v>12966.534</v>
      </c>
      <c r="P4" s="235"/>
      <c r="Q4" s="179">
        <v>1082</v>
      </c>
      <c r="R4" s="302">
        <v>867.7</v>
      </c>
      <c r="S4" s="134"/>
      <c r="T4" s="134">
        <f t="shared" si="0"/>
        <v>46559.542000000001</v>
      </c>
      <c r="U4" s="134">
        <f t="shared" si="1"/>
        <v>37337.998700000004</v>
      </c>
      <c r="V4" s="134">
        <f t="shared" si="14"/>
        <v>-9221.5432999999975</v>
      </c>
      <c r="W4" s="134">
        <f t="shared" si="15"/>
        <v>37337.998700000004</v>
      </c>
      <c r="X4" s="134"/>
      <c r="Y4" s="134">
        <f t="shared" si="2"/>
        <v>109.55186352941176</v>
      </c>
      <c r="Z4" s="134">
        <f t="shared" si="3"/>
        <v>87.854114588235305</v>
      </c>
      <c r="AA4" s="129">
        <v>9.0999999999999998E-2</v>
      </c>
      <c r="AB4" s="134"/>
      <c r="AC4" s="134">
        <f>Emissionsfaktorer!E$17*T4</f>
        <v>4655.9542000000001</v>
      </c>
      <c r="AD4" s="134">
        <f>Emissionsfaktorer!E$18*U4</f>
        <v>3472.4338791000005</v>
      </c>
      <c r="AE4" s="173"/>
      <c r="AF4" s="134">
        <f t="shared" si="16"/>
        <v>20325.156200000001</v>
      </c>
      <c r="AG4" s="134">
        <f t="shared" si="17"/>
        <v>16438.967879100001</v>
      </c>
      <c r="AH4" s="134">
        <f t="shared" si="18"/>
        <v>-3886.1883209000007</v>
      </c>
      <c r="AI4" s="135">
        <f t="shared" si="4"/>
        <v>38.679924421411769</v>
      </c>
      <c r="AJ4" s="134">
        <f>((T4*0.8)/(1.219))+(T4*0.2)</f>
        <v>39867.801427071368</v>
      </c>
      <c r="AK4" s="134">
        <f>((U4*0.8)/(0.9571))+(U4*0.2)</f>
        <v>38676.876680758549</v>
      </c>
      <c r="AL4" s="134">
        <f t="shared" si="19"/>
        <v>38194.866283839212</v>
      </c>
      <c r="AM4" s="134">
        <f t="shared" si="20"/>
        <v>39011.59617594818</v>
      </c>
      <c r="AN4" s="134">
        <f>AK4-AJ4</f>
        <v>-1190.9247463128195</v>
      </c>
      <c r="AO4" s="134">
        <f>AJ4/D4</f>
        <v>93.806591593109104</v>
      </c>
      <c r="AP4" s="134">
        <f>AK4/D4</f>
        <v>91.004415719431876</v>
      </c>
      <c r="AQ4" s="129">
        <f>Emissionsfaktorer!E$16</f>
        <v>8.5999999999999993E-2</v>
      </c>
      <c r="AR4" s="134">
        <f>AQ4*AJ4</f>
        <v>3428.6309227281372</v>
      </c>
      <c r="AS4" s="134">
        <f>AQ4*AK4</f>
        <v>3326.2113945452347</v>
      </c>
      <c r="AT4">
        <f t="shared" si="5"/>
        <v>3284.758500410172</v>
      </c>
      <c r="AU4" s="173">
        <f t="shared" si="6"/>
        <v>3354.9972711315431</v>
      </c>
      <c r="AV4" s="134">
        <f t="shared" si="7"/>
        <v>19097.832922728139</v>
      </c>
      <c r="AW4" s="134">
        <f t="shared" si="7"/>
        <v>16292.745394545234</v>
      </c>
      <c r="AX4" s="134">
        <f t="shared" si="8"/>
        <v>18953.960500410172</v>
      </c>
      <c r="AY4" s="134">
        <f t="shared" si="9"/>
        <v>16321.531271131542</v>
      </c>
      <c r="AZ4" s="134">
        <f t="shared" si="21"/>
        <v>-2805.0875281829049</v>
      </c>
      <c r="BA4" s="134">
        <f t="shared" si="22"/>
        <v>12937.74812341369</v>
      </c>
      <c r="BB4" s="135">
        <f>AW4/D4</f>
        <v>38.335871516577022</v>
      </c>
      <c r="BC4" s="91"/>
    </row>
    <row r="5" spans="1:55">
      <c r="A5" s="7" t="s">
        <v>126</v>
      </c>
      <c r="B5" s="18" t="s">
        <v>166</v>
      </c>
      <c r="C5" s="18"/>
      <c r="D5" s="180">
        <v>1018</v>
      </c>
      <c r="E5" s="129"/>
      <c r="F5" s="124">
        <v>55102</v>
      </c>
      <c r="G5" s="206">
        <v>53845</v>
      </c>
      <c r="H5" s="124">
        <f t="shared" si="10"/>
        <v>-1257</v>
      </c>
      <c r="I5" s="124">
        <f t="shared" si="11"/>
        <v>53845</v>
      </c>
      <c r="J5" s="134"/>
      <c r="K5" s="134">
        <f t="shared" si="12"/>
        <v>54.127701375245579</v>
      </c>
      <c r="L5" s="134">
        <f t="shared" si="13"/>
        <v>52.892927308447938</v>
      </c>
      <c r="M5" s="134"/>
      <c r="N5" s="134">
        <f>F5*Emissionsfaktorer!E$11</f>
        <v>24740.797999999999</v>
      </c>
      <c r="O5" s="134">
        <f>G5*Emissionsfaktorer!E$12</f>
        <v>20353.41</v>
      </c>
      <c r="P5" s="235"/>
      <c r="Q5" s="179">
        <v>4843</v>
      </c>
      <c r="R5" s="302">
        <v>4441</v>
      </c>
      <c r="S5" s="134"/>
      <c r="T5" s="134">
        <f t="shared" si="0"/>
        <v>208399.133</v>
      </c>
      <c r="U5" s="134">
        <f t="shared" si="1"/>
        <v>191100.671</v>
      </c>
      <c r="V5" s="134">
        <f t="shared" si="14"/>
        <v>-17298.462</v>
      </c>
      <c r="W5" s="134">
        <f t="shared" si="15"/>
        <v>191100.671</v>
      </c>
      <c r="X5" s="134"/>
      <c r="Y5" s="134">
        <f t="shared" si="2"/>
        <v>204.7142760314342</v>
      </c>
      <c r="Z5" s="134">
        <f t="shared" si="3"/>
        <v>187.7216807465619</v>
      </c>
      <c r="AA5" s="129">
        <v>9.0999999999999998E-2</v>
      </c>
      <c r="AB5" s="134"/>
      <c r="AC5" s="134">
        <f>Emissionsfaktorer!E$17*T5</f>
        <v>20839.9133</v>
      </c>
      <c r="AD5" s="134">
        <f>Emissionsfaktorer!E$18*U5</f>
        <v>17772.362402999999</v>
      </c>
      <c r="AE5" s="173"/>
      <c r="AF5" s="134">
        <f t="shared" si="16"/>
        <v>45580.711299999995</v>
      </c>
      <c r="AG5" s="134">
        <f t="shared" si="17"/>
        <v>38125.772402999995</v>
      </c>
      <c r="AH5" s="134">
        <f t="shared" si="18"/>
        <v>-7454.938897</v>
      </c>
      <c r="AI5" s="135">
        <f t="shared" si="4"/>
        <v>37.451642832023573</v>
      </c>
      <c r="AJ5" s="134">
        <f>((T5*0.8)/(1.219))+(T5*0.2)</f>
        <v>178447.10010287119</v>
      </c>
      <c r="AK5" s="134">
        <f>((U5*0.8)/(0.9571))+(U5*0.2)</f>
        <v>197953.22039788947</v>
      </c>
      <c r="AL5" s="134">
        <f t="shared" si="19"/>
        <v>170959.09187858901</v>
      </c>
      <c r="AM5" s="134">
        <f t="shared" si="20"/>
        <v>199666.35774736182</v>
      </c>
      <c r="AN5" s="134">
        <f>AK5-AJ5</f>
        <v>19506.120295018278</v>
      </c>
      <c r="AO5" s="134">
        <f>AJ5/D5</f>
        <v>175.29184685940194</v>
      </c>
      <c r="AP5" s="134">
        <f>AK5/D5</f>
        <v>194.45306522385999</v>
      </c>
      <c r="AQ5" s="129">
        <f>Emissionsfaktorer!E$16</f>
        <v>8.5999999999999993E-2</v>
      </c>
      <c r="AR5" s="134">
        <f>AQ5*AJ5</f>
        <v>15346.450608846921</v>
      </c>
      <c r="AS5" s="134">
        <f>AQ5*AK5</f>
        <v>17023.976954218491</v>
      </c>
      <c r="AT5">
        <f t="shared" si="5"/>
        <v>14702.481901558654</v>
      </c>
      <c r="AU5" s="173">
        <f t="shared" si="6"/>
        <v>17171.306766273115</v>
      </c>
      <c r="AV5" s="134">
        <f t="shared" si="7"/>
        <v>40087.248608846916</v>
      </c>
      <c r="AW5" s="134">
        <f t="shared" si="7"/>
        <v>37377.386954218491</v>
      </c>
      <c r="AX5" s="134">
        <f t="shared" si="8"/>
        <v>39443.27990155865</v>
      </c>
      <c r="AY5" s="134">
        <f t="shared" si="9"/>
        <v>37524.716766273115</v>
      </c>
      <c r="AZ5" s="134">
        <f t="shared" si="21"/>
        <v>-2709.8616546284247</v>
      </c>
      <c r="BA5" s="134">
        <f t="shared" si="22"/>
        <v>20206.080187945376</v>
      </c>
      <c r="BB5" s="135">
        <f>AW5/D5</f>
        <v>36.716490131845276</v>
      </c>
      <c r="BC5" s="91"/>
    </row>
    <row r="6" spans="1:55">
      <c r="A6" s="18"/>
      <c r="B6" s="18" t="s">
        <v>167</v>
      </c>
      <c r="C6" s="18"/>
      <c r="D6" s="139">
        <v>1985</v>
      </c>
      <c r="E6" s="129"/>
      <c r="F6" s="124">
        <v>76884</v>
      </c>
      <c r="G6" s="206">
        <v>76201</v>
      </c>
      <c r="H6" s="124">
        <f t="shared" si="10"/>
        <v>-683</v>
      </c>
      <c r="I6" s="124">
        <f t="shared" si="11"/>
        <v>76201</v>
      </c>
      <c r="J6" s="134"/>
      <c r="K6" s="134">
        <f t="shared" si="12"/>
        <v>38.732493702770782</v>
      </c>
      <c r="L6" s="134">
        <f t="shared" si="13"/>
        <v>38.388413098236775</v>
      </c>
      <c r="M6" s="134"/>
      <c r="N6" s="134">
        <f>F6*Emissionsfaktorer!E$11</f>
        <v>34520.915999999997</v>
      </c>
      <c r="O6" s="134">
        <f>G6*Emissionsfaktorer!E$12</f>
        <v>28803.977999999999</v>
      </c>
      <c r="P6" s="235"/>
      <c r="Q6" s="179">
        <v>14107</v>
      </c>
      <c r="R6" s="302">
        <v>12145</v>
      </c>
      <c r="S6" s="134"/>
      <c r="T6" s="134">
        <f t="shared" si="0"/>
        <v>607038.31700000004</v>
      </c>
      <c r="U6" s="134">
        <f t="shared" si="1"/>
        <v>522611.495</v>
      </c>
      <c r="V6" s="134">
        <f t="shared" si="14"/>
        <v>-84426.822000000044</v>
      </c>
      <c r="W6" s="134">
        <f t="shared" si="15"/>
        <v>522611.495</v>
      </c>
      <c r="X6" s="134"/>
      <c r="Y6" s="134">
        <f t="shared" si="2"/>
        <v>305.81275415617131</v>
      </c>
      <c r="Z6" s="134">
        <f t="shared" si="3"/>
        <v>263.28035012594461</v>
      </c>
      <c r="AA6" s="129">
        <v>9.0999999999999998E-2</v>
      </c>
      <c r="AB6" s="134"/>
      <c r="AC6" s="134">
        <f>Emissionsfaktorer!E$17*T6</f>
        <v>60703.83170000001</v>
      </c>
      <c r="AD6" s="134">
        <f>Emissionsfaktorer!E$18*U6</f>
        <v>48602.869034999996</v>
      </c>
      <c r="AE6" s="173"/>
      <c r="AF6" s="134">
        <f t="shared" si="16"/>
        <v>95224.747700000007</v>
      </c>
      <c r="AG6" s="134">
        <f t="shared" si="17"/>
        <v>77406.847034999999</v>
      </c>
      <c r="AH6" s="134">
        <f t="shared" si="18"/>
        <v>-17817.900665000008</v>
      </c>
      <c r="AI6" s="135">
        <f t="shared" si="4"/>
        <v>38.995892712846349</v>
      </c>
      <c r="AJ6" s="134">
        <f t="shared" ref="AJ6:AJ12" si="23">((T6*0.8)/(1.219))+(T6*0.2)</f>
        <v>519792.1208241182</v>
      </c>
      <c r="AK6" s="134">
        <f t="shared" ref="AK6:AK12" si="24">((U6*0.8)/(0.9571))+(U6*0.2)</f>
        <v>541351.4662761467</v>
      </c>
      <c r="AL6" s="134">
        <f t="shared" si="19"/>
        <v>497980.57178014767</v>
      </c>
      <c r="AM6" s="134">
        <f t="shared" si="20"/>
        <v>546036.45909518341</v>
      </c>
      <c r="AN6" s="134">
        <f t="shared" ref="AN6:AN12" si="25">AK6-AJ6</f>
        <v>21559.345452028501</v>
      </c>
      <c r="AO6" s="134">
        <f t="shared" ref="AO6:AO12" si="26">AJ6/D6</f>
        <v>261.86001049073963</v>
      </c>
      <c r="AP6" s="134">
        <f t="shared" ref="AP6:AP12" si="27">AK6/D6</f>
        <v>272.72114170082955</v>
      </c>
      <c r="AQ6" s="129">
        <f>Emissionsfaktorer!E$16</f>
        <v>8.5999999999999993E-2</v>
      </c>
      <c r="AR6" s="134">
        <f t="shared" ref="AR6:AR12" si="28">AQ6*AJ6</f>
        <v>44702.122390874159</v>
      </c>
      <c r="AS6" s="134">
        <f t="shared" ref="AS6:AS12" si="29">AQ6*AK6</f>
        <v>46556.226099748616</v>
      </c>
      <c r="AT6">
        <f t="shared" si="5"/>
        <v>42826.329173092694</v>
      </c>
      <c r="AU6" s="173">
        <f t="shared" si="6"/>
        <v>46959.135482185768</v>
      </c>
      <c r="AV6" s="134">
        <f t="shared" ref="AV6:AW12" si="30">N6+AR6</f>
        <v>79223.038390874164</v>
      </c>
      <c r="AW6" s="134">
        <f t="shared" si="30"/>
        <v>75360.204099748618</v>
      </c>
      <c r="AX6" s="134">
        <f t="shared" si="8"/>
        <v>77347.245173092699</v>
      </c>
      <c r="AY6" s="134">
        <f t="shared" si="9"/>
        <v>75763.11348218577</v>
      </c>
      <c r="AZ6" s="134">
        <f t="shared" si="21"/>
        <v>-3862.8342911255459</v>
      </c>
      <c r="BA6" s="134">
        <f t="shared" si="22"/>
        <v>28401.068617562851</v>
      </c>
      <c r="BB6" s="135">
        <f t="shared" ref="BB6:BB12" si="31">AW6/D6</f>
        <v>37.964838337404842</v>
      </c>
      <c r="BC6" s="91"/>
    </row>
    <row r="7" spans="1:55">
      <c r="A7" s="7" t="s">
        <v>131</v>
      </c>
      <c r="B7" s="18" t="s">
        <v>131</v>
      </c>
      <c r="C7" s="18"/>
      <c r="D7" s="141">
        <v>2467</v>
      </c>
      <c r="E7" s="129"/>
      <c r="F7" s="124">
        <v>232077</v>
      </c>
      <c r="G7" s="206">
        <v>243715</v>
      </c>
      <c r="H7" s="124">
        <f t="shared" si="10"/>
        <v>11638</v>
      </c>
      <c r="I7" s="124">
        <f t="shared" si="11"/>
        <v>243715</v>
      </c>
      <c r="J7" s="134"/>
      <c r="K7" s="134">
        <f t="shared" si="12"/>
        <v>94.072557762464527</v>
      </c>
      <c r="L7" s="134">
        <f t="shared" si="13"/>
        <v>98.790028374543979</v>
      </c>
      <c r="M7" s="134"/>
      <c r="N7" s="134">
        <f>F7*Emissionsfaktorer!E$11</f>
        <v>104202.573</v>
      </c>
      <c r="O7" s="134">
        <f>G7*Emissionsfaktorer!E$12</f>
        <v>92124.27</v>
      </c>
      <c r="P7" s="238"/>
      <c r="Q7" s="179">
        <v>6968</v>
      </c>
      <c r="R7" s="302">
        <v>5972</v>
      </c>
      <c r="S7" s="134"/>
      <c r="T7" s="134">
        <f t="shared" si="0"/>
        <v>299840.00800000003</v>
      </c>
      <c r="U7" s="134">
        <f t="shared" si="1"/>
        <v>256981.13200000001</v>
      </c>
      <c r="V7" s="134">
        <f t="shared" si="14"/>
        <v>-42858.876000000018</v>
      </c>
      <c r="W7" s="134">
        <f t="shared" si="15"/>
        <v>256981.13200000001</v>
      </c>
      <c r="X7" s="134"/>
      <c r="Y7" s="134">
        <f t="shared" si="2"/>
        <v>121.54033563032024</v>
      </c>
      <c r="Z7" s="134">
        <f t="shared" si="3"/>
        <v>104.16746331576815</v>
      </c>
      <c r="AA7" s="129">
        <v>9.0999999999999998E-2</v>
      </c>
      <c r="AB7" s="134"/>
      <c r="AC7" s="134">
        <f>Emissionsfaktorer!E$17*T7</f>
        <v>29984.000800000005</v>
      </c>
      <c r="AD7" s="134">
        <f>Emissionsfaktorer!E$18*U7</f>
        <v>23899.245276000001</v>
      </c>
      <c r="AE7" s="173"/>
      <c r="AF7" s="134">
        <f t="shared" si="16"/>
        <v>134186.57380000001</v>
      </c>
      <c r="AG7" s="134">
        <f t="shared" si="17"/>
        <v>116023.51527600001</v>
      </c>
      <c r="AH7" s="134">
        <f t="shared" si="18"/>
        <v>-18163.058524000007</v>
      </c>
      <c r="AI7" s="135">
        <f t="shared" si="4"/>
        <v>47.030204813944067</v>
      </c>
      <c r="AJ7" s="134">
        <f t="shared" si="23"/>
        <v>256745.69347858903</v>
      </c>
      <c r="AK7" s="134">
        <f t="shared" si="24"/>
        <v>266196.04418288585</v>
      </c>
      <c r="AL7" s="134">
        <f t="shared" si="19"/>
        <v>245972.11484823626</v>
      </c>
      <c r="AM7" s="134">
        <f t="shared" si="20"/>
        <v>268499.77222860727</v>
      </c>
      <c r="AN7" s="134">
        <f t="shared" si="25"/>
        <v>9450.3507042968122</v>
      </c>
      <c r="AO7" s="134">
        <f t="shared" si="26"/>
        <v>104.07202816318971</v>
      </c>
      <c r="AP7" s="134">
        <f t="shared" si="27"/>
        <v>107.9027337587701</v>
      </c>
      <c r="AQ7" s="129">
        <f>Emissionsfaktorer!E$16</f>
        <v>8.5999999999999993E-2</v>
      </c>
      <c r="AR7" s="134">
        <f t="shared" si="28"/>
        <v>22080.129639158655</v>
      </c>
      <c r="AS7" s="134">
        <f t="shared" si="29"/>
        <v>22892.859799728179</v>
      </c>
      <c r="AT7">
        <f t="shared" si="5"/>
        <v>21153.601876948316</v>
      </c>
      <c r="AU7" s="173">
        <f t="shared" si="6"/>
        <v>23090.980411660224</v>
      </c>
      <c r="AV7" s="134">
        <f t="shared" si="30"/>
        <v>126282.70263915866</v>
      </c>
      <c r="AW7" s="134">
        <f t="shared" si="30"/>
        <v>115017.12979972818</v>
      </c>
      <c r="AX7" s="134">
        <f t="shared" si="8"/>
        <v>125356.17487694832</v>
      </c>
      <c r="AY7" s="134">
        <f t="shared" si="9"/>
        <v>115215.25041166024</v>
      </c>
      <c r="AZ7" s="134">
        <f t="shared" si="21"/>
        <v>-11265.572839430475</v>
      </c>
      <c r="BA7" s="134">
        <f t="shared" si="22"/>
        <v>91926.149388067948</v>
      </c>
      <c r="BB7" s="135">
        <f t="shared" si="31"/>
        <v>46.62226582883185</v>
      </c>
      <c r="BC7" s="91"/>
    </row>
    <row r="8" spans="1:55">
      <c r="A8" s="7" t="s">
        <v>133</v>
      </c>
      <c r="B8" s="18" t="s">
        <v>168</v>
      </c>
      <c r="C8" s="18"/>
      <c r="D8" s="141">
        <v>3453</v>
      </c>
      <c r="E8" s="129"/>
      <c r="F8" s="124">
        <v>30331</v>
      </c>
      <c r="G8" s="206">
        <v>29708</v>
      </c>
      <c r="H8" s="124">
        <f t="shared" si="10"/>
        <v>-623</v>
      </c>
      <c r="I8" s="124">
        <f t="shared" si="11"/>
        <v>29708</v>
      </c>
      <c r="J8" s="134"/>
      <c r="K8" s="134">
        <f t="shared" si="12"/>
        <v>8.7839559803069793</v>
      </c>
      <c r="L8" s="134">
        <f t="shared" si="13"/>
        <v>8.6035331595713878</v>
      </c>
      <c r="M8" s="134"/>
      <c r="N8" s="134">
        <f>F8*Emissionsfaktorer!E$11</f>
        <v>13618.619000000001</v>
      </c>
      <c r="O8" s="134">
        <f>G8*Emissionsfaktorer!E$12</f>
        <v>11229.624</v>
      </c>
      <c r="P8" s="238"/>
      <c r="Q8" s="179">
        <v>9049</v>
      </c>
      <c r="R8" s="302">
        <v>7829</v>
      </c>
      <c r="S8" s="134"/>
      <c r="T8" s="134">
        <f t="shared" si="0"/>
        <v>389387.51900000003</v>
      </c>
      <c r="U8" s="134">
        <f t="shared" si="1"/>
        <v>336889.69900000002</v>
      </c>
      <c r="V8" s="134">
        <f t="shared" si="14"/>
        <v>-52497.820000000007</v>
      </c>
      <c r="W8" s="134">
        <f t="shared" si="15"/>
        <v>336889.69900000002</v>
      </c>
      <c r="X8" s="134"/>
      <c r="Y8" s="134">
        <f t="shared" si="2"/>
        <v>112.76788850275123</v>
      </c>
      <c r="Z8" s="134">
        <f t="shared" si="3"/>
        <v>97.564349551114972</v>
      </c>
      <c r="AA8" s="129">
        <v>9.0999999999999998E-2</v>
      </c>
      <c r="AB8" s="134"/>
      <c r="AC8" s="134">
        <f>Emissionsfaktorer!E$17*T8</f>
        <v>38938.751900000003</v>
      </c>
      <c r="AD8" s="134">
        <f>Emissionsfaktorer!E$18*U8</f>
        <v>31330.742007000001</v>
      </c>
      <c r="AE8" s="173"/>
      <c r="AF8" s="134">
        <f t="shared" si="16"/>
        <v>52557.370900000002</v>
      </c>
      <c r="AG8" s="134">
        <f t="shared" si="17"/>
        <v>42560.366007000004</v>
      </c>
      <c r="AH8" s="134">
        <f t="shared" si="18"/>
        <v>-9997.0048929999975</v>
      </c>
      <c r="AI8" s="135">
        <f t="shared" si="4"/>
        <v>12.325620042571678</v>
      </c>
      <c r="AJ8" s="134">
        <f t="shared" si="23"/>
        <v>333423.04539146845</v>
      </c>
      <c r="AK8" s="134">
        <f t="shared" si="24"/>
        <v>348969.99831008259</v>
      </c>
      <c r="AL8" s="134">
        <f t="shared" si="19"/>
        <v>319431.92698933551</v>
      </c>
      <c r="AM8" s="134">
        <f t="shared" si="20"/>
        <v>351990.07313760323</v>
      </c>
      <c r="AN8" s="134">
        <f t="shared" si="25"/>
        <v>15546.952918614144</v>
      </c>
      <c r="AO8" s="134">
        <f t="shared" si="26"/>
        <v>96.560395421797992</v>
      </c>
      <c r="AP8" s="134">
        <f t="shared" si="27"/>
        <v>101.06284341444616</v>
      </c>
      <c r="AQ8" s="129">
        <f>Emissionsfaktorer!E$16</f>
        <v>8.5999999999999993E-2</v>
      </c>
      <c r="AR8" s="134">
        <f t="shared" si="28"/>
        <v>28674.381903666283</v>
      </c>
      <c r="AS8" s="134">
        <f t="shared" si="29"/>
        <v>30011.4198546671</v>
      </c>
      <c r="AT8">
        <f t="shared" si="5"/>
        <v>27471.145721082852</v>
      </c>
      <c r="AU8" s="173">
        <f t="shared" si="6"/>
        <v>30271.146289833876</v>
      </c>
      <c r="AV8" s="134">
        <f t="shared" si="30"/>
        <v>42293.000903666281</v>
      </c>
      <c r="AW8" s="134">
        <f t="shared" si="30"/>
        <v>41241.043854667099</v>
      </c>
      <c r="AX8" s="134">
        <f t="shared" si="8"/>
        <v>41089.764721082851</v>
      </c>
      <c r="AY8" s="134">
        <f t="shared" si="9"/>
        <v>41500.770289833876</v>
      </c>
      <c r="AZ8" s="134">
        <f t="shared" si="21"/>
        <v>-1051.957048999182</v>
      </c>
      <c r="BA8" s="134">
        <f t="shared" si="22"/>
        <v>10969.897564833223</v>
      </c>
      <c r="BB8" s="135">
        <f t="shared" si="31"/>
        <v>11.943540067960353</v>
      </c>
      <c r="BC8" s="91"/>
    </row>
    <row r="9" spans="1:55">
      <c r="A9" s="7" t="s">
        <v>132</v>
      </c>
      <c r="B9" s="18" t="s">
        <v>132</v>
      </c>
      <c r="C9" s="18"/>
      <c r="D9" s="141">
        <v>3453</v>
      </c>
      <c r="E9" s="129"/>
      <c r="F9" s="124">
        <v>118497</v>
      </c>
      <c r="G9" s="206">
        <v>94227</v>
      </c>
      <c r="H9" s="124">
        <f t="shared" si="10"/>
        <v>-24270</v>
      </c>
      <c r="I9" s="124">
        <f t="shared" si="11"/>
        <v>94227</v>
      </c>
      <c r="J9" s="134"/>
      <c r="K9" s="134">
        <f t="shared" si="12"/>
        <v>34.317115551694179</v>
      </c>
      <c r="L9" s="134">
        <f t="shared" si="13"/>
        <v>27.288444830582101</v>
      </c>
      <c r="M9" s="134"/>
      <c r="N9" s="134">
        <f>F9*Emissionsfaktorer!E$11</f>
        <v>53205.152999999998</v>
      </c>
      <c r="O9" s="134">
        <f>G9*Emissionsfaktorer!E$12</f>
        <v>35617.805999999997</v>
      </c>
      <c r="P9" s="238"/>
      <c r="Q9" s="179">
        <v>9705</v>
      </c>
      <c r="R9" s="302">
        <v>5740</v>
      </c>
      <c r="S9" s="134"/>
      <c r="T9" s="134">
        <f t="shared" si="0"/>
        <v>417615.85500000004</v>
      </c>
      <c r="U9" s="134">
        <f t="shared" si="1"/>
        <v>246997.94</v>
      </c>
      <c r="V9" s="134">
        <f t="shared" si="14"/>
        <v>-170617.91500000004</v>
      </c>
      <c r="W9" s="134">
        <f t="shared" si="15"/>
        <v>246997.94</v>
      </c>
      <c r="X9" s="134"/>
      <c r="Y9" s="134">
        <f t="shared" si="2"/>
        <v>120.9429061685491</v>
      </c>
      <c r="Z9" s="134">
        <f t="shared" si="3"/>
        <v>71.531404575731244</v>
      </c>
      <c r="AA9" s="129">
        <v>9.0999999999999998E-2</v>
      </c>
      <c r="AB9" s="134"/>
      <c r="AC9" s="134">
        <f>Emissionsfaktorer!E$17*T9</f>
        <v>41761.585500000008</v>
      </c>
      <c r="AD9" s="134">
        <f>Emissionsfaktorer!E$18*U9</f>
        <v>22970.808420000001</v>
      </c>
      <c r="AE9" s="173"/>
      <c r="AF9" s="134">
        <f t="shared" si="16"/>
        <v>94966.738500000007</v>
      </c>
      <c r="AG9" s="134">
        <f t="shared" si="17"/>
        <v>58588.614419999998</v>
      </c>
      <c r="AH9" s="134">
        <f t="shared" si="18"/>
        <v>-36378.124080000009</v>
      </c>
      <c r="AI9" s="135">
        <f t="shared" si="4"/>
        <v>16.967452771503041</v>
      </c>
      <c r="AJ9" s="134">
        <f t="shared" si="23"/>
        <v>357594.28174651362</v>
      </c>
      <c r="AK9" s="134">
        <f t="shared" si="24"/>
        <v>255854.87166941806</v>
      </c>
      <c r="AL9" s="134">
        <f t="shared" si="19"/>
        <v>342588.88843314192</v>
      </c>
      <c r="AM9" s="134">
        <f t="shared" si="20"/>
        <v>258069.10458677256</v>
      </c>
      <c r="AN9" s="134">
        <f t="shared" si="25"/>
        <v>-101739.41007709556</v>
      </c>
      <c r="AO9" s="134">
        <f t="shared" si="26"/>
        <v>103.5604638709857</v>
      </c>
      <c r="AP9" s="134">
        <f t="shared" si="27"/>
        <v>74.096400715151475</v>
      </c>
      <c r="AQ9" s="129">
        <f>Emissionsfaktorer!E$16</f>
        <v>8.5999999999999993E-2</v>
      </c>
      <c r="AR9" s="134">
        <f t="shared" si="28"/>
        <v>30753.108230200167</v>
      </c>
      <c r="AS9" s="134">
        <f t="shared" si="29"/>
        <v>22003.51896356995</v>
      </c>
      <c r="AT9">
        <f t="shared" si="5"/>
        <v>29462.644405250205</v>
      </c>
      <c r="AU9" s="173">
        <f t="shared" si="6"/>
        <v>22193.942994462439</v>
      </c>
      <c r="AV9" s="134">
        <f t="shared" si="30"/>
        <v>83958.261230200165</v>
      </c>
      <c r="AW9" s="134">
        <f t="shared" si="30"/>
        <v>57621.324963569947</v>
      </c>
      <c r="AX9" s="134">
        <f t="shared" si="8"/>
        <v>82667.797405250196</v>
      </c>
      <c r="AY9" s="134">
        <f t="shared" si="9"/>
        <v>57811.748994462439</v>
      </c>
      <c r="AZ9" s="134">
        <f t="shared" si="21"/>
        <v>-26336.936266630219</v>
      </c>
      <c r="BA9" s="134">
        <f t="shared" si="22"/>
        <v>35427.381969107504</v>
      </c>
      <c r="BB9" s="135">
        <f t="shared" si="31"/>
        <v>16.687322607463059</v>
      </c>
      <c r="BC9" s="91"/>
    </row>
    <row r="10" spans="1:55">
      <c r="A10" s="18"/>
      <c r="B10" s="18" t="s">
        <v>169</v>
      </c>
      <c r="C10" s="18"/>
      <c r="D10" s="139">
        <v>641</v>
      </c>
      <c r="E10" s="129"/>
      <c r="F10" s="124">
        <v>459895</v>
      </c>
      <c r="G10" s="206">
        <v>451203</v>
      </c>
      <c r="H10" s="124">
        <f t="shared" si="10"/>
        <v>-8692</v>
      </c>
      <c r="I10" s="124">
        <f t="shared" si="11"/>
        <v>451203</v>
      </c>
      <c r="J10" s="134"/>
      <c r="K10" s="134">
        <f t="shared" si="12"/>
        <v>717.46489859594385</v>
      </c>
      <c r="L10" s="134">
        <f t="shared" si="13"/>
        <v>703.90483619344775</v>
      </c>
      <c r="M10" s="134"/>
      <c r="N10" s="134">
        <f>F10*Emissionsfaktorer!E$11</f>
        <v>206492.85500000001</v>
      </c>
      <c r="O10" s="134">
        <f>G10*Emissionsfaktorer!E$12</f>
        <v>170554.734</v>
      </c>
      <c r="P10" s="238"/>
      <c r="Q10" s="179">
        <v>23781</v>
      </c>
      <c r="R10" s="302">
        <v>17334</v>
      </c>
      <c r="S10" s="134"/>
      <c r="T10" s="134">
        <f t="shared" si="0"/>
        <v>1023320.211</v>
      </c>
      <c r="U10" s="134">
        <f t="shared" si="1"/>
        <v>745899.35400000005</v>
      </c>
      <c r="V10" s="134">
        <f t="shared" si="14"/>
        <v>-277420.85699999996</v>
      </c>
      <c r="W10" s="134">
        <f t="shared" si="15"/>
        <v>745899.35400000005</v>
      </c>
      <c r="X10" s="134"/>
      <c r="Y10" s="134">
        <f t="shared" si="2"/>
        <v>1596.4433868954759</v>
      </c>
      <c r="Z10" s="134">
        <f t="shared" si="3"/>
        <v>1163.6495382215289</v>
      </c>
      <c r="AA10" s="129">
        <v>9.0999999999999998E-2</v>
      </c>
      <c r="AB10" s="134"/>
      <c r="AC10" s="134">
        <f>Emissionsfaktorer!E$17*T10</f>
        <v>102332.02110000001</v>
      </c>
      <c r="AD10" s="134">
        <f>Emissionsfaktorer!E$18*U10</f>
        <v>69368.639922000002</v>
      </c>
      <c r="AE10" s="173"/>
      <c r="AF10" s="134">
        <f t="shared" si="16"/>
        <v>308824.87609999999</v>
      </c>
      <c r="AG10" s="134">
        <f t="shared" si="17"/>
        <v>239923.373922</v>
      </c>
      <c r="AH10" s="134">
        <f t="shared" si="18"/>
        <v>-68901.502177999995</v>
      </c>
      <c r="AI10" s="135">
        <f t="shared" si="4"/>
        <v>374.29543513572543</v>
      </c>
      <c r="AJ10" s="134">
        <f t="shared" si="23"/>
        <v>876244.16426726826</v>
      </c>
      <c r="AK10" s="134">
        <f t="shared" si="24"/>
        <v>772646.05322607886</v>
      </c>
      <c r="AL10" s="134">
        <f t="shared" si="19"/>
        <v>839475.15258408524</v>
      </c>
      <c r="AM10" s="134">
        <f t="shared" si="20"/>
        <v>779332.72803259862</v>
      </c>
      <c r="AN10" s="134">
        <f t="shared" si="25"/>
        <v>-103598.1110411894</v>
      </c>
      <c r="AO10" s="134">
        <f t="shared" si="26"/>
        <v>1366.9955760799817</v>
      </c>
      <c r="AP10" s="134">
        <f t="shared" si="27"/>
        <v>1205.3760580750061</v>
      </c>
      <c r="AQ10" s="129">
        <f>Emissionsfaktorer!E$16</f>
        <v>8.5999999999999993E-2</v>
      </c>
      <c r="AR10" s="134">
        <f t="shared" si="28"/>
        <v>75356.998126985069</v>
      </c>
      <c r="AS10" s="134">
        <f t="shared" si="29"/>
        <v>66447.560577442782</v>
      </c>
      <c r="AT10">
        <f t="shared" si="5"/>
        <v>72194.863122231327</v>
      </c>
      <c r="AU10" s="173">
        <f t="shared" si="6"/>
        <v>67022.614610803474</v>
      </c>
      <c r="AV10" s="134">
        <f t="shared" si="30"/>
        <v>281849.85312698508</v>
      </c>
      <c r="AW10" s="134">
        <f t="shared" si="30"/>
        <v>237002.29457744278</v>
      </c>
      <c r="AX10" s="134">
        <f t="shared" si="8"/>
        <v>278687.71812223131</v>
      </c>
      <c r="AY10" s="134">
        <f t="shared" si="9"/>
        <v>237577.34861080348</v>
      </c>
      <c r="AZ10" s="134">
        <f t="shared" si="21"/>
        <v>-44847.5585495423</v>
      </c>
      <c r="BA10" s="134">
        <f t="shared" si="22"/>
        <v>169979.67996663932</v>
      </c>
      <c r="BB10" s="135">
        <f t="shared" si="31"/>
        <v>369.73836907557376</v>
      </c>
      <c r="BC10" s="91"/>
    </row>
    <row r="11" spans="1:55">
      <c r="A11" s="7" t="s">
        <v>138</v>
      </c>
      <c r="B11" s="18" t="s">
        <v>170</v>
      </c>
      <c r="C11" s="18"/>
      <c r="D11" s="141">
        <v>5884</v>
      </c>
      <c r="E11" s="129"/>
      <c r="F11" s="124">
        <v>52488</v>
      </c>
      <c r="G11" s="206">
        <v>55989</v>
      </c>
      <c r="H11" s="124">
        <f t="shared" si="10"/>
        <v>3501</v>
      </c>
      <c r="I11" s="124">
        <f t="shared" si="11"/>
        <v>55989</v>
      </c>
      <c r="J11" s="134"/>
      <c r="K11" s="134">
        <f t="shared" si="12"/>
        <v>8.9204622705642418</v>
      </c>
      <c r="L11" s="134">
        <f t="shared" si="13"/>
        <v>9.5154656696125084</v>
      </c>
      <c r="M11" s="134"/>
      <c r="N11" s="134">
        <f>F11*Emissionsfaktorer!E$11</f>
        <v>23567.112000000001</v>
      </c>
      <c r="O11" s="134">
        <f>G11*Emissionsfaktorer!E$12</f>
        <v>21163.842000000001</v>
      </c>
      <c r="P11" s="238"/>
      <c r="Q11" s="179">
        <v>12929</v>
      </c>
      <c r="R11" s="302">
        <v>12114</v>
      </c>
      <c r="S11" s="134"/>
      <c r="T11" s="134">
        <f t="shared" si="0"/>
        <v>556347.799</v>
      </c>
      <c r="U11" s="134">
        <f t="shared" si="1"/>
        <v>521277.53400000004</v>
      </c>
      <c r="V11" s="134">
        <f t="shared" si="14"/>
        <v>-35070.264999999956</v>
      </c>
      <c r="W11" s="134">
        <f t="shared" si="15"/>
        <v>521277.53400000004</v>
      </c>
      <c r="X11" s="134"/>
      <c r="Y11" s="134">
        <f t="shared" si="2"/>
        <v>94.552651087695452</v>
      </c>
      <c r="Z11" s="134">
        <f t="shared" si="3"/>
        <v>88.592374915023797</v>
      </c>
      <c r="AA11" s="129">
        <v>9.0999999999999998E-2</v>
      </c>
      <c r="AB11" s="134"/>
      <c r="AC11" s="134">
        <f>Emissionsfaktorer!E$17*T11</f>
        <v>55634.779900000001</v>
      </c>
      <c r="AD11" s="134">
        <f>Emissionsfaktorer!E$18*U11</f>
        <v>48478.810662000004</v>
      </c>
      <c r="AE11" s="173"/>
      <c r="AF11" s="134">
        <f t="shared" si="16"/>
        <v>79201.891900000002</v>
      </c>
      <c r="AG11" s="134">
        <f t="shared" si="17"/>
        <v>69642.652662000008</v>
      </c>
      <c r="AH11" s="134">
        <f t="shared" si="18"/>
        <v>-9559.2392379999947</v>
      </c>
      <c r="AI11" s="135">
        <f t="shared" si="4"/>
        <v>11.835936890210743</v>
      </c>
      <c r="AJ11" s="134">
        <f t="shared" si="23"/>
        <v>476387.06529630843</v>
      </c>
      <c r="AK11" s="134">
        <f t="shared" si="24"/>
        <v>539969.67167305411</v>
      </c>
      <c r="AL11" s="134">
        <f t="shared" si="19"/>
        <v>456396.88187038555</v>
      </c>
      <c r="AM11" s="134">
        <f t="shared" si="20"/>
        <v>544642.70609131758</v>
      </c>
      <c r="AN11" s="134">
        <f t="shared" si="25"/>
        <v>63582.60637674568</v>
      </c>
      <c r="AO11" s="134">
        <f t="shared" si="26"/>
        <v>80.963131423573827</v>
      </c>
      <c r="AP11" s="134">
        <f t="shared" si="27"/>
        <v>91.769148822748832</v>
      </c>
      <c r="AQ11" s="129">
        <f>Emissionsfaktorer!E$16</f>
        <v>8.5999999999999993E-2</v>
      </c>
      <c r="AR11" s="134">
        <f t="shared" si="28"/>
        <v>40969.287615482521</v>
      </c>
      <c r="AS11" s="134">
        <f t="shared" si="29"/>
        <v>46437.391763882646</v>
      </c>
      <c r="AT11">
        <f t="shared" si="5"/>
        <v>39250.131840853152</v>
      </c>
      <c r="AU11" s="173">
        <f t="shared" si="6"/>
        <v>46839.272723853312</v>
      </c>
      <c r="AV11" s="134">
        <f t="shared" si="30"/>
        <v>64536.399615482522</v>
      </c>
      <c r="AW11" s="134">
        <f t="shared" si="30"/>
        <v>67601.233763882643</v>
      </c>
      <c r="AX11" s="134">
        <f t="shared" si="8"/>
        <v>62817.243840853153</v>
      </c>
      <c r="AY11" s="134">
        <f t="shared" si="9"/>
        <v>68003.114723853316</v>
      </c>
      <c r="AZ11" s="134">
        <f t="shared" si="21"/>
        <v>3064.8341484001212</v>
      </c>
      <c r="BA11" s="134">
        <f t="shared" si="22"/>
        <v>20761.961040029331</v>
      </c>
      <c r="BB11" s="135">
        <f t="shared" si="31"/>
        <v>11.488992821869926</v>
      </c>
      <c r="BC11" s="91"/>
    </row>
    <row r="12" spans="1:55">
      <c r="A12" s="18"/>
      <c r="B12" s="18" t="s">
        <v>171</v>
      </c>
      <c r="C12" s="18"/>
      <c r="D12" s="139">
        <v>675</v>
      </c>
      <c r="E12" s="129"/>
      <c r="F12" s="124">
        <v>23434</v>
      </c>
      <c r="G12" s="206">
        <v>23259</v>
      </c>
      <c r="H12" s="124">
        <f t="shared" si="10"/>
        <v>-175</v>
      </c>
      <c r="I12" s="124">
        <f t="shared" si="11"/>
        <v>23259</v>
      </c>
      <c r="J12" s="134"/>
      <c r="K12" s="134">
        <f t="shared" si="12"/>
        <v>34.717037037037038</v>
      </c>
      <c r="L12" s="134">
        <f t="shared" si="13"/>
        <v>34.457777777777778</v>
      </c>
      <c r="M12" s="134"/>
      <c r="N12" s="134">
        <f>F12*Emissionsfaktorer!E$11</f>
        <v>10521.866</v>
      </c>
      <c r="O12" s="134">
        <f>G12*Emissionsfaktorer!E$12</f>
        <v>8791.902</v>
      </c>
      <c r="P12" s="238"/>
      <c r="Q12" s="179">
        <v>2307</v>
      </c>
      <c r="R12" s="302">
        <v>2039</v>
      </c>
      <c r="S12" s="134"/>
      <c r="T12" s="134">
        <f t="shared" si="0"/>
        <v>99272.517000000007</v>
      </c>
      <c r="U12" s="134">
        <f t="shared" si="1"/>
        <v>87740.209000000003</v>
      </c>
      <c r="V12" s="134">
        <f t="shared" si="14"/>
        <v>-11532.308000000005</v>
      </c>
      <c r="W12" s="134">
        <f t="shared" si="15"/>
        <v>87740.209000000003</v>
      </c>
      <c r="X12" s="134"/>
      <c r="Y12" s="134">
        <f t="shared" si="2"/>
        <v>147.07039555555556</v>
      </c>
      <c r="Z12" s="134">
        <f t="shared" si="3"/>
        <v>129.98549481481481</v>
      </c>
      <c r="AA12" s="129">
        <v>9.0999999999999998E-2</v>
      </c>
      <c r="AB12" s="134"/>
      <c r="AC12" s="134">
        <f>Emissionsfaktorer!E$17*T12</f>
        <v>9927.2517000000007</v>
      </c>
      <c r="AD12" s="134">
        <f>Emissionsfaktorer!E$18*U12</f>
        <v>8159.8394370000005</v>
      </c>
      <c r="AE12" s="173"/>
      <c r="AF12" s="134">
        <f t="shared" si="16"/>
        <v>20449.117700000003</v>
      </c>
      <c r="AG12" s="134">
        <f t="shared" si="17"/>
        <v>16951.741437000001</v>
      </c>
      <c r="AH12" s="134">
        <f t="shared" si="18"/>
        <v>-3497.3762630000019</v>
      </c>
      <c r="AI12" s="135">
        <f t="shared" si="4"/>
        <v>25.113691017777779</v>
      </c>
      <c r="AJ12" s="134">
        <f t="shared" si="23"/>
        <v>85004.637608367513</v>
      </c>
      <c r="AK12" s="134">
        <f t="shared" si="24"/>
        <v>90886.425667934411</v>
      </c>
      <c r="AL12" s="134">
        <f t="shared" si="19"/>
        <v>81437.667760459386</v>
      </c>
      <c r="AM12" s="134">
        <f t="shared" si="20"/>
        <v>91672.979834917991</v>
      </c>
      <c r="AN12" s="134">
        <f t="shared" si="25"/>
        <v>5881.7880595668976</v>
      </c>
      <c r="AO12" s="134">
        <f t="shared" si="26"/>
        <v>125.93279645684076</v>
      </c>
      <c r="AP12" s="134">
        <f t="shared" si="27"/>
        <v>134.646556545088</v>
      </c>
      <c r="AQ12" s="129">
        <f>Emissionsfaktorer!E$16</f>
        <v>8.5999999999999993E-2</v>
      </c>
      <c r="AR12" s="134">
        <f t="shared" si="28"/>
        <v>7310.3988343196052</v>
      </c>
      <c r="AS12" s="134">
        <f t="shared" si="29"/>
        <v>7816.232607442359</v>
      </c>
      <c r="AT12">
        <f t="shared" si="5"/>
        <v>7003.6394273995065</v>
      </c>
      <c r="AU12" s="173">
        <f t="shared" si="6"/>
        <v>7883.8762658029464</v>
      </c>
      <c r="AV12" s="134">
        <f t="shared" si="30"/>
        <v>17832.264834319605</v>
      </c>
      <c r="AW12" s="134">
        <f t="shared" si="30"/>
        <v>16608.13460744236</v>
      </c>
      <c r="AX12" s="134">
        <f t="shared" si="8"/>
        <v>17525.505427399505</v>
      </c>
      <c r="AY12" s="134">
        <f t="shared" si="9"/>
        <v>16675.778265802946</v>
      </c>
      <c r="AZ12" s="134">
        <f t="shared" si="21"/>
        <v>-1224.1302268772451</v>
      </c>
      <c r="BA12" s="134">
        <f t="shared" si="22"/>
        <v>8724.2583416394136</v>
      </c>
      <c r="BB12" s="135">
        <f t="shared" si="31"/>
        <v>24.60464386287757</v>
      </c>
      <c r="BC12" s="91"/>
    </row>
    <row r="13" spans="1:55">
      <c r="A13" s="7" t="s">
        <v>135</v>
      </c>
      <c r="B13" s="18" t="s">
        <v>172</v>
      </c>
      <c r="C13" s="18"/>
      <c r="D13" s="180">
        <v>3816</v>
      </c>
      <c r="E13" s="129"/>
      <c r="F13" s="124">
        <v>197467</v>
      </c>
      <c r="G13" s="206">
        <v>192202</v>
      </c>
      <c r="H13" s="124">
        <f t="shared" si="10"/>
        <v>-5265</v>
      </c>
      <c r="I13" s="124">
        <f t="shared" si="11"/>
        <v>192202</v>
      </c>
      <c r="J13" s="134"/>
      <c r="K13" s="134">
        <f t="shared" si="12"/>
        <v>51.747117400419285</v>
      </c>
      <c r="L13" s="134">
        <f t="shared" si="13"/>
        <v>50.367400419287215</v>
      </c>
      <c r="M13" s="134"/>
      <c r="N13" s="134">
        <f>F13*Emissionsfaktorer!E$11</f>
        <v>88662.683000000005</v>
      </c>
      <c r="O13" s="134">
        <f>G13*Emissionsfaktorer!E$12</f>
        <v>72652.356</v>
      </c>
      <c r="P13" s="238"/>
      <c r="Q13" s="179">
        <v>5796</v>
      </c>
      <c r="R13" s="302">
        <v>6533</v>
      </c>
      <c r="S13" s="134"/>
      <c r="T13" s="134">
        <f t="shared" si="0"/>
        <v>249407.67600000001</v>
      </c>
      <c r="U13" s="134">
        <f t="shared" si="1"/>
        <v>281121.52299999999</v>
      </c>
      <c r="V13" s="134">
        <f t="shared" si="14"/>
        <v>31713.84699999998</v>
      </c>
      <c r="W13" s="134">
        <f t="shared" si="15"/>
        <v>281121.52299999999</v>
      </c>
      <c r="X13" s="134"/>
      <c r="Y13" s="134">
        <f t="shared" si="2"/>
        <v>65.358405660377358</v>
      </c>
      <c r="Z13" s="134">
        <f t="shared" si="3"/>
        <v>73.669162211740044</v>
      </c>
      <c r="AA13" s="129">
        <v>9.0999999999999998E-2</v>
      </c>
      <c r="AB13" s="134"/>
      <c r="AC13" s="134">
        <f>Emissionsfaktorer!E$17*T13</f>
        <v>24940.767600000003</v>
      </c>
      <c r="AD13" s="134">
        <f>Emissionsfaktorer!E$18*U13</f>
        <v>26144.301638999998</v>
      </c>
      <c r="AE13" s="173"/>
      <c r="AF13" s="134">
        <f t="shared" si="16"/>
        <v>113603.45060000001</v>
      </c>
      <c r="AG13" s="134">
        <f t="shared" si="17"/>
        <v>98796.657638999997</v>
      </c>
      <c r="AH13" s="134">
        <f t="shared" si="18"/>
        <v>-14806.792961000014</v>
      </c>
      <c r="AI13" s="135">
        <f t="shared" si="4"/>
        <v>25.890109444182389</v>
      </c>
      <c r="AJ13" s="134">
        <f t="shared" ref="AJ13:AJ23" si="32">((T13*0.8)/(1.219))+(T13*0.2)</f>
        <v>213561.71633207551</v>
      </c>
      <c r="AK13" s="134">
        <f t="shared" ref="AK13:AK23" si="33">((U13*0.8)/(0.9571))+(U13*0.2)</f>
        <v>291202.06909691781</v>
      </c>
      <c r="AL13" s="134">
        <f t="shared" si="19"/>
        <v>204600.22641509434</v>
      </c>
      <c r="AM13" s="134">
        <f t="shared" si="20"/>
        <v>293722.20562114724</v>
      </c>
      <c r="AN13" s="134">
        <f t="shared" ref="AN13:AN19" si="34">AK13-AJ13</f>
        <v>77640.352764842304</v>
      </c>
      <c r="AO13" s="134">
        <f t="shared" ref="AO13:AO23" si="35">AJ13/D13</f>
        <v>55.96481035955857</v>
      </c>
      <c r="AP13" s="134">
        <f t="shared" ref="AP13:AP23" si="36">AK13/D13</f>
        <v>76.310814752861063</v>
      </c>
      <c r="AQ13" s="129">
        <f>Emissionsfaktorer!E$16</f>
        <v>8.5999999999999993E-2</v>
      </c>
      <c r="AR13" s="134">
        <f t="shared" ref="AR13:AR23" si="37">AQ13*AJ13</f>
        <v>18366.307604558493</v>
      </c>
      <c r="AS13" s="134">
        <f t="shared" ref="AS13:AS23" si="38">AQ13*AK13</f>
        <v>25043.37794233493</v>
      </c>
      <c r="AT13">
        <f t="shared" si="5"/>
        <v>17595.619471698112</v>
      </c>
      <c r="AU13" s="173">
        <f t="shared" si="6"/>
        <v>25260.109683418661</v>
      </c>
      <c r="AV13" s="134">
        <f t="shared" ref="AV13:AV23" si="39">N13+AR13</f>
        <v>107028.99060455849</v>
      </c>
      <c r="AW13" s="134">
        <f t="shared" ref="AW13:AW23" si="40">O13+AS13</f>
        <v>97695.733942334933</v>
      </c>
      <c r="AX13" s="134">
        <f t="shared" si="8"/>
        <v>106258.30247169812</v>
      </c>
      <c r="AY13" s="134">
        <f t="shared" si="9"/>
        <v>97912.465683418661</v>
      </c>
      <c r="AZ13" s="134">
        <f t="shared" si="21"/>
        <v>-9333.2566622235609</v>
      </c>
      <c r="BA13" s="134">
        <f t="shared" si="22"/>
        <v>72435.624258916272</v>
      </c>
      <c r="BB13" s="135">
        <f t="shared" ref="BB13:BB23" si="41">AW13/D13</f>
        <v>25.601607427236619</v>
      </c>
      <c r="BC13" s="91"/>
    </row>
    <row r="14" spans="1:55">
      <c r="A14" s="7" t="s">
        <v>136</v>
      </c>
      <c r="B14" s="18" t="s">
        <v>173</v>
      </c>
      <c r="C14" s="18"/>
      <c r="D14" s="141">
        <v>1526</v>
      </c>
      <c r="E14" s="129"/>
      <c r="F14" s="124">
        <v>10606</v>
      </c>
      <c r="G14" s="206">
        <v>10431</v>
      </c>
      <c r="H14" s="124">
        <f t="shared" si="10"/>
        <v>-175</v>
      </c>
      <c r="I14" s="124">
        <f t="shared" si="11"/>
        <v>10431</v>
      </c>
      <c r="J14" s="134"/>
      <c r="K14" s="134">
        <f t="shared" si="12"/>
        <v>6.9501965923984272</v>
      </c>
      <c r="L14" s="134">
        <f t="shared" si="13"/>
        <v>6.8355176933158583</v>
      </c>
      <c r="M14" s="134"/>
      <c r="N14" s="134">
        <f>F14*Emissionsfaktorer!E$11</f>
        <v>4762.0940000000001</v>
      </c>
      <c r="O14" s="134">
        <f>G14*Emissionsfaktorer!E$12</f>
        <v>3942.9180000000001</v>
      </c>
      <c r="P14" s="238"/>
      <c r="Q14" s="179">
        <v>3524</v>
      </c>
      <c r="R14" s="302">
        <v>6244</v>
      </c>
      <c r="S14" s="134"/>
      <c r="T14" s="134">
        <f t="shared" si="0"/>
        <v>151641.24400000001</v>
      </c>
      <c r="U14" s="134">
        <f t="shared" si="1"/>
        <v>268685.56400000001</v>
      </c>
      <c r="V14" s="134">
        <f t="shared" si="14"/>
        <v>117044.32</v>
      </c>
      <c r="W14" s="134">
        <f t="shared" si="15"/>
        <v>268685.56400000001</v>
      </c>
      <c r="X14" s="134"/>
      <c r="Y14" s="134">
        <f t="shared" si="2"/>
        <v>99.371719528178247</v>
      </c>
      <c r="Z14" s="134">
        <f t="shared" si="3"/>
        <v>176.07179816513764</v>
      </c>
      <c r="AA14" s="129">
        <v>9.0999999999999998E-2</v>
      </c>
      <c r="AB14" s="134"/>
      <c r="AC14" s="134">
        <f>Emissionsfaktorer!E$17*T14</f>
        <v>15164.124400000001</v>
      </c>
      <c r="AD14" s="134">
        <f>Emissionsfaktorer!E$18*U14</f>
        <v>24987.757452000002</v>
      </c>
      <c r="AE14" s="173"/>
      <c r="AF14" s="134">
        <f t="shared" si="16"/>
        <v>19926.218400000002</v>
      </c>
      <c r="AG14" s="134">
        <f t="shared" si="17"/>
        <v>28930.675452000003</v>
      </c>
      <c r="AH14" s="134">
        <f t="shared" si="18"/>
        <v>9004.4570520000016</v>
      </c>
      <c r="AI14" s="135">
        <f t="shared" si="4"/>
        <v>18.958502917431193</v>
      </c>
      <c r="AJ14" s="134">
        <f t="shared" si="32"/>
        <v>129846.70261460214</v>
      </c>
      <c r="AK14" s="134">
        <f t="shared" si="33"/>
        <v>278320.17747453769</v>
      </c>
      <c r="AL14" s="134">
        <f t="shared" si="19"/>
        <v>124398.06726825266</v>
      </c>
      <c r="AM14" s="134">
        <f t="shared" si="20"/>
        <v>280728.83084317209</v>
      </c>
      <c r="AN14" s="134">
        <f t="shared" si="34"/>
        <v>148473.47485993555</v>
      </c>
      <c r="AO14" s="134">
        <f t="shared" si="35"/>
        <v>85.089582316253043</v>
      </c>
      <c r="AP14" s="134">
        <f t="shared" si="36"/>
        <v>182.38543740140085</v>
      </c>
      <c r="AQ14" s="129">
        <f>Emissionsfaktorer!E$16</f>
        <v>8.5999999999999993E-2</v>
      </c>
      <c r="AR14" s="134">
        <f t="shared" si="37"/>
        <v>11166.816424855782</v>
      </c>
      <c r="AS14" s="134">
        <f t="shared" si="38"/>
        <v>23935.535262810241</v>
      </c>
      <c r="AT14">
        <f t="shared" si="5"/>
        <v>10698.233785069728</v>
      </c>
      <c r="AU14" s="173">
        <f t="shared" si="6"/>
        <v>24142.679452512799</v>
      </c>
      <c r="AV14" s="134">
        <f t="shared" si="39"/>
        <v>15928.910424855781</v>
      </c>
      <c r="AW14" s="134">
        <f t="shared" si="40"/>
        <v>27878.453262810242</v>
      </c>
      <c r="AX14" s="134">
        <f t="shared" si="8"/>
        <v>15460.327785069727</v>
      </c>
      <c r="AY14" s="134">
        <f t="shared" si="9"/>
        <v>28085.5974525128</v>
      </c>
      <c r="AZ14" s="134">
        <f t="shared" si="21"/>
        <v>11949.542837954461</v>
      </c>
      <c r="BA14" s="134">
        <f t="shared" si="22"/>
        <v>3735.7738102974436</v>
      </c>
      <c r="BB14" s="135">
        <f t="shared" si="41"/>
        <v>18.268973304593867</v>
      </c>
      <c r="BC14" s="91"/>
    </row>
    <row r="15" spans="1:55">
      <c r="A15" s="7" t="s">
        <v>140</v>
      </c>
      <c r="B15" s="18" t="s">
        <v>174</v>
      </c>
      <c r="C15" s="18"/>
      <c r="D15" s="195">
        <v>4271</v>
      </c>
      <c r="E15" s="129"/>
      <c r="F15" s="124">
        <v>49769</v>
      </c>
      <c r="G15" s="206">
        <v>48506</v>
      </c>
      <c r="H15" s="124">
        <f t="shared" si="10"/>
        <v>-1263</v>
      </c>
      <c r="I15" s="124">
        <f t="shared" si="11"/>
        <v>48506</v>
      </c>
      <c r="J15" s="134"/>
      <c r="K15" s="134">
        <f t="shared" si="12"/>
        <v>11.652774525872161</v>
      </c>
      <c r="L15" s="134">
        <f t="shared" si="13"/>
        <v>11.357059236712713</v>
      </c>
      <c r="M15" s="134"/>
      <c r="N15" s="134">
        <f>F15*Emissionsfaktorer!E$11</f>
        <v>22346.280999999999</v>
      </c>
      <c r="O15" s="134">
        <f>G15*Emissionsfaktorer!E$12</f>
        <v>18335.268</v>
      </c>
      <c r="P15" s="235"/>
      <c r="Q15" s="179">
        <v>16529</v>
      </c>
      <c r="R15" s="302">
        <v>15127</v>
      </c>
      <c r="S15" s="134"/>
      <c r="T15" s="134">
        <f t="shared" si="0"/>
        <v>711259.39899999998</v>
      </c>
      <c r="U15" s="134">
        <f t="shared" si="1"/>
        <v>650929.93700000003</v>
      </c>
      <c r="V15" s="134">
        <f t="shared" si="14"/>
        <v>-60329.461999999941</v>
      </c>
      <c r="W15" s="134">
        <f t="shared" si="15"/>
        <v>650929.93700000003</v>
      </c>
      <c r="X15" s="134"/>
      <c r="Y15" s="134">
        <f t="shared" si="2"/>
        <v>166.5322872863498</v>
      </c>
      <c r="Z15" s="134">
        <f t="shared" si="3"/>
        <v>152.40691571060643</v>
      </c>
      <c r="AA15" s="129">
        <v>9.0999999999999998E-2</v>
      </c>
      <c r="AB15" s="134"/>
      <c r="AC15" s="134">
        <f>Emissionsfaktorer!E$17*T15</f>
        <v>71125.939899999998</v>
      </c>
      <c r="AD15" s="134">
        <f>Emissionsfaktorer!E$18*U15</f>
        <v>60536.484141000001</v>
      </c>
      <c r="AE15" s="173"/>
      <c r="AF15" s="134">
        <f t="shared" si="16"/>
        <v>93472.2209</v>
      </c>
      <c r="AG15" s="134">
        <f t="shared" si="17"/>
        <v>78871.752141000004</v>
      </c>
      <c r="AH15" s="134">
        <f t="shared" si="18"/>
        <v>-14600.468758999996</v>
      </c>
      <c r="AI15" s="135">
        <f t="shared" si="4"/>
        <v>18.466811552563804</v>
      </c>
      <c r="AJ15" s="134">
        <f t="shared" si="32"/>
        <v>609034.09407399502</v>
      </c>
      <c r="AK15" s="134">
        <f t="shared" si="33"/>
        <v>674271.19228977128</v>
      </c>
      <c r="AL15" s="134">
        <f t="shared" si="19"/>
        <v>583477.76784249383</v>
      </c>
      <c r="AM15" s="134">
        <f t="shared" si="20"/>
        <v>680106.50611221406</v>
      </c>
      <c r="AN15" s="134">
        <f t="shared" si="34"/>
        <v>65237.098215776263</v>
      </c>
      <c r="AO15" s="134">
        <f t="shared" si="35"/>
        <v>142.59754017185554</v>
      </c>
      <c r="AP15" s="134">
        <f t="shared" si="36"/>
        <v>157.8719719713817</v>
      </c>
      <c r="AQ15" s="129">
        <f>Emissionsfaktorer!E$16</f>
        <v>8.5999999999999993E-2</v>
      </c>
      <c r="AR15" s="134">
        <f t="shared" si="37"/>
        <v>52376.932090363567</v>
      </c>
      <c r="AS15" s="134">
        <f t="shared" si="38"/>
        <v>57987.322536920328</v>
      </c>
      <c r="AT15">
        <f t="shared" si="5"/>
        <v>50179.088034454464</v>
      </c>
      <c r="AU15" s="173">
        <f t="shared" si="6"/>
        <v>58489.159525650408</v>
      </c>
      <c r="AV15" s="134">
        <f t="shared" si="39"/>
        <v>74723.21309036357</v>
      </c>
      <c r="AW15" s="134">
        <f t="shared" si="40"/>
        <v>76322.590536920325</v>
      </c>
      <c r="AX15" s="134">
        <f t="shared" si="8"/>
        <v>72525.369034454459</v>
      </c>
      <c r="AY15" s="134">
        <f t="shared" si="9"/>
        <v>76824.427525650404</v>
      </c>
      <c r="AZ15" s="134">
        <f t="shared" si="21"/>
        <v>1599.3774465567549</v>
      </c>
      <c r="BA15" s="134">
        <f t="shared" si="22"/>
        <v>17833.431011269917</v>
      </c>
      <c r="BB15" s="135">
        <f t="shared" si="41"/>
        <v>17.869957981016231</v>
      </c>
      <c r="BC15" s="91"/>
    </row>
    <row r="16" spans="1:55">
      <c r="A16" s="7" t="s">
        <v>129</v>
      </c>
      <c r="B16" s="18" t="s">
        <v>175</v>
      </c>
      <c r="C16" s="18"/>
      <c r="D16" s="139">
        <v>217</v>
      </c>
      <c r="E16" s="129"/>
      <c r="F16" s="124">
        <v>5529</v>
      </c>
      <c r="G16" s="206">
        <v>5902</v>
      </c>
      <c r="H16" s="124">
        <f t="shared" si="10"/>
        <v>373</v>
      </c>
      <c r="I16" s="124">
        <f t="shared" si="11"/>
        <v>5902</v>
      </c>
      <c r="J16" s="134"/>
      <c r="K16" s="134">
        <f t="shared" si="12"/>
        <v>25.47926267281106</v>
      </c>
      <c r="L16" s="134">
        <f t="shared" si="13"/>
        <v>27.198156682027651</v>
      </c>
      <c r="M16" s="134"/>
      <c r="N16" s="134">
        <f>F16*Emissionsfaktorer!E$11</f>
        <v>2482.5210000000002</v>
      </c>
      <c r="O16" s="134">
        <f>G16*Emissionsfaktorer!E$12</f>
        <v>2230.9560000000001</v>
      </c>
      <c r="P16" s="235"/>
      <c r="Q16" s="179">
        <v>916</v>
      </c>
      <c r="R16" s="302">
        <v>950</v>
      </c>
      <c r="S16" s="134"/>
      <c r="T16" s="134">
        <f t="shared" si="0"/>
        <v>39416.396000000001</v>
      </c>
      <c r="U16" s="134">
        <f t="shared" si="1"/>
        <v>40879.450000000004</v>
      </c>
      <c r="V16" s="134">
        <f t="shared" si="14"/>
        <v>1463.0540000000037</v>
      </c>
      <c r="W16" s="134">
        <f t="shared" si="15"/>
        <v>40879.450000000004</v>
      </c>
      <c r="X16" s="134"/>
      <c r="Y16" s="134">
        <f t="shared" si="2"/>
        <v>181.64237788018434</v>
      </c>
      <c r="Z16" s="134">
        <f t="shared" si="3"/>
        <v>188.38456221198157</v>
      </c>
      <c r="AA16" s="129">
        <v>9.0999999999999998E-2</v>
      </c>
      <c r="AB16" s="134"/>
      <c r="AC16" s="134">
        <f>Emissionsfaktorer!E$17*T16</f>
        <v>3941.6396000000004</v>
      </c>
      <c r="AD16" s="134">
        <f>Emissionsfaktorer!E$18*U16</f>
        <v>3801.7888500000004</v>
      </c>
      <c r="AE16" s="173"/>
      <c r="AF16" s="134">
        <f t="shared" si="16"/>
        <v>6424.1606000000011</v>
      </c>
      <c r="AG16" s="134">
        <f t="shared" si="17"/>
        <v>6032.744850000001</v>
      </c>
      <c r="AH16" s="134">
        <f t="shared" si="18"/>
        <v>-391.41575000000012</v>
      </c>
      <c r="AI16" s="135">
        <f t="shared" si="4"/>
        <v>27.800667511520743</v>
      </c>
      <c r="AJ16" s="134">
        <f t="shared" si="32"/>
        <v>33751.299544544716</v>
      </c>
      <c r="AK16" s="134">
        <f t="shared" si="33"/>
        <v>42345.318481872331</v>
      </c>
      <c r="AL16" s="134">
        <f t="shared" si="19"/>
        <v>32335.025430680886</v>
      </c>
      <c r="AM16" s="134">
        <f t="shared" si="20"/>
        <v>42711.785602340409</v>
      </c>
      <c r="AN16" s="134">
        <f t="shared" si="34"/>
        <v>8594.0189373276153</v>
      </c>
      <c r="AO16" s="134">
        <f t="shared" si="35"/>
        <v>155.53594260158854</v>
      </c>
      <c r="AP16" s="134">
        <f t="shared" si="36"/>
        <v>195.13971650632411</v>
      </c>
      <c r="AQ16" s="129">
        <f>Emissionsfaktorer!E$16</f>
        <v>8.5999999999999993E-2</v>
      </c>
      <c r="AR16" s="134">
        <f t="shared" si="37"/>
        <v>2902.6117608308455</v>
      </c>
      <c r="AS16" s="134">
        <f t="shared" si="38"/>
        <v>3641.6973894410203</v>
      </c>
      <c r="AT16">
        <f t="shared" si="5"/>
        <v>2780.8121870385557</v>
      </c>
      <c r="AU16" s="173">
        <f t="shared" si="6"/>
        <v>3673.2135618012749</v>
      </c>
      <c r="AV16" s="134">
        <f t="shared" si="39"/>
        <v>5385.1327608308457</v>
      </c>
      <c r="AW16" s="134">
        <f t="shared" si="40"/>
        <v>5872.6533894410204</v>
      </c>
      <c r="AX16" s="134">
        <f t="shared" si="8"/>
        <v>5263.3331870385555</v>
      </c>
      <c r="AY16" s="134">
        <f t="shared" si="9"/>
        <v>5904.1695618012745</v>
      </c>
      <c r="AZ16" s="134">
        <f t="shared" si="21"/>
        <v>487.52062861017475</v>
      </c>
      <c r="BA16" s="134">
        <f t="shared" si="22"/>
        <v>2199.4398276397455</v>
      </c>
      <c r="BB16" s="135">
        <f t="shared" si="41"/>
        <v>27.062918845350325</v>
      </c>
      <c r="BC16" s="91"/>
    </row>
    <row r="17" spans="1:55">
      <c r="A17" s="18"/>
      <c r="B17" s="18" t="s">
        <v>117</v>
      </c>
      <c r="C17" s="18"/>
      <c r="D17" s="139">
        <v>700</v>
      </c>
      <c r="E17" s="129"/>
      <c r="F17" s="124">
        <v>40330</v>
      </c>
      <c r="G17" s="206">
        <v>38152</v>
      </c>
      <c r="H17" s="124">
        <f t="shared" si="10"/>
        <v>-2178</v>
      </c>
      <c r="I17" s="124">
        <f t="shared" si="11"/>
        <v>38152</v>
      </c>
      <c r="J17" s="134"/>
      <c r="K17" s="134">
        <f t="shared" si="12"/>
        <v>57.614285714285714</v>
      </c>
      <c r="L17" s="134">
        <f t="shared" si="13"/>
        <v>54.502857142857145</v>
      </c>
      <c r="M17" s="134"/>
      <c r="N17" s="134">
        <f>F17*Emissionsfaktorer!E$11</f>
        <v>18108.170000000002</v>
      </c>
      <c r="O17" s="134">
        <f>G17*Emissionsfaktorer!E$12</f>
        <v>14421.456</v>
      </c>
      <c r="P17" s="235"/>
      <c r="Q17" s="179">
        <v>2087</v>
      </c>
      <c r="R17" s="302">
        <v>2042</v>
      </c>
      <c r="S17" s="134"/>
      <c r="T17" s="134">
        <f t="shared" si="0"/>
        <v>89805.697</v>
      </c>
      <c r="U17" s="134">
        <f t="shared" si="1"/>
        <v>87869.301999999996</v>
      </c>
      <c r="V17" s="134">
        <f t="shared" si="14"/>
        <v>-1936.3950000000041</v>
      </c>
      <c r="W17" s="134">
        <f t="shared" si="15"/>
        <v>87869.301999999996</v>
      </c>
      <c r="X17" s="134"/>
      <c r="Y17" s="134">
        <f t="shared" si="2"/>
        <v>128.29385285714287</v>
      </c>
      <c r="Z17" s="134">
        <f t="shared" si="3"/>
        <v>125.52757428571428</v>
      </c>
      <c r="AA17" s="129">
        <v>9.0999999999999998E-2</v>
      </c>
      <c r="AB17" s="134"/>
      <c r="AC17" s="134">
        <f>Emissionsfaktorer!E$17*T17</f>
        <v>8980.5697</v>
      </c>
      <c r="AD17" s="134">
        <f>Emissionsfaktorer!E$18*U17</f>
        <v>8171.8450859999994</v>
      </c>
      <c r="AE17" s="173"/>
      <c r="AF17" s="134">
        <f t="shared" si="16"/>
        <v>27088.739700000002</v>
      </c>
      <c r="AG17" s="134">
        <f t="shared" si="17"/>
        <v>22593.301085999999</v>
      </c>
      <c r="AH17" s="134">
        <f t="shared" si="18"/>
        <v>-4495.4386140000024</v>
      </c>
      <c r="AI17" s="135">
        <f t="shared" si="4"/>
        <v>32.276144408571426</v>
      </c>
      <c r="AJ17" s="134">
        <f t="shared" si="32"/>
        <v>76898.430294175545</v>
      </c>
      <c r="AK17" s="134">
        <f t="shared" si="33"/>
        <v>91020.147726298208</v>
      </c>
      <c r="AL17" s="134">
        <f t="shared" si="19"/>
        <v>73671.613617719442</v>
      </c>
      <c r="AM17" s="134">
        <f t="shared" si="20"/>
        <v>91807.859157872736</v>
      </c>
      <c r="AN17" s="134">
        <f t="shared" si="34"/>
        <v>14121.717432122663</v>
      </c>
      <c r="AO17" s="134">
        <f t="shared" si="35"/>
        <v>109.85490042025077</v>
      </c>
      <c r="AP17" s="134">
        <f t="shared" si="36"/>
        <v>130.02878246614029</v>
      </c>
      <c r="AQ17" s="129">
        <f>Emissionsfaktorer!E$16</f>
        <v>8.5999999999999993E-2</v>
      </c>
      <c r="AR17" s="134">
        <f t="shared" si="37"/>
        <v>6613.2650052990966</v>
      </c>
      <c r="AS17" s="134">
        <f t="shared" si="38"/>
        <v>7827.732704461645</v>
      </c>
      <c r="AT17">
        <f t="shared" si="5"/>
        <v>6335.7587711238712</v>
      </c>
      <c r="AU17" s="173">
        <f t="shared" si="6"/>
        <v>7895.4758875770549</v>
      </c>
      <c r="AV17" s="134">
        <f t="shared" si="39"/>
        <v>24721.435005299099</v>
      </c>
      <c r="AW17" s="134">
        <f t="shared" si="40"/>
        <v>22249.188704461645</v>
      </c>
      <c r="AX17" s="134">
        <f t="shared" si="8"/>
        <v>24443.928771123872</v>
      </c>
      <c r="AY17" s="134">
        <f t="shared" si="9"/>
        <v>22316.931887577055</v>
      </c>
      <c r="AZ17" s="134">
        <f t="shared" si="21"/>
        <v>-2472.2463008374543</v>
      </c>
      <c r="BA17" s="134">
        <f t="shared" si="22"/>
        <v>14353.71281688459</v>
      </c>
      <c r="BB17" s="135">
        <f t="shared" si="41"/>
        <v>31.784555292088065</v>
      </c>
      <c r="BC17" s="91"/>
    </row>
    <row r="18" spans="1:55">
      <c r="A18" s="7" t="s">
        <v>137</v>
      </c>
      <c r="B18" s="18" t="s">
        <v>176</v>
      </c>
      <c r="C18" s="18"/>
      <c r="D18" s="180">
        <v>692</v>
      </c>
      <c r="E18" s="129"/>
      <c r="F18" s="124">
        <v>14170</v>
      </c>
      <c r="G18" s="206">
        <v>15087</v>
      </c>
      <c r="H18" s="124">
        <f t="shared" si="10"/>
        <v>917</v>
      </c>
      <c r="I18" s="124">
        <f t="shared" si="11"/>
        <v>15087</v>
      </c>
      <c r="J18" s="134"/>
      <c r="K18" s="134">
        <f t="shared" si="12"/>
        <v>20.476878612716764</v>
      </c>
      <c r="L18" s="134">
        <f t="shared" si="13"/>
        <v>21.802023121387283</v>
      </c>
      <c r="M18" s="134"/>
      <c r="N18" s="134">
        <f>F18*Emissionsfaktorer!E$11</f>
        <v>6362.33</v>
      </c>
      <c r="O18" s="134">
        <f>G18*Emissionsfaktorer!E$12</f>
        <v>5702.8860000000004</v>
      </c>
      <c r="P18" s="238"/>
      <c r="Q18" s="179">
        <v>2241</v>
      </c>
      <c r="R18" s="302">
        <v>2055</v>
      </c>
      <c r="S18" s="134"/>
      <c r="T18" s="134">
        <f t="shared" si="0"/>
        <v>96432.471000000005</v>
      </c>
      <c r="U18" s="134">
        <f t="shared" si="1"/>
        <v>88428.705000000002</v>
      </c>
      <c r="V18" s="134">
        <f t="shared" si="14"/>
        <v>-8003.7660000000033</v>
      </c>
      <c r="W18" s="134">
        <f t="shared" si="15"/>
        <v>88428.705000000002</v>
      </c>
      <c r="X18" s="134"/>
      <c r="Y18" s="134">
        <f t="shared" si="2"/>
        <v>139.35328179190753</v>
      </c>
      <c r="Z18" s="134">
        <f t="shared" si="3"/>
        <v>127.78714595375723</v>
      </c>
      <c r="AA18" s="129">
        <v>9.0999999999999998E-2</v>
      </c>
      <c r="AB18" s="134"/>
      <c r="AC18" s="134">
        <f>Emissionsfaktorer!E$17*T18</f>
        <v>9643.2471000000005</v>
      </c>
      <c r="AD18" s="134">
        <f>Emissionsfaktorer!E$18*U18</f>
        <v>8223.8695650000009</v>
      </c>
      <c r="AE18" s="173"/>
      <c r="AF18" s="134">
        <f t="shared" si="16"/>
        <v>16005.5771</v>
      </c>
      <c r="AG18" s="134">
        <f t="shared" si="17"/>
        <v>13926.755565000001</v>
      </c>
      <c r="AH18" s="134">
        <f t="shared" si="18"/>
        <v>-2078.8215349999991</v>
      </c>
      <c r="AI18" s="135">
        <f t="shared" si="4"/>
        <v>20.125369313583818</v>
      </c>
      <c r="AJ18" s="134">
        <f t="shared" si="32"/>
        <v>82572.775414109929</v>
      </c>
      <c r="AK18" s="134">
        <f t="shared" si="33"/>
        <v>91599.609979208035</v>
      </c>
      <c r="AL18" s="134">
        <f t="shared" si="19"/>
        <v>79107.851517637406</v>
      </c>
      <c r="AM18" s="134">
        <f t="shared" si="20"/>
        <v>92392.33622401004</v>
      </c>
      <c r="AN18" s="134">
        <f t="shared" si="34"/>
        <v>9026.8345650981064</v>
      </c>
      <c r="AO18" s="134">
        <f t="shared" si="35"/>
        <v>119.3248199625866</v>
      </c>
      <c r="AP18" s="134">
        <f t="shared" si="36"/>
        <v>132.36937858267058</v>
      </c>
      <c r="AQ18" s="129">
        <f>Emissionsfaktorer!E$16</f>
        <v>8.5999999999999993E-2</v>
      </c>
      <c r="AR18" s="134">
        <f t="shared" si="37"/>
        <v>7101.2586856134531</v>
      </c>
      <c r="AS18" s="134">
        <f t="shared" si="38"/>
        <v>7877.5664582118907</v>
      </c>
      <c r="AT18">
        <f t="shared" si="5"/>
        <v>6803.275230516816</v>
      </c>
      <c r="AU18" s="173">
        <f t="shared" si="6"/>
        <v>7945.7409152648625</v>
      </c>
      <c r="AV18" s="134">
        <f t="shared" si="39"/>
        <v>13463.588685613453</v>
      </c>
      <c r="AW18" s="134">
        <f t="shared" si="40"/>
        <v>13580.45245821189</v>
      </c>
      <c r="AX18" s="134">
        <f t="shared" si="8"/>
        <v>13165.605230516816</v>
      </c>
      <c r="AY18" s="134">
        <f t="shared" si="9"/>
        <v>13648.626915264864</v>
      </c>
      <c r="AZ18" s="134">
        <f t="shared" si="21"/>
        <v>116.86377259843721</v>
      </c>
      <c r="BA18" s="134">
        <f t="shared" si="22"/>
        <v>5634.7115429470277</v>
      </c>
      <c r="BB18" s="135">
        <f t="shared" si="41"/>
        <v>19.62493129799406</v>
      </c>
      <c r="BC18" s="91"/>
    </row>
    <row r="19" spans="1:55">
      <c r="A19" s="18" t="s">
        <v>134</v>
      </c>
      <c r="B19" s="18" t="s">
        <v>177</v>
      </c>
      <c r="C19" s="18"/>
      <c r="D19" s="141">
        <v>2902</v>
      </c>
      <c r="E19" s="129"/>
      <c r="F19" s="124">
        <v>87469</v>
      </c>
      <c r="G19" s="206">
        <v>94726</v>
      </c>
      <c r="H19" s="124">
        <f t="shared" si="10"/>
        <v>7257</v>
      </c>
      <c r="I19" s="124">
        <f t="shared" si="11"/>
        <v>94726</v>
      </c>
      <c r="J19" s="134"/>
      <c r="K19" s="134">
        <f t="shared" si="12"/>
        <v>30.140937284631288</v>
      </c>
      <c r="L19" s="134">
        <f t="shared" si="13"/>
        <v>32.641626464507233</v>
      </c>
      <c r="M19" s="134"/>
      <c r="N19" s="134">
        <f>F19*Emissionsfaktorer!E$11</f>
        <v>39273.580999999998</v>
      </c>
      <c r="O19" s="134">
        <f>G19*Emissionsfaktorer!E$12</f>
        <v>35806.428</v>
      </c>
      <c r="P19" s="238"/>
      <c r="Q19" s="179">
        <v>29577</v>
      </c>
      <c r="R19" s="302">
        <v>23867</v>
      </c>
      <c r="S19" s="134"/>
      <c r="T19" s="134">
        <f t="shared" si="0"/>
        <v>1272727.8870000001</v>
      </c>
      <c r="U19" s="134">
        <f t="shared" si="1"/>
        <v>1027020.877</v>
      </c>
      <c r="V19" s="134">
        <f t="shared" si="14"/>
        <v>-245707.01000000013</v>
      </c>
      <c r="W19" s="134">
        <f t="shared" si="15"/>
        <v>1027020.877</v>
      </c>
      <c r="X19" s="134"/>
      <c r="Y19" s="134">
        <f t="shared" si="2"/>
        <v>438.5692236388698</v>
      </c>
      <c r="Z19" s="134">
        <f t="shared" si="3"/>
        <v>353.90106030323915</v>
      </c>
      <c r="AA19" s="129">
        <v>9.0999999999999998E-2</v>
      </c>
      <c r="AB19" s="134"/>
      <c r="AC19" s="134">
        <f>Emissionsfaktorer!E$17*T19</f>
        <v>127272.78870000002</v>
      </c>
      <c r="AD19" s="134">
        <f>Emissionsfaktorer!E$18*U19</f>
        <v>95512.941561</v>
      </c>
      <c r="AE19" s="173"/>
      <c r="AF19" s="134">
        <f t="shared" si="16"/>
        <v>166546.36970000001</v>
      </c>
      <c r="AG19" s="134">
        <f t="shared" si="17"/>
        <v>131319.369561</v>
      </c>
      <c r="AH19" s="134">
        <f t="shared" si="18"/>
        <v>-35227.000139000011</v>
      </c>
      <c r="AI19" s="135">
        <f t="shared" si="4"/>
        <v>45.251333411784977</v>
      </c>
      <c r="AJ19" s="134">
        <f t="shared" si="32"/>
        <v>1089805.8805993439</v>
      </c>
      <c r="AK19" s="134">
        <f t="shared" si="33"/>
        <v>1063848.1223229966</v>
      </c>
      <c r="AL19" s="134">
        <f t="shared" si="19"/>
        <v>1044075.3789991797</v>
      </c>
      <c r="AM19" s="134">
        <f t="shared" si="20"/>
        <v>1073054.9336537458</v>
      </c>
      <c r="AN19" s="134">
        <f t="shared" si="34"/>
        <v>-25957.758276347304</v>
      </c>
      <c r="AO19" s="134">
        <f t="shared" si="35"/>
        <v>375.53614079922255</v>
      </c>
      <c r="AP19" s="134">
        <f t="shared" si="36"/>
        <v>366.59135848483686</v>
      </c>
      <c r="AQ19" s="129">
        <f>Emissionsfaktorer!E$16</f>
        <v>8.5999999999999993E-2</v>
      </c>
      <c r="AR19" s="134">
        <f t="shared" si="37"/>
        <v>93723.305731543573</v>
      </c>
      <c r="AS19" s="134">
        <f t="shared" si="38"/>
        <v>91490.938519777701</v>
      </c>
      <c r="AT19">
        <f t="shared" si="5"/>
        <v>89790.482593929453</v>
      </c>
      <c r="AU19" s="173">
        <f t="shared" si="6"/>
        <v>92282.724294222135</v>
      </c>
      <c r="AV19" s="134">
        <f t="shared" si="39"/>
        <v>132996.88673154358</v>
      </c>
      <c r="AW19" s="134">
        <f t="shared" si="40"/>
        <v>127297.3665197777</v>
      </c>
      <c r="AX19" s="134">
        <f t="shared" si="8"/>
        <v>129064.06359392946</v>
      </c>
      <c r="AY19" s="134">
        <f t="shared" si="9"/>
        <v>128089.15229422213</v>
      </c>
      <c r="AZ19" s="134">
        <f t="shared" si="21"/>
        <v>-5699.5202117658773</v>
      </c>
      <c r="BA19" s="134">
        <f t="shared" si="22"/>
        <v>35014.642225555566</v>
      </c>
      <c r="BB19" s="135">
        <f t="shared" si="41"/>
        <v>43.865391633279707</v>
      </c>
      <c r="BC19" s="91"/>
    </row>
    <row r="20" spans="1:55">
      <c r="A20" s="226"/>
      <c r="B20" s="208" t="s">
        <v>361</v>
      </c>
      <c r="C20" s="208"/>
      <c r="D20" s="242">
        <v>2052</v>
      </c>
      <c r="E20" s="225"/>
      <c r="F20" s="204">
        <v>111158</v>
      </c>
      <c r="G20" s="206">
        <v>102637</v>
      </c>
      <c r="H20" s="124">
        <f t="shared" si="10"/>
        <v>-8521</v>
      </c>
      <c r="I20" s="124">
        <f t="shared" si="11"/>
        <v>102637</v>
      </c>
      <c r="J20" s="134"/>
      <c r="K20" s="134">
        <f t="shared" si="12"/>
        <v>54.170565302144247</v>
      </c>
      <c r="L20" s="134">
        <f t="shared" si="13"/>
        <v>50.018031189083821</v>
      </c>
      <c r="M20" s="134"/>
      <c r="N20" s="134">
        <f>F20*Emissionsfaktorer!E$11</f>
        <v>49909.942000000003</v>
      </c>
      <c r="O20" s="134">
        <f>G20*Emissionsfaktorer!E$12</f>
        <v>38796.786</v>
      </c>
      <c r="P20" s="235"/>
      <c r="Q20" s="179">
        <v>4626</v>
      </c>
      <c r="R20" s="302">
        <v>3771</v>
      </c>
      <c r="S20" s="134"/>
      <c r="T20" s="134">
        <f t="shared" si="0"/>
        <v>199061.40600000002</v>
      </c>
      <c r="U20" s="134">
        <f t="shared" si="1"/>
        <v>162269.90100000001</v>
      </c>
      <c r="V20" s="134">
        <f t="shared" si="14"/>
        <v>-36791.505000000005</v>
      </c>
      <c r="W20" s="134">
        <f t="shared" si="15"/>
        <v>162269.90100000001</v>
      </c>
      <c r="X20" s="134"/>
      <c r="Y20" s="134">
        <f t="shared" si="2"/>
        <v>97.008482456140356</v>
      </c>
      <c r="Z20" s="134">
        <f t="shared" si="3"/>
        <v>79.07889912280703</v>
      </c>
      <c r="AA20" s="129">
        <v>9.0999999999999998E-2</v>
      </c>
      <c r="AB20" s="134"/>
      <c r="AC20" s="134">
        <f>Emissionsfaktorer!E$17*T20</f>
        <v>19906.140600000002</v>
      </c>
      <c r="AD20" s="134">
        <f>Emissionsfaktorer!E$18*U20</f>
        <v>15091.100793000001</v>
      </c>
      <c r="AE20" s="173"/>
      <c r="AF20" s="134">
        <f t="shared" si="16"/>
        <v>69816.082600000009</v>
      </c>
      <c r="AG20" s="134">
        <f t="shared" si="17"/>
        <v>53887.886792999998</v>
      </c>
      <c r="AH20" s="134">
        <f t="shared" si="18"/>
        <v>-15928.195807000011</v>
      </c>
      <c r="AI20" s="135">
        <f t="shared" si="4"/>
        <v>26.261153407894735</v>
      </c>
      <c r="AJ20" s="134">
        <f t="shared" si="32"/>
        <v>170451.43197932732</v>
      </c>
      <c r="AK20" s="134">
        <f t="shared" si="33"/>
        <v>168088.62736330583</v>
      </c>
      <c r="AL20" s="134">
        <f t="shared" si="19"/>
        <v>163298.93847415916</v>
      </c>
      <c r="AM20" s="134">
        <f t="shared" si="20"/>
        <v>169543.30895413228</v>
      </c>
      <c r="AN20" s="134"/>
      <c r="AO20" s="134">
        <f t="shared" si="35"/>
        <v>83.065999989925587</v>
      </c>
      <c r="AP20" s="134">
        <f t="shared" si="36"/>
        <v>81.914535752098359</v>
      </c>
      <c r="AQ20" s="129">
        <f>Emissionsfaktorer!E$16</f>
        <v>8.5999999999999993E-2</v>
      </c>
      <c r="AR20" s="134">
        <f t="shared" si="37"/>
        <v>14658.823150222148</v>
      </c>
      <c r="AS20" s="134">
        <f t="shared" si="38"/>
        <v>14455.621953244301</v>
      </c>
      <c r="AT20">
        <f t="shared" si="5"/>
        <v>14043.708708777687</v>
      </c>
      <c r="AU20" s="173">
        <f t="shared" si="6"/>
        <v>14580.724570055376</v>
      </c>
      <c r="AV20" s="134">
        <f t="shared" si="39"/>
        <v>64568.765150222149</v>
      </c>
      <c r="AW20" s="134">
        <f t="shared" si="40"/>
        <v>53252.407953244299</v>
      </c>
      <c r="AX20" s="134">
        <f t="shared" si="8"/>
        <v>63953.650708777692</v>
      </c>
      <c r="AY20" s="134">
        <f t="shared" si="9"/>
        <v>53377.510570055376</v>
      </c>
      <c r="AZ20" s="134">
        <f t="shared" si="21"/>
        <v>-11316.35719697785</v>
      </c>
      <c r="BA20" s="134">
        <f t="shared" si="22"/>
        <v>38671.683383188923</v>
      </c>
      <c r="BB20" s="135">
        <f t="shared" si="41"/>
        <v>25.951465864154141</v>
      </c>
      <c r="BC20" s="91"/>
    </row>
    <row r="21" spans="1:55">
      <c r="A21" s="7" t="s">
        <v>127</v>
      </c>
      <c r="B21" s="18" t="s">
        <v>127</v>
      </c>
      <c r="C21" s="18"/>
      <c r="D21" s="141">
        <v>3981</v>
      </c>
      <c r="E21" s="129"/>
      <c r="F21" s="124">
        <v>210548</v>
      </c>
      <c r="G21" s="206">
        <v>180000</v>
      </c>
      <c r="H21" s="124">
        <f t="shared" si="10"/>
        <v>-30548</v>
      </c>
      <c r="I21" s="124">
        <f t="shared" si="11"/>
        <v>180000</v>
      </c>
      <c r="J21" s="134"/>
      <c r="K21" s="134">
        <f t="shared" si="12"/>
        <v>52.888219040442102</v>
      </c>
      <c r="L21" s="134">
        <f t="shared" si="13"/>
        <v>45.214770158251696</v>
      </c>
      <c r="M21" s="134"/>
      <c r="N21" s="134">
        <f>F21*Emissionsfaktorer!E$11</f>
        <v>94536.051999999996</v>
      </c>
      <c r="O21" s="134">
        <f>G21*Emissionsfaktorer!E$12</f>
        <v>68040</v>
      </c>
      <c r="P21" s="238"/>
      <c r="Q21" s="179">
        <v>17112</v>
      </c>
      <c r="R21" s="302">
        <v>14648</v>
      </c>
      <c r="S21" s="134"/>
      <c r="T21" s="134">
        <f t="shared" si="0"/>
        <v>736346.47200000007</v>
      </c>
      <c r="U21" s="134">
        <f t="shared" si="1"/>
        <v>630318.08799999999</v>
      </c>
      <c r="V21" s="134">
        <f t="shared" ref="V21:V25" si="42">U21-T21</f>
        <v>-106028.38400000008</v>
      </c>
      <c r="W21" s="134">
        <f t="shared" si="15"/>
        <v>630318.08799999999</v>
      </c>
      <c r="X21" s="134"/>
      <c r="Y21" s="134">
        <f t="shared" si="2"/>
        <v>184.96520271288622</v>
      </c>
      <c r="Z21" s="134">
        <f t="shared" si="3"/>
        <v>158.33159708615926</v>
      </c>
      <c r="AA21" s="129">
        <v>9.0999999999999998E-2</v>
      </c>
      <c r="AB21" s="134"/>
      <c r="AC21" s="134">
        <f>Emissionsfaktorer!E$17*T21</f>
        <v>73634.647200000007</v>
      </c>
      <c r="AD21" s="134">
        <f>Emissionsfaktorer!E$18*U21</f>
        <v>58619.582183999999</v>
      </c>
      <c r="AE21" s="173"/>
      <c r="AF21" s="134">
        <f t="shared" si="16"/>
        <v>168170.6992</v>
      </c>
      <c r="AG21" s="134">
        <f t="shared" si="17"/>
        <v>126659.582184</v>
      </c>
      <c r="AH21" s="134">
        <f t="shared" si="18"/>
        <v>-41511.117016000004</v>
      </c>
      <c r="AI21" s="135">
        <f t="shared" si="4"/>
        <v>31.816021648831953</v>
      </c>
      <c r="AJ21" s="134">
        <f t="shared" si="32"/>
        <v>630515.54345660377</v>
      </c>
      <c r="AK21" s="134">
        <f t="shared" si="33"/>
        <v>652920.23697101662</v>
      </c>
      <c r="AL21" s="134">
        <f t="shared" si="19"/>
        <v>604057.8113207547</v>
      </c>
      <c r="AM21" s="134">
        <f t="shared" si="20"/>
        <v>658570.77421377075</v>
      </c>
      <c r="AN21" s="134">
        <f>AK21-AJ21</f>
        <v>22404.693514412851</v>
      </c>
      <c r="AO21" s="134">
        <f t="shared" si="35"/>
        <v>158.38119654775278</v>
      </c>
      <c r="AP21" s="134">
        <f t="shared" si="36"/>
        <v>164.00910247953192</v>
      </c>
      <c r="AQ21" s="129">
        <f>Emissionsfaktorer!E$16</f>
        <v>8.5999999999999993E-2</v>
      </c>
      <c r="AR21" s="134">
        <f t="shared" si="37"/>
        <v>54224.33673726792</v>
      </c>
      <c r="AS21" s="134">
        <f t="shared" si="38"/>
        <v>56151.140379507422</v>
      </c>
      <c r="AT21">
        <f t="shared" si="5"/>
        <v>51948.971773584897</v>
      </c>
      <c r="AU21" s="173">
        <f t="shared" si="6"/>
        <v>56637.086582384283</v>
      </c>
      <c r="AV21" s="134">
        <f t="shared" si="39"/>
        <v>148760.38873726793</v>
      </c>
      <c r="AW21" s="134">
        <f t="shared" si="40"/>
        <v>124191.14037950741</v>
      </c>
      <c r="AX21" s="134">
        <f t="shared" si="8"/>
        <v>146485.02377358489</v>
      </c>
      <c r="AY21" s="134">
        <f t="shared" si="9"/>
        <v>124677.08658238428</v>
      </c>
      <c r="AZ21" s="134">
        <f t="shared" si="21"/>
        <v>-24569.248357760516</v>
      </c>
      <c r="BA21" s="134">
        <f t="shared" si="22"/>
        <v>67554.053797123139</v>
      </c>
      <c r="BB21" s="135">
        <f t="shared" si="41"/>
        <v>31.195965933058883</v>
      </c>
      <c r="BC21" s="91"/>
    </row>
    <row r="22" spans="1:55">
      <c r="A22" s="18"/>
      <c r="B22" s="18" t="s">
        <v>178</v>
      </c>
      <c r="C22" s="14" t="s">
        <v>373</v>
      </c>
      <c r="D22" s="139">
        <v>2210</v>
      </c>
      <c r="E22" s="129"/>
      <c r="F22" s="179">
        <v>84089</v>
      </c>
      <c r="G22" s="206">
        <v>46162</v>
      </c>
      <c r="H22" s="124">
        <f t="shared" si="10"/>
        <v>-37927</v>
      </c>
      <c r="I22" s="124">
        <f t="shared" si="11"/>
        <v>46162</v>
      </c>
      <c r="J22" s="134"/>
      <c r="K22" s="134">
        <f t="shared" si="12"/>
        <v>38.049321266968327</v>
      </c>
      <c r="L22" s="134">
        <f t="shared" si="13"/>
        <v>20.887782805429865</v>
      </c>
      <c r="M22" s="134"/>
      <c r="N22" s="134">
        <f>F22*Emissionsfaktorer!E$11</f>
        <v>37755.961000000003</v>
      </c>
      <c r="O22" s="134">
        <f>G22*Emissionsfaktorer!E$12</f>
        <v>17449.236000000001</v>
      </c>
      <c r="P22" s="238"/>
      <c r="Q22" s="179">
        <v>9572</v>
      </c>
      <c r="R22" s="302">
        <v>8903</v>
      </c>
      <c r="S22" s="134"/>
      <c r="T22" s="134">
        <f t="shared" si="0"/>
        <v>411892.73200000002</v>
      </c>
      <c r="U22" s="134">
        <f t="shared" si="1"/>
        <v>383104.99300000002</v>
      </c>
      <c r="V22" s="134">
        <f t="shared" si="42"/>
        <v>-28787.739000000001</v>
      </c>
      <c r="W22" s="134">
        <f t="shared" si="15"/>
        <v>383104.99300000002</v>
      </c>
      <c r="X22" s="134"/>
      <c r="Y22" s="134">
        <f t="shared" si="2"/>
        <v>186.37680180995477</v>
      </c>
      <c r="Z22" s="134">
        <f t="shared" si="3"/>
        <v>173.35067556561086</v>
      </c>
      <c r="AA22" s="129">
        <v>0.22500000000000001</v>
      </c>
      <c r="AB22" s="134"/>
      <c r="AC22" s="134">
        <f>Emissionsfaktorer!E$25*T22</f>
        <v>84026.117327999993</v>
      </c>
      <c r="AD22" s="134">
        <f>Emissionsfaktorer!E$26*U22</f>
        <v>78153.418571999995</v>
      </c>
      <c r="AE22" s="173"/>
      <c r="AF22" s="134">
        <f t="shared" si="16"/>
        <v>121782.078328</v>
      </c>
      <c r="AG22" s="134">
        <f t="shared" si="17"/>
        <v>95602.654571999999</v>
      </c>
      <c r="AH22" s="134">
        <f t="shared" si="18"/>
        <v>-26179.423756000004</v>
      </c>
      <c r="AI22" s="135">
        <f t="shared" si="4"/>
        <v>43.259119715837102</v>
      </c>
      <c r="AJ22" s="134">
        <f t="shared" si="32"/>
        <v>352693.71096111566</v>
      </c>
      <c r="AK22" s="134">
        <f t="shared" si="33"/>
        <v>396842.49520432559</v>
      </c>
      <c r="AL22" s="134">
        <f t="shared" si="19"/>
        <v>337893.95570139459</v>
      </c>
      <c r="AM22" s="134">
        <f t="shared" si="20"/>
        <v>400276.87075540697</v>
      </c>
      <c r="AN22" s="134">
        <f>AK22-AJ22</f>
        <v>44148.784243209928</v>
      </c>
      <c r="AO22" s="134">
        <f t="shared" si="35"/>
        <v>159.58991446204328</v>
      </c>
      <c r="AP22" s="134">
        <f t="shared" si="36"/>
        <v>179.56673991145954</v>
      </c>
      <c r="AQ22" s="129">
        <f>Emissionsfaktorer!E$24</f>
        <v>0.20399999999999999</v>
      </c>
      <c r="AR22" s="134">
        <f t="shared" si="37"/>
        <v>71949.517036067584</v>
      </c>
      <c r="AS22" s="134">
        <f t="shared" si="38"/>
        <v>80955.869021682418</v>
      </c>
      <c r="AT22">
        <f t="shared" si="5"/>
        <v>68930.366963084496</v>
      </c>
      <c r="AU22" s="173">
        <f t="shared" si="6"/>
        <v>81656.481634103024</v>
      </c>
      <c r="AV22" s="134">
        <f t="shared" si="39"/>
        <v>109705.47803606759</v>
      </c>
      <c r="AW22" s="134">
        <f t="shared" si="40"/>
        <v>98405.105021682422</v>
      </c>
      <c r="AX22" s="134">
        <f t="shared" si="8"/>
        <v>106686.32796308451</v>
      </c>
      <c r="AY22" s="134">
        <f t="shared" si="9"/>
        <v>99105.717634103028</v>
      </c>
      <c r="AZ22" s="134">
        <f t="shared" si="21"/>
        <v>-11300.373014385172</v>
      </c>
      <c r="BA22" s="134">
        <f t="shared" si="22"/>
        <v>16748.623387579399</v>
      </c>
      <c r="BB22" s="135">
        <f t="shared" si="41"/>
        <v>44.527196842390239</v>
      </c>
      <c r="BC22" s="91"/>
    </row>
    <row r="23" spans="1:55">
      <c r="A23" s="18"/>
      <c r="B23" s="18" t="s">
        <v>179</v>
      </c>
      <c r="C23" s="18"/>
      <c r="D23" s="139">
        <v>4232</v>
      </c>
      <c r="E23" s="129"/>
      <c r="F23" s="179">
        <v>335968</v>
      </c>
      <c r="G23" s="206">
        <v>384410</v>
      </c>
      <c r="H23" s="124">
        <f t="shared" si="10"/>
        <v>48442</v>
      </c>
      <c r="I23" s="124">
        <f t="shared" si="11"/>
        <v>384410</v>
      </c>
      <c r="J23" s="134"/>
      <c r="K23" s="134">
        <f t="shared" si="12"/>
        <v>79.387523629489607</v>
      </c>
      <c r="L23" s="134">
        <f t="shared" si="13"/>
        <v>90.834120982986761</v>
      </c>
      <c r="M23" s="134"/>
      <c r="N23" s="134">
        <f>F23*Emissionsfaktorer!E$11</f>
        <v>150849.63200000001</v>
      </c>
      <c r="O23" s="134">
        <f>G23*Emissionsfaktorer!E$12</f>
        <v>145306.98000000001</v>
      </c>
      <c r="P23" s="238"/>
      <c r="Q23" s="179">
        <v>38598</v>
      </c>
      <c r="R23" s="302">
        <v>39791</v>
      </c>
      <c r="S23" s="134"/>
      <c r="T23" s="134">
        <f t="shared" si="0"/>
        <v>1660910.5379999999</v>
      </c>
      <c r="U23" s="134">
        <f t="shared" si="1"/>
        <v>1712246.5209999999</v>
      </c>
      <c r="V23" s="134">
        <f t="shared" si="42"/>
        <v>51335.983000000007</v>
      </c>
      <c r="W23" s="134">
        <f t="shared" si="15"/>
        <v>1712246.5209999999</v>
      </c>
      <c r="X23" s="134"/>
      <c r="Y23" s="134">
        <f t="shared" si="2"/>
        <v>392.46468289224953</v>
      </c>
      <c r="Z23" s="134">
        <f t="shared" si="3"/>
        <v>404.59511365784499</v>
      </c>
      <c r="AA23" s="129">
        <v>9.0999999999999998E-2</v>
      </c>
      <c r="AB23" s="134"/>
      <c r="AC23" s="134">
        <f>Emissionsfaktorer!E$17*T23</f>
        <v>166091.05379999999</v>
      </c>
      <c r="AD23" s="134">
        <f>Emissionsfaktorer!E$18*U23</f>
        <v>159238.92645299999</v>
      </c>
      <c r="AE23" s="173"/>
      <c r="AF23" s="134">
        <f t="shared" si="16"/>
        <v>316940.68579999998</v>
      </c>
      <c r="AG23" s="134">
        <f t="shared" si="17"/>
        <v>304545.90645300003</v>
      </c>
      <c r="AH23" s="134">
        <f t="shared" si="18"/>
        <v>-12394.779346999945</v>
      </c>
      <c r="AI23" s="135">
        <f t="shared" si="4"/>
        <v>71.962643301748585</v>
      </c>
      <c r="AJ23" s="134">
        <f t="shared" si="32"/>
        <v>1422197.2268780966</v>
      </c>
      <c r="AK23" s="134">
        <f t="shared" si="33"/>
        <v>1773644.8081180858</v>
      </c>
      <c r="AL23" s="134">
        <f t="shared" si="19"/>
        <v>1362518.899097621</v>
      </c>
      <c r="AM23" s="134">
        <f t="shared" si="20"/>
        <v>1788994.3798976075</v>
      </c>
      <c r="AN23" s="134">
        <f>AK23-AJ23</f>
        <v>351447.58123998926</v>
      </c>
      <c r="AO23" s="134">
        <f t="shared" si="35"/>
        <v>336.05794585966368</v>
      </c>
      <c r="AP23" s="134">
        <f t="shared" si="36"/>
        <v>419.10321552884824</v>
      </c>
      <c r="AQ23" s="129">
        <f>Emissionsfaktorer!E$16</f>
        <v>8.5999999999999993E-2</v>
      </c>
      <c r="AR23" s="134">
        <f t="shared" si="37"/>
        <v>122308.9615115163</v>
      </c>
      <c r="AS23" s="134">
        <f t="shared" si="38"/>
        <v>152533.45349815537</v>
      </c>
      <c r="AT23">
        <f t="shared" si="5"/>
        <v>117176.6253223954</v>
      </c>
      <c r="AU23" s="173">
        <f t="shared" si="6"/>
        <v>153853.51667119423</v>
      </c>
      <c r="AV23" s="134">
        <f t="shared" si="39"/>
        <v>273158.59351151634</v>
      </c>
      <c r="AW23" s="134">
        <f t="shared" si="40"/>
        <v>297840.43349815538</v>
      </c>
      <c r="AX23" s="134">
        <f t="shared" si="8"/>
        <v>268026.2573223954</v>
      </c>
      <c r="AY23" s="134">
        <f t="shared" si="9"/>
        <v>299160.49667119421</v>
      </c>
      <c r="AZ23" s="134">
        <f t="shared" si="21"/>
        <v>24681.839986639039</v>
      </c>
      <c r="BA23" s="134">
        <f t="shared" si="22"/>
        <v>143986.91682696115</v>
      </c>
      <c r="BB23" s="135">
        <f t="shared" si="41"/>
        <v>70.378174267049943</v>
      </c>
      <c r="BC23" s="91"/>
    </row>
    <row r="24" spans="1:55">
      <c r="A24" s="7" t="s">
        <v>128</v>
      </c>
      <c r="B24" s="18" t="s">
        <v>128</v>
      </c>
      <c r="C24" s="18" t="s">
        <v>373</v>
      </c>
      <c r="D24" s="141">
        <v>3034</v>
      </c>
      <c r="E24" s="129"/>
      <c r="F24" s="124">
        <v>72065</v>
      </c>
      <c r="G24" s="206">
        <v>60937</v>
      </c>
      <c r="H24" s="124">
        <f t="shared" si="10"/>
        <v>-11128</v>
      </c>
      <c r="I24" s="124">
        <f t="shared" si="11"/>
        <v>60937</v>
      </c>
      <c r="J24" s="134"/>
      <c r="K24" s="134">
        <f t="shared" si="12"/>
        <v>23.752471984179302</v>
      </c>
      <c r="L24" s="134">
        <f t="shared" si="13"/>
        <v>20.084706657877391</v>
      </c>
      <c r="M24" s="134"/>
      <c r="N24" s="134">
        <f>F24*Emissionsfaktorer!E$11</f>
        <v>32357.185000000001</v>
      </c>
      <c r="O24" s="134">
        <f>G24*Emissionsfaktorer!E$12</f>
        <v>23034.186000000002</v>
      </c>
      <c r="P24" s="238"/>
      <c r="Q24" s="179">
        <v>16761</v>
      </c>
      <c r="R24" s="302">
        <v>13548</v>
      </c>
      <c r="S24" s="134"/>
      <c r="T24" s="134">
        <f t="shared" si="0"/>
        <v>721242.59100000001</v>
      </c>
      <c r="U24" s="134">
        <f t="shared" si="1"/>
        <v>582983.98800000001</v>
      </c>
      <c r="V24" s="134">
        <f t="shared" si="42"/>
        <v>-138258.603</v>
      </c>
      <c r="W24" s="134">
        <f t="shared" si="15"/>
        <v>582983.98800000001</v>
      </c>
      <c r="X24" s="134"/>
      <c r="Y24" s="134">
        <f t="shared" si="2"/>
        <v>237.72003658536585</v>
      </c>
      <c r="Z24" s="134">
        <f t="shared" si="3"/>
        <v>192.15029268292685</v>
      </c>
      <c r="AA24" s="129">
        <v>0.22500000000000001</v>
      </c>
      <c r="AB24" s="134"/>
      <c r="AC24" s="134">
        <f>Emissionsfaktorer!E$25*T24</f>
        <v>147133.488564</v>
      </c>
      <c r="AD24" s="134">
        <f>Emissionsfaktorer!E$26*U24</f>
        <v>118928.73355199999</v>
      </c>
      <c r="AE24" s="173"/>
      <c r="AF24" s="134">
        <f t="shared" si="16"/>
        <v>179490.673564</v>
      </c>
      <c r="AG24" s="134">
        <f t="shared" si="17"/>
        <v>141962.91955200001</v>
      </c>
      <c r="AH24" s="134">
        <f t="shared" si="18"/>
        <v>-37527.75401199999</v>
      </c>
      <c r="AI24" s="135">
        <f t="shared" si="4"/>
        <v>46.790678823994732</v>
      </c>
      <c r="AJ24" s="134">
        <f>((T24*0.8)/(1.219))+(T24*0.2)</f>
        <v>617582.45815077936</v>
      </c>
      <c r="AK24" s="134">
        <f>((U24*0.8)/(0.9571))+(U24*0.2)</f>
        <v>603888.815570954</v>
      </c>
      <c r="AL24" s="134">
        <f t="shared" si="19"/>
        <v>591667.42493847408</v>
      </c>
      <c r="AM24" s="134">
        <f t="shared" si="20"/>
        <v>609115.02246369247</v>
      </c>
      <c r="AN24" s="134">
        <f>AK24-AJ24</f>
        <v>-13693.642579825362</v>
      </c>
      <c r="AO24" s="134">
        <f>AJ24/D24</f>
        <v>203.55387546169393</v>
      </c>
      <c r="AP24" s="134">
        <f>AK24/D24</f>
        <v>199.04047975311602</v>
      </c>
      <c r="AQ24" s="129">
        <f>Emissionsfaktorer!E$24</f>
        <v>0.20399999999999999</v>
      </c>
      <c r="AR24" s="134">
        <f>AQ24*AJ24</f>
        <v>125986.82146275898</v>
      </c>
      <c r="AS24" s="134">
        <f>AQ24*AK24</f>
        <v>123193.31837647461</v>
      </c>
      <c r="AT24">
        <f t="shared" si="5"/>
        <v>120700.15468744871</v>
      </c>
      <c r="AU24" s="173">
        <f t="shared" si="6"/>
        <v>124259.46458259325</v>
      </c>
      <c r="AV24" s="134">
        <f>N24+AR24</f>
        <v>158344.00646275899</v>
      </c>
      <c r="AW24" s="134">
        <f>O24+AS24</f>
        <v>146227.50437647459</v>
      </c>
      <c r="AX24" s="134">
        <f t="shared" si="8"/>
        <v>153057.33968744872</v>
      </c>
      <c r="AY24" s="134">
        <f t="shared" si="9"/>
        <v>147293.65058259325</v>
      </c>
      <c r="AZ24" s="134">
        <f t="shared" si="21"/>
        <v>-12116.502086284396</v>
      </c>
      <c r="BA24" s="134">
        <f t="shared" si="22"/>
        <v>21968.03979388134</v>
      </c>
      <c r="BB24" s="135">
        <f>AW24/D24</f>
        <v>48.196276986313315</v>
      </c>
      <c r="BC24" s="91"/>
    </row>
    <row r="25" spans="1:55">
      <c r="A25" s="7" t="s">
        <v>139</v>
      </c>
      <c r="B25" s="18" t="s">
        <v>139</v>
      </c>
      <c r="C25" s="18"/>
      <c r="D25" s="196">
        <v>4270</v>
      </c>
      <c r="E25" s="129"/>
      <c r="F25" s="124">
        <v>206246</v>
      </c>
      <c r="G25" s="206">
        <v>207067</v>
      </c>
      <c r="H25" s="124">
        <f t="shared" si="10"/>
        <v>821</v>
      </c>
      <c r="I25" s="124">
        <f t="shared" si="11"/>
        <v>207067</v>
      </c>
      <c r="J25" s="134"/>
      <c r="K25" s="134">
        <f t="shared" si="12"/>
        <v>48.301170960187356</v>
      </c>
      <c r="L25" s="134">
        <f t="shared" si="13"/>
        <v>48.493442622950816</v>
      </c>
      <c r="M25" s="134"/>
      <c r="N25" s="134">
        <f>F25*Emissionsfaktorer!E$11</f>
        <v>92604.453999999998</v>
      </c>
      <c r="O25" s="134">
        <f>G25*Emissionsfaktorer!E$12</f>
        <v>78271.326000000001</v>
      </c>
      <c r="P25" s="239"/>
      <c r="Q25" s="240">
        <v>9993</v>
      </c>
      <c r="R25" s="302">
        <v>9367</v>
      </c>
      <c r="S25" s="134"/>
      <c r="T25" s="134">
        <f t="shared" si="0"/>
        <v>430008.783</v>
      </c>
      <c r="U25" s="134">
        <f t="shared" si="1"/>
        <v>403071.37700000004</v>
      </c>
      <c r="V25" s="134">
        <f t="shared" si="42"/>
        <v>-26937.405999999959</v>
      </c>
      <c r="W25" s="134">
        <f t="shared" si="15"/>
        <v>403071.37700000004</v>
      </c>
      <c r="X25" s="134"/>
      <c r="Y25" s="134">
        <f t="shared" si="2"/>
        <v>100.70463302107729</v>
      </c>
      <c r="Z25" s="134">
        <f t="shared" si="3"/>
        <v>94.39610702576114</v>
      </c>
      <c r="AA25" s="129">
        <v>9.0999999999999998E-2</v>
      </c>
      <c r="AB25" s="134"/>
      <c r="AC25" s="134">
        <f>Emissionsfaktorer!E$17*T25</f>
        <v>43000.878300000004</v>
      </c>
      <c r="AD25" s="134">
        <f>Emissionsfaktorer!E$18*U25</f>
        <v>37485.638061000005</v>
      </c>
      <c r="AE25" s="173"/>
      <c r="AF25" s="134">
        <f t="shared" si="16"/>
        <v>135605.33230000001</v>
      </c>
      <c r="AG25" s="134">
        <f t="shared" si="17"/>
        <v>115756.96406100001</v>
      </c>
      <c r="AH25" s="134">
        <f t="shared" si="18"/>
        <v>-19848.368239000003</v>
      </c>
      <c r="AI25" s="135">
        <f t="shared" si="4"/>
        <v>27.109359264871195</v>
      </c>
      <c r="AJ25" s="134">
        <f>((T25*0.8)/(1.219))+(T25*0.2)</f>
        <v>368206.04404872848</v>
      </c>
      <c r="AK25" s="134">
        <f>((U25*0.8)/(0.9571))+(U25*0.2)</f>
        <v>417524.84023126122</v>
      </c>
      <c r="AL25" s="134">
        <f t="shared" si="19"/>
        <v>352755.35931091057</v>
      </c>
      <c r="AM25" s="134">
        <f t="shared" si="20"/>
        <v>421138.20603907644</v>
      </c>
      <c r="AN25" s="134">
        <f>AK25-AJ25</f>
        <v>49318.796182532737</v>
      </c>
      <c r="AO25" s="134">
        <f>AJ25/D25</f>
        <v>86.230923664807605</v>
      </c>
      <c r="AP25" s="134">
        <f>AK25/D25</f>
        <v>97.780993028398413</v>
      </c>
      <c r="AQ25" s="129">
        <f>Emissionsfaktorer!E$16</f>
        <v>8.5999999999999993E-2</v>
      </c>
      <c r="AR25" s="134">
        <f>AQ25*AJ25</f>
        <v>31665.719788190647</v>
      </c>
      <c r="AS25" s="134">
        <f>AQ25*AK25</f>
        <v>35907.136259888459</v>
      </c>
      <c r="AT25">
        <f t="shared" si="5"/>
        <v>30336.960900738308</v>
      </c>
      <c r="AU25" s="173">
        <f t="shared" si="6"/>
        <v>36217.885719360573</v>
      </c>
      <c r="AV25" s="134">
        <f>N25+AR25</f>
        <v>124270.17378819064</v>
      </c>
      <c r="AW25" s="134">
        <f>O25+AS25</f>
        <v>114178.46225988846</v>
      </c>
      <c r="AX25" s="134">
        <f t="shared" si="8"/>
        <v>122941.41490073831</v>
      </c>
      <c r="AY25" s="134">
        <f t="shared" si="9"/>
        <v>114489.21171936058</v>
      </c>
      <c r="AZ25" s="134">
        <f t="shared" si="21"/>
        <v>-10091.711528302185</v>
      </c>
      <c r="BA25" s="134">
        <f t="shared" si="22"/>
        <v>77960.576540527894</v>
      </c>
      <c r="BB25" s="135">
        <f>AW25/D25</f>
        <v>26.73968671191767</v>
      </c>
      <c r="BC25" s="91"/>
    </row>
    <row r="26" spans="1:55" s="102" customFormat="1">
      <c r="A26" s="100" t="s">
        <v>252</v>
      </c>
      <c r="B26" s="100"/>
      <c r="C26" s="100"/>
      <c r="D26" s="197">
        <f>SUM(D2:D25)</f>
        <v>61389</v>
      </c>
      <c r="E26" s="184"/>
      <c r="F26" s="118">
        <f>SUM(F2:F25)</f>
        <v>2815177</v>
      </c>
      <c r="G26" s="118">
        <f>SUM(G2:G25)</f>
        <v>2779954</v>
      </c>
      <c r="H26" s="118">
        <f>SUM(H2:H25)</f>
        <v>-35223</v>
      </c>
      <c r="I26" s="118">
        <f>SUM(I2:I25)</f>
        <v>2779954</v>
      </c>
      <c r="J26" s="286"/>
      <c r="K26" s="286">
        <f>F26/D26</f>
        <v>45.858003876916058</v>
      </c>
      <c r="L26" s="286">
        <f>G26/D26</f>
        <v>45.284236589617031</v>
      </c>
      <c r="M26" s="170"/>
      <c r="N26" s="170">
        <f>SUM(N2:N25)</f>
        <v>1264014.473</v>
      </c>
      <c r="O26" s="170">
        <f>SUM(O2:O25)</f>
        <v>1050822.612</v>
      </c>
      <c r="P26" s="294"/>
      <c r="Q26" s="186">
        <f>SUM(Q2:Q25)</f>
        <v>259596</v>
      </c>
      <c r="R26" s="286">
        <f>SUM(R2:R25)</f>
        <v>229358.7</v>
      </c>
      <c r="S26" s="170"/>
      <c r="T26" s="118">
        <f>SUM(T2:T25)</f>
        <v>11170675.476</v>
      </c>
      <c r="U26" s="170">
        <f>SUM(U2:U25)</f>
        <v>9869534.2197000012</v>
      </c>
      <c r="V26" s="170">
        <f>SUM(V2:V25)</f>
        <v>-1301141.2563000005</v>
      </c>
      <c r="W26" s="170">
        <f>SUM(W2:W25)</f>
        <v>9869534.2197000012</v>
      </c>
      <c r="X26" s="286"/>
      <c r="Y26" s="286">
        <f t="shared" si="2"/>
        <v>181.96542501099546</v>
      </c>
      <c r="Z26" s="286">
        <f t="shared" si="3"/>
        <v>160.77040218443045</v>
      </c>
      <c r="AA26" s="303" t="e">
        <f>AB26/S26</f>
        <v>#DIV/0!</v>
      </c>
      <c r="AB26" s="170"/>
      <c r="AC26" s="170">
        <f>SUM(AC2:AC25)</f>
        <v>1234913.6211920003</v>
      </c>
      <c r="AD26" s="185">
        <f>SUM(AD2:AD25)</f>
        <v>1025102.5593230999</v>
      </c>
      <c r="AE26" s="170"/>
      <c r="AF26" s="349">
        <f>SUM(AF2:AF25)</f>
        <v>2498928.0941920001</v>
      </c>
      <c r="AG26" s="349">
        <f>SUM(AG2:AG25)</f>
        <v>2075925.1713230999</v>
      </c>
      <c r="AH26" s="170">
        <f>SUM(AH2:AH25)</f>
        <v>-423002.9228689</v>
      </c>
      <c r="AI26" s="304">
        <f t="shared" si="4"/>
        <v>33.815914436187263</v>
      </c>
      <c r="AJ26" s="170">
        <f>SUM(AJ2:AJ25)</f>
        <v>9565177.2451589853</v>
      </c>
      <c r="AK26" s="170">
        <f>SUM(AK2:AK25)</f>
        <v>10223439.155882329</v>
      </c>
      <c r="AL26" s="170">
        <f>SUM(AL2:AL25)</f>
        <v>9163802.687448727</v>
      </c>
      <c r="AM26" s="170">
        <f>SUM(AM2:AM25)</f>
        <v>10311915.389927909</v>
      </c>
      <c r="AN26" s="170">
        <f>SUM(AN2:AN25)</f>
        <v>660624.71533936518</v>
      </c>
      <c r="AO26" s="286">
        <f>AJ26/D26</f>
        <v>155.81255998890657</v>
      </c>
      <c r="AP26" s="286">
        <f>AK26/D26</f>
        <v>166.53535903634736</v>
      </c>
      <c r="AQ26" s="303">
        <f>AR26/AJ26</f>
        <v>9.7969729887979751E-2</v>
      </c>
      <c r="AR26" s="170">
        <f t="shared" ref="AR26:BA26" si="43">SUM(AR2:AR25)</f>
        <v>937097.83103887609</v>
      </c>
      <c r="AS26" s="185">
        <f t="shared" si="43"/>
        <v>997302.06207736291</v>
      </c>
      <c r="AT26" s="170">
        <f t="shared" si="43"/>
        <v>897775.2740360949</v>
      </c>
      <c r="AU26" s="185">
        <f t="shared" si="43"/>
        <v>1005932.9669336539</v>
      </c>
      <c r="AV26" s="170">
        <f t="shared" si="43"/>
        <v>2201112.3040388767</v>
      </c>
      <c r="AW26" s="170">
        <f t="shared" si="43"/>
        <v>2048124.6740773628</v>
      </c>
      <c r="AX26" s="170">
        <f t="shared" si="43"/>
        <v>2161789.7470360948</v>
      </c>
      <c r="AY26" s="170">
        <f t="shared" si="43"/>
        <v>2056755.5789336537</v>
      </c>
      <c r="AZ26" s="170">
        <f t="shared" si="43"/>
        <v>-152987.62996151316</v>
      </c>
      <c r="BA26" s="170">
        <f t="shared" si="43"/>
        <v>1042191.7071437091</v>
      </c>
      <c r="BB26" s="185">
        <f>AW26/D26</f>
        <v>33.363056477176087</v>
      </c>
      <c r="BC26" s="164"/>
    </row>
    <row r="27" spans="1:55">
      <c r="A27" s="94" t="s">
        <v>418</v>
      </c>
      <c r="B27" s="49"/>
      <c r="C27" s="49"/>
      <c r="D27" s="198">
        <f>D26</f>
        <v>61389</v>
      </c>
      <c r="E27" s="145"/>
      <c r="F27" s="172"/>
      <c r="G27" s="172"/>
      <c r="H27" s="283" t="s">
        <v>388</v>
      </c>
      <c r="I27" s="284"/>
      <c r="J27" s="270"/>
      <c r="K27" s="270">
        <f>N26/D26</f>
        <v>20.59024374073531</v>
      </c>
      <c r="L27" s="285">
        <f>O26/D26</f>
        <v>17.117441430875239</v>
      </c>
      <c r="M27" s="192"/>
      <c r="N27" s="192">
        <f>F26*Emissionsfaktorer!E10</f>
        <v>1297796.5970000001</v>
      </c>
      <c r="O27" s="166">
        <f>G26*Emissionsfaktorer!E10</f>
        <v>1281558.794</v>
      </c>
      <c r="P27" s="199"/>
      <c r="Q27" s="122"/>
      <c r="R27" s="172" t="s">
        <v>389</v>
      </c>
      <c r="S27" s="190"/>
      <c r="T27" s="191">
        <v>37</v>
      </c>
      <c r="U27" s="191">
        <v>37</v>
      </c>
      <c r="V27" s="283" t="s">
        <v>388</v>
      </c>
      <c r="W27" s="284"/>
      <c r="X27" s="270"/>
      <c r="Y27" s="270" t="e">
        <f>Y26*AA26</f>
        <v>#DIV/0!</v>
      </c>
      <c r="Z27" s="285" t="e">
        <f>Z26*AA26</f>
        <v>#DIV/0!</v>
      </c>
      <c r="AA27" s="199"/>
      <c r="AB27" s="189"/>
      <c r="AC27" s="189" t="e">
        <f>T26*AA26</f>
        <v>#DIV/0!</v>
      </c>
      <c r="AD27" s="189" t="e">
        <f>U26*AA26</f>
        <v>#DIV/0!</v>
      </c>
      <c r="AE27" s="194"/>
      <c r="AF27" s="192" t="e">
        <f>N27+AC27</f>
        <v>#DIV/0!</v>
      </c>
      <c r="AG27" s="192" t="e">
        <f>O27+AD27</f>
        <v>#DIV/0!</v>
      </c>
      <c r="AH27" s="192" t="e">
        <f>AG27-AF27</f>
        <v>#DIV/0!</v>
      </c>
      <c r="AI27" s="135" t="e">
        <f t="shared" si="4"/>
        <v>#DIV/0!</v>
      </c>
      <c r="AJ27" s="122"/>
      <c r="AK27" s="122"/>
      <c r="AN27" s="283" t="s">
        <v>388</v>
      </c>
      <c r="AO27" s="270">
        <f>AO26*AQ26</f>
        <v>15.264914415267818</v>
      </c>
      <c r="AP27" s="285">
        <f>AP26*AQ26</f>
        <v>16.315424141588679</v>
      </c>
      <c r="AQ27" s="199"/>
      <c r="AR27" s="189">
        <f>AJ26*AQ26</f>
        <v>937097.83103887609</v>
      </c>
      <c r="AS27" s="189">
        <f>AK26*AQ26</f>
        <v>1001587.5726279875</v>
      </c>
      <c r="AT27" s="189">
        <f>AL26*AQ26</f>
        <v>897775.27403609466</v>
      </c>
      <c r="AU27" s="189">
        <f>AM26*AQ26</f>
        <v>1010255.5653789386</v>
      </c>
      <c r="AV27" s="346">
        <f>N27+AR26</f>
        <v>2234894.428038876</v>
      </c>
      <c r="AW27" s="346">
        <f>O27+AS26</f>
        <v>2278860.8560773628</v>
      </c>
      <c r="AX27" s="347">
        <f>N27+AT26</f>
        <v>2195571.8710360951</v>
      </c>
      <c r="AY27" s="347">
        <f>O27+AU26</f>
        <v>2287491.7609336539</v>
      </c>
      <c r="AZ27" s="192">
        <f>AW27-AV27</f>
        <v>43966.428038486745</v>
      </c>
      <c r="BA27" s="192">
        <f>AZ27-AW27</f>
        <v>-2234894.428038876</v>
      </c>
      <c r="BB27" s="166">
        <f>AW27/D27</f>
        <v>37.121648114114301</v>
      </c>
      <c r="BC27" s="163"/>
    </row>
    <row r="28" spans="1:55">
      <c r="AC28" s="283" t="s">
        <v>388</v>
      </c>
      <c r="AD28" s="284"/>
      <c r="AE28" s="282"/>
      <c r="AF28" s="282">
        <f>AF26/D26</f>
        <v>40.706447314535176</v>
      </c>
      <c r="AG28" s="282">
        <f>AG26/D26</f>
        <v>33.815914436187263</v>
      </c>
      <c r="AR28" s="283" t="s">
        <v>388</v>
      </c>
      <c r="AS28" s="284"/>
      <c r="AU28" s="282"/>
      <c r="AV28" s="348" t="s">
        <v>442</v>
      </c>
      <c r="AW28" s="348" t="s">
        <v>442</v>
      </c>
      <c r="AX28" s="348" t="s">
        <v>441</v>
      </c>
      <c r="AY28" s="348" t="s">
        <v>441</v>
      </c>
    </row>
  </sheetData>
  <pageMargins left="0" right="0" top="0.74803149606299213" bottom="0.74803149606299213" header="0.31496062992125984" footer="0.31496062992125984"/>
  <pageSetup paperSize="8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BD5"/>
  <sheetViews>
    <sheetView zoomScale="85" zoomScaleNormal="85" workbookViewId="0">
      <pane xSplit="2" topLeftCell="AF1" activePane="topRight" state="frozen"/>
      <selection pane="topRight" activeCell="A6" sqref="A6:XFD6"/>
    </sheetView>
  </sheetViews>
  <sheetFormatPr defaultRowHeight="15"/>
  <cols>
    <col min="1" max="1" width="25.85546875" customWidth="1"/>
    <col min="2" max="2" width="37.28515625" customWidth="1"/>
    <col min="3" max="3" width="5.7109375" bestFit="1" customWidth="1"/>
    <col min="4" max="9" width="13" customWidth="1"/>
    <col min="10" max="10" width="10.85546875" customWidth="1"/>
    <col min="11" max="11" width="11" customWidth="1"/>
    <col min="12" max="12" width="11.28515625" customWidth="1"/>
    <col min="13" max="13" width="10.85546875" customWidth="1"/>
    <col min="14" max="14" width="10.7109375" customWidth="1"/>
    <col min="15" max="15" width="14" customWidth="1"/>
    <col min="16" max="17" width="13.140625" customWidth="1"/>
    <col min="18" max="18" width="14" customWidth="1"/>
    <col min="19" max="20" width="13.140625" customWidth="1"/>
    <col min="21" max="22" width="15.140625" customWidth="1"/>
    <col min="23" max="23" width="11.140625" customWidth="1"/>
    <col min="24" max="24" width="11.7109375" customWidth="1"/>
    <col min="25" max="25" width="12.28515625" customWidth="1"/>
    <col min="26" max="26" width="11" customWidth="1"/>
    <col min="27" max="27" width="10.7109375" customWidth="1"/>
    <col min="28" max="28" width="11" customWidth="1"/>
    <col min="29" max="29" width="10.28515625" customWidth="1"/>
    <col min="30" max="30" width="14.42578125" customWidth="1"/>
    <col min="31" max="32" width="14.140625" customWidth="1"/>
    <col min="33" max="33" width="10.42578125" customWidth="1"/>
    <col min="34" max="34" width="10" customWidth="1"/>
    <col min="35" max="35" width="10.28515625" customWidth="1"/>
    <col min="36" max="37" width="12.42578125" customWidth="1"/>
    <col min="38" max="38" width="11.42578125" customWidth="1"/>
  </cols>
  <sheetData>
    <row r="1" spans="1:56" ht="45" customHeight="1">
      <c r="A1" s="26" t="s">
        <v>259</v>
      </c>
      <c r="B1" s="26" t="s">
        <v>260</v>
      </c>
      <c r="C1" s="92" t="s">
        <v>265</v>
      </c>
      <c r="D1" s="65"/>
      <c r="E1" s="66" t="s">
        <v>266</v>
      </c>
      <c r="F1" s="66" t="s">
        <v>267</v>
      </c>
      <c r="G1" s="67" t="s">
        <v>384</v>
      </c>
      <c r="H1" s="67"/>
      <c r="I1" s="66"/>
      <c r="J1" s="66" t="s">
        <v>268</v>
      </c>
      <c r="K1" s="66" t="s">
        <v>269</v>
      </c>
      <c r="L1" s="66"/>
      <c r="M1" s="66" t="s">
        <v>270</v>
      </c>
      <c r="N1" s="66" t="s">
        <v>271</v>
      </c>
      <c r="O1" s="65"/>
      <c r="P1" s="66" t="s">
        <v>374</v>
      </c>
      <c r="Q1" s="66" t="s">
        <v>375</v>
      </c>
      <c r="R1" s="65"/>
      <c r="S1" s="66" t="s">
        <v>272</v>
      </c>
      <c r="T1" s="66" t="s">
        <v>273</v>
      </c>
      <c r="U1" s="67" t="s">
        <v>384</v>
      </c>
      <c r="V1" s="67"/>
      <c r="W1" s="66"/>
      <c r="X1" s="66" t="s">
        <v>268</v>
      </c>
      <c r="Y1" s="66" t="s">
        <v>269</v>
      </c>
      <c r="Z1" s="66" t="s">
        <v>274</v>
      </c>
      <c r="AA1" s="66"/>
      <c r="AB1" s="66" t="s">
        <v>275</v>
      </c>
      <c r="AC1" s="68" t="s">
        <v>276</v>
      </c>
      <c r="AD1" s="66"/>
      <c r="AE1" s="66" t="s">
        <v>277</v>
      </c>
      <c r="AF1" s="66" t="s">
        <v>278</v>
      </c>
      <c r="AG1" s="67" t="s">
        <v>384</v>
      </c>
      <c r="AH1" s="67" t="s">
        <v>385</v>
      </c>
      <c r="AI1" s="68" t="s">
        <v>284</v>
      </c>
      <c r="AJ1" s="38" t="s">
        <v>432</v>
      </c>
      <c r="AK1" s="38" t="s">
        <v>433</v>
      </c>
      <c r="AL1" s="38" t="s">
        <v>434</v>
      </c>
      <c r="AM1" s="38" t="s">
        <v>435</v>
      </c>
      <c r="AN1" s="67" t="s">
        <v>384</v>
      </c>
      <c r="AO1" s="67" t="s">
        <v>385</v>
      </c>
      <c r="AP1" s="66" t="s">
        <v>268</v>
      </c>
      <c r="AQ1" s="66" t="s">
        <v>269</v>
      </c>
      <c r="AR1" s="66" t="s">
        <v>274</v>
      </c>
      <c r="AS1" s="66" t="s">
        <v>275</v>
      </c>
      <c r="AT1" s="68" t="s">
        <v>276</v>
      </c>
      <c r="AU1" s="345" t="s">
        <v>438</v>
      </c>
      <c r="AV1" s="66" t="s">
        <v>437</v>
      </c>
      <c r="AW1" s="66" t="s">
        <v>277</v>
      </c>
      <c r="AX1" s="66" t="s">
        <v>278</v>
      </c>
      <c r="AY1" s="345" t="s">
        <v>438</v>
      </c>
      <c r="AZ1" s="66" t="s">
        <v>437</v>
      </c>
      <c r="BA1" s="67" t="s">
        <v>384</v>
      </c>
      <c r="BB1" s="67" t="s">
        <v>385</v>
      </c>
      <c r="BC1" s="68" t="s">
        <v>284</v>
      </c>
      <c r="BD1" s="69" t="s">
        <v>264</v>
      </c>
    </row>
    <row r="2" spans="1:56">
      <c r="A2" s="10"/>
      <c r="B2" s="10" t="s">
        <v>261</v>
      </c>
      <c r="C2" s="116">
        <v>4413</v>
      </c>
      <c r="D2" s="129"/>
      <c r="E2" s="124">
        <v>174155</v>
      </c>
      <c r="F2" s="204">
        <v>173659</v>
      </c>
      <c r="G2" s="124">
        <f>F2-E2</f>
        <v>-496</v>
      </c>
      <c r="H2" s="124"/>
      <c r="I2" s="200"/>
      <c r="J2" s="200">
        <f>E2/C2</f>
        <v>39.46408338998414</v>
      </c>
      <c r="K2" s="200">
        <f>F2/C2</f>
        <v>39.351688193972358</v>
      </c>
      <c r="L2" s="200"/>
      <c r="M2" s="200">
        <f>Emissionsfaktorer!E$11*E2</f>
        <v>78195.595000000001</v>
      </c>
      <c r="N2" s="200">
        <f>Emissionsfaktorer!E$12*F2</f>
        <v>65643.101999999999</v>
      </c>
      <c r="O2" s="129"/>
      <c r="P2" s="124">
        <v>13412</v>
      </c>
      <c r="Q2" s="204">
        <v>10675</v>
      </c>
      <c r="R2" s="173"/>
      <c r="S2" s="173">
        <f>P2*S4*1.163</f>
        <v>577131.772</v>
      </c>
      <c r="T2" s="173">
        <f>Q2*T4*1.163</f>
        <v>459355.92499999999</v>
      </c>
      <c r="U2" s="134">
        <f>T2-S2</f>
        <v>-117775.84700000001</v>
      </c>
      <c r="V2" s="134"/>
      <c r="W2" s="134"/>
      <c r="X2" s="134">
        <f>S2/C2</f>
        <v>130.77991661001587</v>
      </c>
      <c r="Y2" s="134">
        <f>T2/C2</f>
        <v>104.091530704736</v>
      </c>
      <c r="Z2" s="124">
        <v>9.0999999999999998E-2</v>
      </c>
      <c r="AA2" s="134"/>
      <c r="AB2" s="134">
        <f>Emissionsfaktorer!E$17*S2</f>
        <v>57713.177200000006</v>
      </c>
      <c r="AC2" s="135">
        <f>Emissionsfaktorer!E$18*T2</f>
        <v>42720.101024999996</v>
      </c>
      <c r="AD2" s="134"/>
      <c r="AE2" s="134">
        <f>M2+AB2</f>
        <v>135908.77220000001</v>
      </c>
      <c r="AF2" s="134">
        <f>N2+AC2</f>
        <v>108363.203025</v>
      </c>
      <c r="AG2" s="134">
        <f>AF2-AE2</f>
        <v>-27545.569175000011</v>
      </c>
      <c r="AH2" s="134">
        <f>AF2-AD2</f>
        <v>108363.203025</v>
      </c>
      <c r="AI2" s="167">
        <f>AF2/C2</f>
        <v>24.555450492861997</v>
      </c>
      <c r="AJ2" s="134">
        <f>((S2*0.8)/(1.219))+(S2*0.2)</f>
        <v>494183.87499064807</v>
      </c>
      <c r="AK2" s="134">
        <f>((T2*0.8)/(0.9571))+(T2*0.2)</f>
        <v>475827.65767788113</v>
      </c>
      <c r="AL2" s="134">
        <f>S2/1.219</f>
        <v>473446.90073831007</v>
      </c>
      <c r="AM2" s="134">
        <f>T2/0.9571</f>
        <v>479945.59084735141</v>
      </c>
      <c r="AN2" s="134">
        <f>AK2-AJ2</f>
        <v>-18356.217312766938</v>
      </c>
      <c r="AO2" s="134">
        <f>AM2-AL2</f>
        <v>6498.6901090413448</v>
      </c>
      <c r="AP2" s="134">
        <f>AJ2/C2</f>
        <v>111.98365624079948</v>
      </c>
      <c r="AQ2" s="134">
        <f>AK2/C2</f>
        <v>107.82407833172017</v>
      </c>
      <c r="AR2" s="124">
        <f>Emissionsfaktorer!E16</f>
        <v>8.5999999999999993E-2</v>
      </c>
      <c r="AS2" s="134">
        <f>AR2*AJ2</f>
        <v>42499.813249195729</v>
      </c>
      <c r="AT2" s="135">
        <f>AR2*AK2</f>
        <v>40921.178560297776</v>
      </c>
      <c r="AU2">
        <f>AL2*AR2</f>
        <v>40716.433463494664</v>
      </c>
      <c r="AV2" s="134">
        <f>AM2*AR2</f>
        <v>41275.320812872218</v>
      </c>
      <c r="AW2" s="134">
        <f>M2+AS2</f>
        <v>120695.40824919572</v>
      </c>
      <c r="AX2" s="134">
        <f>N2+AT2</f>
        <v>106564.28056029778</v>
      </c>
      <c r="AY2" s="134">
        <f>M2+AU2</f>
        <v>118912.02846349467</v>
      </c>
      <c r="AZ2" s="134">
        <f>N2+AV2</f>
        <v>106918.42281287222</v>
      </c>
      <c r="BA2" s="134">
        <f>AX2-AW2</f>
        <v>-14131.127688897948</v>
      </c>
      <c r="BB2" s="134">
        <f>AX2-AV2</f>
        <v>65288.959747425557</v>
      </c>
      <c r="BC2" s="167">
        <f>AX2/C2</f>
        <v>24.147808873849485</v>
      </c>
      <c r="BD2" s="36"/>
    </row>
    <row r="3" spans="1:56" s="102" customFormat="1">
      <c r="A3" s="96" t="s">
        <v>252</v>
      </c>
      <c r="B3" s="100"/>
      <c r="C3" s="184">
        <f>SUM(C2)</f>
        <v>4413</v>
      </c>
      <c r="D3" s="184"/>
      <c r="E3" s="118">
        <f>SUM(E2:E2)</f>
        <v>174155</v>
      </c>
      <c r="F3" s="118">
        <f>SUM(F2:F2)</f>
        <v>173659</v>
      </c>
      <c r="G3" s="118">
        <f>SUM(G2:G2)</f>
        <v>-496</v>
      </c>
      <c r="H3" s="118"/>
      <c r="I3" s="170"/>
      <c r="J3" s="170">
        <f>SUM(J2:J2)</f>
        <v>39.46408338998414</v>
      </c>
      <c r="K3" s="170">
        <f>SUM(K2:K2)</f>
        <v>39.351688193972358</v>
      </c>
      <c r="L3" s="170"/>
      <c r="M3" s="170">
        <f>SUM(M2:M2)</f>
        <v>78195.595000000001</v>
      </c>
      <c r="N3" s="170">
        <f>SUM(N2:N2)</f>
        <v>65643.101999999999</v>
      </c>
      <c r="O3" s="184"/>
      <c r="P3" s="118">
        <f>SUM(P2:P2)</f>
        <v>13412</v>
      </c>
      <c r="Q3" s="118">
        <f>SUM(Q2:Q2)</f>
        <v>10675</v>
      </c>
      <c r="R3" s="193"/>
      <c r="S3" s="170">
        <f>SUM(S2:S2)</f>
        <v>577131.772</v>
      </c>
      <c r="T3" s="170">
        <f>SUM(T2:T2)</f>
        <v>459355.92499999999</v>
      </c>
      <c r="U3" s="170">
        <f>SUM(U2:U2)</f>
        <v>-117775.84700000001</v>
      </c>
      <c r="V3" s="170"/>
      <c r="W3" s="286"/>
      <c r="X3" s="286">
        <f>S3/C3</f>
        <v>130.77991661001587</v>
      </c>
      <c r="Y3" s="286">
        <f>T3/C3</f>
        <v>104.091530704736</v>
      </c>
      <c r="Z3" s="118" t="e">
        <f>AA3/R3</f>
        <v>#DIV/0!</v>
      </c>
      <c r="AA3" s="170"/>
      <c r="AB3" s="170">
        <f t="shared" ref="AB3:AH4" si="0">SUM(AB2:AB2)</f>
        <v>57713.177200000006</v>
      </c>
      <c r="AC3" s="170">
        <f t="shared" si="0"/>
        <v>42720.101024999996</v>
      </c>
      <c r="AD3" s="193"/>
      <c r="AE3" s="349">
        <f t="shared" si="0"/>
        <v>135908.77220000001</v>
      </c>
      <c r="AF3" s="349">
        <f t="shared" si="0"/>
        <v>108363.203025</v>
      </c>
      <c r="AG3" s="170">
        <f t="shared" si="0"/>
        <v>-27545.569175000011</v>
      </c>
      <c r="AH3" s="170">
        <f t="shared" si="0"/>
        <v>108363.203025</v>
      </c>
      <c r="AI3" s="319">
        <f>AF3/C3</f>
        <v>24.555450492861997</v>
      </c>
      <c r="AJ3" s="170">
        <f>SUM(AJ2)</f>
        <v>494183.87499064807</v>
      </c>
      <c r="AK3" s="170">
        <f>SUM(AK2)</f>
        <v>475827.65767788113</v>
      </c>
      <c r="AL3" s="170">
        <f>SUM(AL2)</f>
        <v>473446.90073831007</v>
      </c>
      <c r="AM3" s="170">
        <f>SUM(AM2)</f>
        <v>479945.59084735141</v>
      </c>
      <c r="AN3" s="170">
        <f>SUM(AN2:AN2)</f>
        <v>-18356.217312766938</v>
      </c>
      <c r="AO3" s="170">
        <f>SUM(AO2:AO2)</f>
        <v>6498.6901090413448</v>
      </c>
      <c r="AP3" s="286">
        <f>AJ3/C3</f>
        <v>111.98365624079948</v>
      </c>
      <c r="AQ3" s="286">
        <f>AK3/C3</f>
        <v>107.82407833172017</v>
      </c>
      <c r="AR3" s="118">
        <f>AS3/AJ3</f>
        <v>8.5999999999999993E-2</v>
      </c>
      <c r="AS3" s="170">
        <f t="shared" ref="AS3:BB3" si="1">SUM(AS2:AS2)</f>
        <v>42499.813249195729</v>
      </c>
      <c r="AT3" s="170">
        <f t="shared" si="1"/>
        <v>40921.178560297776</v>
      </c>
      <c r="AU3" s="170">
        <f t="shared" si="1"/>
        <v>40716.433463494664</v>
      </c>
      <c r="AV3" s="170">
        <f t="shared" si="1"/>
        <v>41275.320812872218</v>
      </c>
      <c r="AW3" s="170">
        <f t="shared" si="1"/>
        <v>120695.40824919572</v>
      </c>
      <c r="AX3" s="170">
        <f t="shared" si="1"/>
        <v>106564.28056029778</v>
      </c>
      <c r="AY3" s="170">
        <f t="shared" si="1"/>
        <v>118912.02846349467</v>
      </c>
      <c r="AZ3" s="170">
        <f t="shared" si="1"/>
        <v>106918.42281287222</v>
      </c>
      <c r="BA3" s="170">
        <f t="shared" si="1"/>
        <v>-14131.127688897948</v>
      </c>
      <c r="BB3" s="170">
        <f t="shared" si="1"/>
        <v>65288.959747425557</v>
      </c>
      <c r="BC3" s="166">
        <f>AX3/C3</f>
        <v>24.147808873849485</v>
      </c>
      <c r="BD3" s="105"/>
    </row>
    <row r="4" spans="1:56">
      <c r="A4" s="94" t="s">
        <v>418</v>
      </c>
      <c r="B4" s="48"/>
      <c r="C4" s="143">
        <f>C3</f>
        <v>4413</v>
      </c>
      <c r="D4" s="145"/>
      <c r="E4" s="172"/>
      <c r="F4" s="172"/>
      <c r="G4" s="283" t="s">
        <v>388</v>
      </c>
      <c r="H4" s="284"/>
      <c r="I4" s="270"/>
      <c r="J4" s="270">
        <f>M3/C3</f>
        <v>17.719373442102878</v>
      </c>
      <c r="K4" s="285">
        <f>N3/C3</f>
        <v>14.87493813732155</v>
      </c>
      <c r="L4" s="192"/>
      <c r="M4" s="192">
        <f>E3*Emissionsfaktorer!E$10</f>
        <v>80285.455000000002</v>
      </c>
      <c r="N4" s="166">
        <f>F3*Emissionsfaktorer!E$10</f>
        <v>80056.798999999999</v>
      </c>
      <c r="O4" s="145"/>
      <c r="P4" s="172"/>
      <c r="Q4" s="172" t="s">
        <v>389</v>
      </c>
      <c r="R4" s="190"/>
      <c r="S4" s="191">
        <v>37</v>
      </c>
      <c r="T4" s="191">
        <v>37</v>
      </c>
      <c r="U4" s="283" t="s">
        <v>388</v>
      </c>
      <c r="V4" s="284"/>
      <c r="W4" s="270"/>
      <c r="X4" s="270" t="e">
        <f>X3*Z3</f>
        <v>#DIV/0!</v>
      </c>
      <c r="Y4" s="285" t="e">
        <f>Y3*Z3</f>
        <v>#DIV/0!</v>
      </c>
      <c r="Z4" s="172"/>
      <c r="AA4" s="192"/>
      <c r="AB4" s="192" t="e">
        <f>S3*Z3</f>
        <v>#DIV/0!</v>
      </c>
      <c r="AC4" s="166" t="e">
        <f>T3*Z3</f>
        <v>#DIV/0!</v>
      </c>
      <c r="AD4" s="192"/>
      <c r="AE4" s="192" t="e">
        <f>M4+AB4</f>
        <v>#DIV/0!</v>
      </c>
      <c r="AF4" s="192" t="e">
        <f>N4+AC4</f>
        <v>#DIV/0!</v>
      </c>
      <c r="AG4" s="192" t="e">
        <f>AF4-AE4</f>
        <v>#DIV/0!</v>
      </c>
      <c r="AH4" s="170">
        <f t="shared" si="0"/>
        <v>108363.203025</v>
      </c>
      <c r="AI4" s="167" t="e">
        <f>AF4/C4</f>
        <v>#DIV/0!</v>
      </c>
      <c r="AJ4" s="172"/>
      <c r="AK4" s="172"/>
      <c r="AL4" s="172"/>
      <c r="AN4" s="283" t="s">
        <v>388</v>
      </c>
      <c r="AO4" s="284"/>
      <c r="AP4" s="270">
        <f>AP3*AR3</f>
        <v>9.6305944367087548</v>
      </c>
      <c r="AQ4" s="285">
        <f>AQ3*AR3</f>
        <v>9.2728707365279348</v>
      </c>
      <c r="AR4" s="172"/>
      <c r="AS4" s="192">
        <f>AJ3*AR3</f>
        <v>42499.813249195729</v>
      </c>
      <c r="AT4" s="166">
        <f>AK3*AR3</f>
        <v>40921.178560297776</v>
      </c>
      <c r="AU4">
        <f>AL3*AR3</f>
        <v>40716.433463494664</v>
      </c>
      <c r="AV4" s="192">
        <f>AM3*AR3</f>
        <v>41275.320812872218</v>
      </c>
      <c r="AW4" s="346">
        <f>M4+AS3</f>
        <v>122785.26824919574</v>
      </c>
      <c r="AX4" s="346">
        <f>N4+AT3</f>
        <v>120977.97756029778</v>
      </c>
      <c r="AY4" s="347">
        <f>M4+AU3</f>
        <v>121001.88846349466</v>
      </c>
      <c r="AZ4" s="347">
        <f>N4+AV3</f>
        <v>121332.11981287222</v>
      </c>
      <c r="BA4" s="192">
        <f>AX4-AW4</f>
        <v>-1807.2906888979633</v>
      </c>
      <c r="BB4" s="134">
        <f>AX4-AV4</f>
        <v>79702.656747425557</v>
      </c>
      <c r="BC4" s="166">
        <f>AX4/C4</f>
        <v>27.413998993949189</v>
      </c>
      <c r="BD4" s="168"/>
    </row>
    <row r="5" spans="1:56">
      <c r="AB5" s="283" t="s">
        <v>388</v>
      </c>
      <c r="AC5" s="284"/>
      <c r="AD5" s="282"/>
      <c r="AE5" s="282">
        <f>AE3/C3</f>
        <v>30.797365103104465</v>
      </c>
      <c r="AF5" s="282">
        <f>AF3/C3</f>
        <v>24.555450492861997</v>
      </c>
      <c r="AS5" s="283" t="s">
        <v>388</v>
      </c>
      <c r="AT5" s="284"/>
      <c r="AV5" s="282"/>
      <c r="AW5" s="348" t="s">
        <v>442</v>
      </c>
      <c r="AX5" s="348" t="s">
        <v>442</v>
      </c>
      <c r="AY5" s="348" t="s">
        <v>441</v>
      </c>
      <c r="AZ5" s="348" t="s">
        <v>441</v>
      </c>
    </row>
  </sheetData>
  <pageMargins left="0" right="0" top="0.74803149606299213" bottom="0.74803149606299213" header="0.31496062992125984" footer="0.31496062992125984"/>
  <pageSetup paperSize="8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K6" sqref="K6:L6"/>
    </sheetView>
  </sheetViews>
  <sheetFormatPr defaultRowHeight="15"/>
  <cols>
    <col min="1" max="1" width="14.140625" bestFit="1" customWidth="1"/>
  </cols>
  <sheetData>
    <row r="1" spans="1:17">
      <c r="B1" s="305" t="s">
        <v>401</v>
      </c>
      <c r="C1" s="306"/>
      <c r="D1" s="307"/>
      <c r="E1" s="305" t="s">
        <v>387</v>
      </c>
      <c r="F1" s="307" t="s">
        <v>400</v>
      </c>
      <c r="G1" s="305" t="s">
        <v>397</v>
      </c>
      <c r="H1" s="306"/>
      <c r="I1" s="307"/>
      <c r="J1" s="305" t="s">
        <v>398</v>
      </c>
      <c r="K1" s="306"/>
      <c r="L1" s="307"/>
      <c r="M1" s="305" t="s">
        <v>387</v>
      </c>
      <c r="N1" s="307" t="s">
        <v>400</v>
      </c>
      <c r="O1" s="305" t="s">
        <v>399</v>
      </c>
      <c r="P1" s="306"/>
      <c r="Q1" s="307"/>
    </row>
    <row r="2" spans="1:17" ht="15.75" thickBot="1">
      <c r="B2" s="308" t="s">
        <v>396</v>
      </c>
      <c r="C2" s="309">
        <v>2010</v>
      </c>
      <c r="D2" s="310">
        <v>2011</v>
      </c>
      <c r="E2" s="308"/>
      <c r="F2" s="310"/>
      <c r="G2" s="308" t="s">
        <v>396</v>
      </c>
      <c r="H2" s="309">
        <v>2010</v>
      </c>
      <c r="I2" s="310">
        <v>2011</v>
      </c>
      <c r="J2" s="308" t="s">
        <v>396</v>
      </c>
      <c r="K2" s="309">
        <v>2010</v>
      </c>
      <c r="L2" s="310">
        <v>2011</v>
      </c>
      <c r="M2" s="308"/>
      <c r="N2" s="310"/>
      <c r="O2" s="308" t="s">
        <v>396</v>
      </c>
      <c r="P2" s="309">
        <v>2010</v>
      </c>
      <c r="Q2" s="310">
        <v>2011</v>
      </c>
    </row>
    <row r="3" spans="1:17" ht="15.75" thickBot="1">
      <c r="A3" s="311" t="s">
        <v>392</v>
      </c>
      <c r="B3" s="312">
        <v>12028</v>
      </c>
      <c r="C3" s="313">
        <v>11935</v>
      </c>
      <c r="D3" s="314">
        <v>11929</v>
      </c>
      <c r="E3" s="312">
        <f>D3-C3</f>
        <v>-6</v>
      </c>
      <c r="F3" s="314">
        <f>D3-B3</f>
        <v>-99</v>
      </c>
      <c r="G3" s="315">
        <f>B3*1000/B7</f>
        <v>377.46744076573043</v>
      </c>
      <c r="H3" s="316">
        <f>C3*1000/C7</f>
        <v>366.05937921727394</v>
      </c>
      <c r="I3" s="317">
        <f>D3*1000/D7</f>
        <v>364.4000488758553</v>
      </c>
      <c r="J3" s="315">
        <f>B3*B11/B10</f>
        <v>12093.41804697157</v>
      </c>
      <c r="K3" s="316">
        <f>C3*C11/C10</f>
        <v>12144.019264448336</v>
      </c>
      <c r="L3" s="317">
        <f>D3*D11/D10</f>
        <v>11738.505443987418</v>
      </c>
      <c r="M3" s="315">
        <f>L3-K3</f>
        <v>-405.51382046091749</v>
      </c>
      <c r="N3" s="317">
        <f>L3-J3</f>
        <v>-354.91260298415182</v>
      </c>
      <c r="O3" s="315">
        <f>J3*1000/B7</f>
        <v>379.52041572168747</v>
      </c>
      <c r="P3" s="316">
        <f>K3*1000/C7</f>
        <v>372.47022648903004</v>
      </c>
      <c r="Q3" s="317">
        <f>L3*1000/D7</f>
        <v>358.58093365064207</v>
      </c>
    </row>
    <row r="4" spans="1:17" ht="15.75" thickBot="1">
      <c r="B4" s="312" t="s">
        <v>403</v>
      </c>
      <c r="C4" s="313"/>
      <c r="D4" s="314"/>
      <c r="E4" s="312"/>
      <c r="F4" s="314"/>
      <c r="G4" s="315" t="s">
        <v>404</v>
      </c>
      <c r="H4" s="316"/>
      <c r="I4" s="317"/>
      <c r="J4" s="312" t="s">
        <v>403</v>
      </c>
      <c r="K4" s="316"/>
      <c r="L4" s="317"/>
      <c r="M4" s="315"/>
      <c r="N4" s="317"/>
      <c r="O4" s="315" t="s">
        <v>404</v>
      </c>
      <c r="P4" s="316"/>
      <c r="Q4" s="317"/>
    </row>
    <row r="5" spans="1:17" ht="15.75" thickBot="1">
      <c r="A5" s="311" t="s">
        <v>405</v>
      </c>
      <c r="B5" s="315">
        <f>B8*1000*B3</f>
        <v>5544908</v>
      </c>
      <c r="C5" s="356">
        <f>C8*1000*C3</f>
        <v>5358815</v>
      </c>
      <c r="D5" s="357">
        <f>D8*1000*D3</f>
        <v>4509162</v>
      </c>
      <c r="E5" s="312">
        <f>D5-C5</f>
        <v>-849653</v>
      </c>
      <c r="F5" s="314">
        <f>D5-B5</f>
        <v>-1035746</v>
      </c>
      <c r="G5" s="315">
        <f>B5/B7</f>
        <v>174.01249019300172</v>
      </c>
      <c r="H5" s="316">
        <f>C5/C7</f>
        <v>164.36066126855602</v>
      </c>
      <c r="I5" s="317">
        <f>D5/D7</f>
        <v>137.74321847507332</v>
      </c>
      <c r="J5" s="315">
        <f>J3*1000*B8</f>
        <v>5575065.7196538942</v>
      </c>
      <c r="K5" s="316">
        <f>K3*1000*C8</f>
        <v>5452664.6497373031</v>
      </c>
      <c r="L5" s="317">
        <f>L3*1000*D8</f>
        <v>4437155.0578272436</v>
      </c>
      <c r="M5" s="315">
        <f>L5-K5</f>
        <v>-1015509.5919100596</v>
      </c>
      <c r="N5" s="317">
        <f>L5-J5</f>
        <v>-1137910.6618266506</v>
      </c>
      <c r="O5" s="315">
        <f>J5/B7</f>
        <v>174.95891164769793</v>
      </c>
      <c r="P5" s="316">
        <f>K5/C7</f>
        <v>167.23913169357451</v>
      </c>
      <c r="Q5" s="317">
        <f>L5/D7</f>
        <v>135.54359291994268</v>
      </c>
    </row>
    <row r="6" spans="1:17" ht="15.75" thickBot="1">
      <c r="A6" t="s">
        <v>408</v>
      </c>
      <c r="B6" s="315">
        <f>B3*1000*B9</f>
        <v>5532880</v>
      </c>
      <c r="C6" s="315">
        <f>C3*1000*C9</f>
        <v>5490100</v>
      </c>
      <c r="D6" s="315">
        <f>D3*1000*D9</f>
        <v>5487340</v>
      </c>
      <c r="E6" s="312">
        <f>D6-C6</f>
        <v>-2760</v>
      </c>
      <c r="F6" s="314">
        <f>D6-B6</f>
        <v>-45540</v>
      </c>
      <c r="G6" s="315">
        <f>B6/B7</f>
        <v>173.63502275223598</v>
      </c>
      <c r="H6" s="315">
        <f>C6/C7</f>
        <v>168.38731443994601</v>
      </c>
      <c r="I6" s="315">
        <f>D6/D7</f>
        <v>167.62402248289345</v>
      </c>
      <c r="J6" s="315">
        <f>J3*1000*B9</f>
        <v>5562972.3016069224</v>
      </c>
      <c r="K6" s="358">
        <f>K3*1000*C9</f>
        <v>5586248.861646235</v>
      </c>
      <c r="L6" s="358">
        <f>L3*1000*D9</f>
        <v>5399712.5042342125</v>
      </c>
      <c r="M6" s="315">
        <f>L6-K6</f>
        <v>-186536.35741202254</v>
      </c>
      <c r="N6" s="317">
        <f>L6-J6</f>
        <v>-163259.79737270996</v>
      </c>
      <c r="O6" s="315">
        <f>J6/B7</f>
        <v>174.57939123197622</v>
      </c>
      <c r="P6" s="315">
        <f>K6/C7</f>
        <v>171.33630418495383</v>
      </c>
      <c r="Q6" s="315">
        <f>L6/D7</f>
        <v>164.94722947929534</v>
      </c>
    </row>
    <row r="7" spans="1:17" ht="15.75" thickBot="1">
      <c r="A7" s="312" t="s">
        <v>393</v>
      </c>
      <c r="B7" s="312">
        <v>31865</v>
      </c>
      <c r="C7" s="313">
        <v>32604</v>
      </c>
      <c r="D7" s="314">
        <v>32736</v>
      </c>
    </row>
    <row r="8" spans="1:17" ht="15.75" thickBot="1">
      <c r="A8" s="311" t="s">
        <v>402</v>
      </c>
      <c r="B8" s="312">
        <f>Emissionsfaktorer!E10</f>
        <v>0.46100000000000002</v>
      </c>
      <c r="C8" s="313">
        <f>Emissionsfaktorer!E11</f>
        <v>0.44900000000000001</v>
      </c>
      <c r="D8" s="314">
        <f>Emissionsfaktorer!E12</f>
        <v>0.378</v>
      </c>
    </row>
    <row r="9" spans="1:17" ht="15.75" thickBot="1">
      <c r="A9" t="s">
        <v>408</v>
      </c>
      <c r="B9" s="312">
        <v>0.46</v>
      </c>
      <c r="C9" s="313">
        <v>0.46</v>
      </c>
      <c r="D9" s="314">
        <v>0.46</v>
      </c>
    </row>
    <row r="10" spans="1:17" ht="15.75" thickBot="1">
      <c r="A10" s="311" t="s">
        <v>395</v>
      </c>
      <c r="B10" s="312">
        <v>4045</v>
      </c>
      <c r="C10" s="313">
        <v>3997</v>
      </c>
      <c r="D10" s="314">
        <v>4133</v>
      </c>
    </row>
    <row r="11" spans="1:17" ht="15.75" thickBot="1">
      <c r="A11" s="318" t="s">
        <v>394</v>
      </c>
      <c r="B11" s="312">
        <v>4067</v>
      </c>
      <c r="C11" s="313">
        <v>4067</v>
      </c>
      <c r="D11" s="314">
        <v>4067</v>
      </c>
    </row>
    <row r="12" spans="1:17">
      <c r="A12" t="s">
        <v>406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="85" zoomScaleNormal="85" workbookViewId="0">
      <selection activeCell="A35" sqref="A35"/>
    </sheetView>
  </sheetViews>
  <sheetFormatPr defaultRowHeight="15"/>
  <cols>
    <col min="1" max="1" width="42.28515625" customWidth="1"/>
    <col min="2" max="2" width="20.7109375" customWidth="1"/>
    <col min="3" max="3" width="16.85546875" customWidth="1"/>
    <col min="4" max="4" width="20.85546875" customWidth="1"/>
    <col min="5" max="5" width="18.85546875" customWidth="1"/>
    <col min="6" max="6" width="20.5703125" customWidth="1"/>
    <col min="7" max="7" width="16.85546875" customWidth="1"/>
    <col min="8" max="8" width="16.28515625" customWidth="1"/>
    <col min="9" max="9" width="18.7109375" customWidth="1"/>
    <col min="10" max="10" width="17.7109375" customWidth="1"/>
    <col min="11" max="11" width="18.7109375" customWidth="1"/>
    <col min="12" max="12" width="16.42578125" customWidth="1"/>
    <col min="13" max="13" width="18.7109375" customWidth="1"/>
  </cols>
  <sheetData>
    <row r="1" spans="1:13" ht="21">
      <c r="A1" s="109" t="s">
        <v>285</v>
      </c>
    </row>
    <row r="3" spans="1:13" ht="15.75">
      <c r="A3" s="110" t="s">
        <v>286</v>
      </c>
    </row>
    <row r="4" spans="1:13">
      <c r="A4" s="111" t="s">
        <v>287</v>
      </c>
      <c r="B4" s="388" t="s">
        <v>409</v>
      </c>
      <c r="C4" s="389"/>
      <c r="D4" s="389"/>
      <c r="E4" s="390"/>
      <c r="F4" s="388">
        <v>2010</v>
      </c>
      <c r="G4" s="389"/>
      <c r="H4" s="389"/>
      <c r="I4" s="390"/>
      <c r="J4" s="388">
        <v>2011</v>
      </c>
      <c r="K4" s="389"/>
      <c r="L4" s="389"/>
      <c r="M4" s="390"/>
    </row>
    <row r="5" spans="1:13">
      <c r="A5" s="49" t="s">
        <v>336</v>
      </c>
      <c r="B5" s="126" t="s">
        <v>290</v>
      </c>
      <c r="C5" s="127" t="s">
        <v>291</v>
      </c>
      <c r="D5" s="128" t="s">
        <v>293</v>
      </c>
      <c r="E5" s="128" t="s">
        <v>410</v>
      </c>
      <c r="F5" s="126" t="s">
        <v>290</v>
      </c>
      <c r="G5" s="127" t="s">
        <v>291</v>
      </c>
      <c r="H5" s="128" t="s">
        <v>293</v>
      </c>
      <c r="I5" s="128" t="s">
        <v>410</v>
      </c>
      <c r="J5" s="126" t="s">
        <v>290</v>
      </c>
      <c r="K5" s="127" t="s">
        <v>291</v>
      </c>
      <c r="L5" s="128" t="s">
        <v>293</v>
      </c>
      <c r="M5" s="128" t="s">
        <v>410</v>
      </c>
    </row>
    <row r="6" spans="1:13">
      <c r="A6" s="14" t="s">
        <v>334</v>
      </c>
      <c r="B6" s="321">
        <v>213600.49000000008</v>
      </c>
      <c r="C6" s="322">
        <v>92256.610000000015</v>
      </c>
      <c r="D6" s="323">
        <f>SUM(B6:C6)</f>
        <v>305857.10000000009</v>
      </c>
      <c r="E6" s="323">
        <f>((Transport!B6*Emissionsfaktorer!D19)+(Transport!C6*Emissionsfaktorer!D20))/1000</f>
        <v>787457.16250000021</v>
      </c>
      <c r="F6" s="321">
        <v>213600.49000000008</v>
      </c>
      <c r="G6" s="322">
        <v>92256.610000000015</v>
      </c>
      <c r="H6" s="323">
        <f>SUM(F6:G6)</f>
        <v>305857.10000000009</v>
      </c>
      <c r="I6" s="323">
        <f>((Transport!F6*Emissionsfaktorer!D$19)+(Transport!G6*Emissionsfaktorer!D$20))/1000</f>
        <v>787457.16250000021</v>
      </c>
      <c r="J6" s="150">
        <v>226054.91000000003</v>
      </c>
      <c r="K6" s="151">
        <v>94427.779999999984</v>
      </c>
      <c r="L6" s="148">
        <f>SUM(J6:K6)</f>
        <v>320482.69</v>
      </c>
      <c r="M6" s="152">
        <f>((Transport!J6*Emissionsfaktorer!D$19)+(Transport!K6*Emissionsfaktorer!D$20))/1000</f>
        <v>825672.18350000016</v>
      </c>
    </row>
    <row r="7" spans="1:13">
      <c r="A7" s="14" t="s">
        <v>335</v>
      </c>
      <c r="B7" s="324">
        <v>2001</v>
      </c>
      <c r="C7" s="323">
        <v>22998</v>
      </c>
      <c r="D7" s="323">
        <f>SUM(B7:C7)</f>
        <v>24999</v>
      </c>
      <c r="E7" s="323">
        <f>((Transport!B7*Emissionsfaktorer!D19)+(Transport!C7*Emissionsfaktorer!D20))/1000</f>
        <v>60497.85</v>
      </c>
      <c r="F7" s="324">
        <v>2001</v>
      </c>
      <c r="G7" s="323">
        <v>22998</v>
      </c>
      <c r="H7" s="323">
        <f>SUM(F7:G7)</f>
        <v>24999</v>
      </c>
      <c r="I7" s="323">
        <f>((Transport!F7*Emissionsfaktorer!D$19)+(Transport!G7*Emissionsfaktorer!D$20))/1000</f>
        <v>60497.85</v>
      </c>
      <c r="J7" s="14">
        <v>2608</v>
      </c>
      <c r="K7" s="64">
        <v>36213</v>
      </c>
      <c r="L7" s="148">
        <f>SUM(J7:K7)</f>
        <v>38821</v>
      </c>
      <c r="M7" s="152">
        <f>((Transport!J7*Emissionsfaktorer!D$19)+(Transport!K7*Emissionsfaktorer!D$20))/1000</f>
        <v>93822.399999999994</v>
      </c>
    </row>
    <row r="8" spans="1:13">
      <c r="A8" s="14" t="s">
        <v>337</v>
      </c>
      <c r="B8" s="324">
        <f>122556+1487544+200+3944.57+452727+24379+30234+61058+19392+6596+13223+6558+12769+4548+1057+1514+3945+1000+40692+27775+28778+421913+11447+86907+149537+32130+6001+116555+53310</f>
        <v>3228289.5700000003</v>
      </c>
      <c r="C8" s="323">
        <f>800+6000+5525+400+240+221+200+200</f>
        <v>13586</v>
      </c>
      <c r="D8" s="323">
        <f>SUM(B8:C8)</f>
        <v>3241875.5700000003</v>
      </c>
      <c r="E8" s="323">
        <f>((Transport!B8*Emissionsfaktorer!D19)+(Transport!C8*Emissionsfaktorer!D20))/1000</f>
        <v>8587573.7605000008</v>
      </c>
      <c r="F8" s="324">
        <f>122556+1487544+200+3944.57+452727+24379+30234+61058+19392+6596+13223+6558+12769+4548+1057+1514+3945+1000+40692+27775+28778+421913+11447+86907+149537+32130+6001+116555+53310</f>
        <v>3228289.5700000003</v>
      </c>
      <c r="G8" s="323">
        <f>800+6000+5525+400+240+221+200+200</f>
        <v>13586</v>
      </c>
      <c r="H8" s="323">
        <f>SUM(F8:G8)</f>
        <v>3241875.5700000003</v>
      </c>
      <c r="I8" s="323">
        <f>((Transport!F8*Emissionsfaktorer!D$19)+(Transport!G8*Emissionsfaktorer!D$20))/1000</f>
        <v>8587573.7605000008</v>
      </c>
      <c r="J8" s="149">
        <f>134934+1325463+225+28528+1580.41+383892+20307+14918+47727+17059+1705+4115+12661+5269+11101+3115+1002+1580+2200+42502+30245+28088+423473+13077+82348+4007+130009+32926+8000+111515+6226+1603+1627+12189+20838+14180+225+1001</f>
        <v>2981460.41</v>
      </c>
      <c r="K8" s="148">
        <f>600+54.31+634.61+7825+6925+200+313+277+200+54+635+200</f>
        <v>17917.919999999998</v>
      </c>
      <c r="L8" s="148">
        <f>SUM(J8:K8)</f>
        <v>2999378.33</v>
      </c>
      <c r="M8" s="152">
        <f>((Transport!J8*Emissionsfaktorer!D$19)+(Transport!K8*Emissionsfaktorer!D$20))/1000</f>
        <v>7943873.0944999997</v>
      </c>
    </row>
    <row r="9" spans="1:13">
      <c r="A9" s="14" t="s">
        <v>348</v>
      </c>
      <c r="B9" s="324">
        <f>249656+400</f>
        <v>250056</v>
      </c>
      <c r="C9" s="323">
        <v>113166</v>
      </c>
      <c r="D9" s="323">
        <f>SUM(B9:C9)</f>
        <v>363222</v>
      </c>
      <c r="E9" s="323">
        <f>((Transport!B9*Emissionsfaktorer!D19)+(Transport!C9*Emissionsfaktorer!D20))/1000</f>
        <v>934246.8</v>
      </c>
      <c r="F9" s="324">
        <f>249656+400</f>
        <v>250056</v>
      </c>
      <c r="G9" s="323">
        <v>113166</v>
      </c>
      <c r="H9" s="323">
        <f>SUM(F9:G9)</f>
        <v>363222</v>
      </c>
      <c r="I9" s="323">
        <f>((Transport!F9*Emissionsfaktorer!D$19)+(Transport!G9*Emissionsfaktorer!D$20))/1000</f>
        <v>934246.8</v>
      </c>
      <c r="J9" s="14">
        <v>98391</v>
      </c>
      <c r="K9" s="5">
        <v>262777</v>
      </c>
      <c r="L9" s="5">
        <f>SUM(J9:K9)</f>
        <v>361168</v>
      </c>
      <c r="M9" s="152">
        <f>((Transport!J9*Emissionsfaktorer!D$19)+(Transport!K9*Emissionsfaktorer!D$20))/1000</f>
        <v>891400.95</v>
      </c>
    </row>
    <row r="10" spans="1:13">
      <c r="A10" s="14" t="s">
        <v>355</v>
      </c>
      <c r="B10" s="324">
        <v>45584</v>
      </c>
      <c r="C10" s="323">
        <v>14773</v>
      </c>
      <c r="D10" s="325">
        <f>SUM(B10:C10)</f>
        <v>60357</v>
      </c>
      <c r="E10" s="323">
        <f>((Transport!B10*Emissionsfaktorer!D19)+(Transport!C10*Emissionsfaktorer!D20))/1000</f>
        <v>156252.79999999999</v>
      </c>
      <c r="F10" s="324">
        <v>45584</v>
      </c>
      <c r="G10" s="323">
        <v>14773</v>
      </c>
      <c r="H10" s="325">
        <f>SUM(F10:G10)</f>
        <v>60357</v>
      </c>
      <c r="I10" s="323">
        <f>((Transport!F10*Emissionsfaktorer!D$19)+(Transport!G10*Emissionsfaktorer!D$20))/1000</f>
        <v>156252.79999999999</v>
      </c>
      <c r="J10" s="14">
        <f>2761+3588+3895+3977+3978+3684+3353+3354+3755+3479+3466+2835</f>
        <v>42125</v>
      </c>
      <c r="K10" s="5">
        <f>964+1050+1000+950+1393+1214+751+964+1013+1170+1138+853</f>
        <v>12460</v>
      </c>
      <c r="L10" s="159">
        <f>SUM(J10:K10)</f>
        <v>54585</v>
      </c>
      <c r="M10" s="152">
        <f>((Transport!J10*Emissionsfaktorer!D$19)+(Transport!K10*Emissionsfaktorer!D$20))/1000</f>
        <v>141535.25</v>
      </c>
    </row>
    <row r="11" spans="1:13">
      <c r="A11" s="14"/>
      <c r="B11" s="14"/>
      <c r="C11" s="5"/>
      <c r="D11" s="5"/>
      <c r="E11" s="5"/>
      <c r="F11" s="14"/>
      <c r="G11" s="5"/>
      <c r="H11" s="5"/>
      <c r="I11" s="5"/>
      <c r="J11" s="14"/>
      <c r="K11" s="5"/>
      <c r="L11" s="5"/>
      <c r="M11" s="15"/>
    </row>
    <row r="12" spans="1:13">
      <c r="A12" s="100" t="s">
        <v>252</v>
      </c>
      <c r="B12" s="219">
        <f>SUM(B6:B11)</f>
        <v>3739531.0600000005</v>
      </c>
      <c r="C12" s="218">
        <f>SUM(C6:C11)</f>
        <v>256779.61000000002</v>
      </c>
      <c r="D12" s="218">
        <f>SUM(D6:D11)</f>
        <v>3996310.6700000004</v>
      </c>
      <c r="E12" s="213"/>
      <c r="F12" s="218">
        <f>SUM(F6:F11)</f>
        <v>3739531.0600000005</v>
      </c>
      <c r="G12" s="218">
        <f>SUM(G6:G11)</f>
        <v>256779.61000000002</v>
      </c>
      <c r="H12" s="218">
        <f>SUM(H6:H11)</f>
        <v>3996310.6700000004</v>
      </c>
      <c r="I12" s="215"/>
      <c r="J12" s="219">
        <f>SUM(J6:J11)</f>
        <v>3350639.3200000003</v>
      </c>
      <c r="K12" s="218">
        <f>SUM(K6:K11)</f>
        <v>423795.69999999995</v>
      </c>
      <c r="L12" s="218">
        <f>SUM(L6:L11)</f>
        <v>3774435.02</v>
      </c>
      <c r="M12" s="213"/>
    </row>
    <row r="13" spans="1:13">
      <c r="A13" s="49" t="s">
        <v>283</v>
      </c>
      <c r="B13" s="216">
        <f>(B12*Emissionsfaktorer!D19)/1000</f>
        <v>9909757.3090000022</v>
      </c>
      <c r="C13" s="217">
        <f>(C12*Emissionsfaktorer!D20)/1000</f>
        <v>616271.06400000001</v>
      </c>
      <c r="D13" s="217">
        <f>SUM(B13:C13)</f>
        <v>10526028.373000002</v>
      </c>
      <c r="E13" s="215">
        <f>SUM(E6:E12)</f>
        <v>10526028.373000003</v>
      </c>
      <c r="F13" s="216">
        <f>(F12*Emissionsfaktorer!D19)/1000</f>
        <v>9909757.3090000022</v>
      </c>
      <c r="G13" s="217">
        <f>(G12*Emissionsfaktorer!D20)/1000</f>
        <v>616271.06400000001</v>
      </c>
      <c r="H13" s="217">
        <f>SUM(F13:G13)</f>
        <v>10526028.373000002</v>
      </c>
      <c r="I13" s="359">
        <f>SUM(I6:I12)</f>
        <v>10526028.373000003</v>
      </c>
      <c r="J13" s="216">
        <f>(J12*Emissionsfaktorer!D19)/1000</f>
        <v>8879194.1980000008</v>
      </c>
      <c r="K13" s="217">
        <f>(K12*Emissionsfaktorer!D20)/1000</f>
        <v>1017109.6799999999</v>
      </c>
      <c r="L13" s="217">
        <f>SUM(J13:K13)</f>
        <v>9896303.8780000005</v>
      </c>
      <c r="M13" s="359">
        <f>SUM(M6:M12)</f>
        <v>9896303.8779999986</v>
      </c>
    </row>
    <row r="16" spans="1:13" ht="15.75">
      <c r="A16" s="110" t="s">
        <v>295</v>
      </c>
    </row>
    <row r="17" spans="1:7">
      <c r="A17" s="96" t="s">
        <v>296</v>
      </c>
      <c r="B17" s="391">
        <v>2009</v>
      </c>
      <c r="C17" s="392"/>
      <c r="D17" s="391">
        <v>2010</v>
      </c>
      <c r="E17" s="392"/>
      <c r="F17" s="391">
        <v>2011</v>
      </c>
      <c r="G17" s="392"/>
    </row>
    <row r="18" spans="1:7" ht="15.75" thickBot="1">
      <c r="A18" s="96"/>
      <c r="B18" s="113" t="s">
        <v>298</v>
      </c>
      <c r="C18" s="112" t="s">
        <v>299</v>
      </c>
      <c r="D18" s="113" t="s">
        <v>298</v>
      </c>
      <c r="E18" s="112" t="s">
        <v>299</v>
      </c>
      <c r="F18" s="113" t="s">
        <v>298</v>
      </c>
      <c r="G18" s="112" t="s">
        <v>299</v>
      </c>
    </row>
    <row r="19" spans="1:7" ht="15.75" thickBot="1">
      <c r="A19" s="48" t="s">
        <v>297</v>
      </c>
      <c r="B19" s="211">
        <v>24764293</v>
      </c>
      <c r="C19" s="212">
        <v>7608965</v>
      </c>
      <c r="D19" s="210">
        <v>21200000</v>
      </c>
      <c r="E19" s="214">
        <f>D19/3.54</f>
        <v>5988700.5649717515</v>
      </c>
      <c r="F19" s="210">
        <v>23949286</v>
      </c>
      <c r="G19" s="214">
        <f>F19/3.54</f>
        <v>6765335.0282485876</v>
      </c>
    </row>
    <row r="20" spans="1:7" s="102" customFormat="1">
      <c r="A20" s="96" t="s">
        <v>283</v>
      </c>
      <c r="B20" s="100"/>
      <c r="C20" s="213">
        <f>C19*Emissionsfaktorer!D29/1000</f>
        <v>989165.45</v>
      </c>
      <c r="D20" s="100"/>
      <c r="E20" s="359">
        <f>E19*Emissionsfaktorer!D29/1000</f>
        <v>778531.0734463277</v>
      </c>
      <c r="F20" s="100"/>
      <c r="G20" s="359">
        <f>G19*Emissionsfaktorer!D29/1000</f>
        <v>879493.55367231648</v>
      </c>
    </row>
  </sheetData>
  <mergeCells count="6">
    <mergeCell ref="J4:M4"/>
    <mergeCell ref="B17:C17"/>
    <mergeCell ref="D17:E17"/>
    <mergeCell ref="F17:G17"/>
    <mergeCell ref="B4:E4"/>
    <mergeCell ref="F4:I4"/>
  </mergeCells>
  <pageMargins left="0" right="0" top="0.74803149606299213" bottom="0.74803149606299213" header="0.31496062992125984" footer="0.31496062992125984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="85" zoomScaleNormal="85" workbookViewId="0">
      <selection activeCell="E25" sqref="E24:E26"/>
    </sheetView>
  </sheetViews>
  <sheetFormatPr defaultRowHeight="15"/>
  <cols>
    <col min="1" max="1" width="45.85546875" customWidth="1"/>
    <col min="2" max="2" width="21.5703125" customWidth="1"/>
    <col min="3" max="3" width="9.42578125" customWidth="1"/>
  </cols>
  <sheetData>
    <row r="1" spans="1:5" ht="21">
      <c r="A1" s="109" t="s">
        <v>333</v>
      </c>
    </row>
    <row r="3" spans="1:5" ht="15.75">
      <c r="A3" s="117">
        <v>2011</v>
      </c>
    </row>
    <row r="5" spans="1:5">
      <c r="A5" s="100" t="s">
        <v>304</v>
      </c>
      <c r="B5" s="97" t="s">
        <v>305</v>
      </c>
      <c r="C5" s="118" t="s">
        <v>306</v>
      </c>
      <c r="D5" s="119" t="s">
        <v>307</v>
      </c>
    </row>
    <row r="6" spans="1:5">
      <c r="A6" s="87" t="s">
        <v>308</v>
      </c>
      <c r="B6" s="88" t="s">
        <v>309</v>
      </c>
      <c r="C6" s="120" t="s">
        <v>310</v>
      </c>
      <c r="D6" s="121">
        <v>35.9</v>
      </c>
    </row>
    <row r="7" spans="1:5">
      <c r="A7" s="41" t="s">
        <v>311</v>
      </c>
      <c r="B7" s="19" t="s">
        <v>309</v>
      </c>
      <c r="C7" s="122" t="s">
        <v>312</v>
      </c>
      <c r="D7" s="123">
        <v>39.700000000000003</v>
      </c>
    </row>
    <row r="8" spans="1:5">
      <c r="C8" s="116"/>
      <c r="D8" s="116"/>
    </row>
    <row r="9" spans="1:5">
      <c r="A9" s="100" t="s">
        <v>313</v>
      </c>
      <c r="B9" s="97" t="s">
        <v>305</v>
      </c>
      <c r="C9" s="118" t="s">
        <v>306</v>
      </c>
      <c r="D9" s="119" t="s">
        <v>307</v>
      </c>
      <c r="E9" t="s">
        <v>411</v>
      </c>
    </row>
    <row r="10" spans="1:5">
      <c r="A10" s="87" t="s">
        <v>314</v>
      </c>
      <c r="B10" s="88" t="s">
        <v>315</v>
      </c>
      <c r="C10" s="120" t="s">
        <v>316</v>
      </c>
      <c r="D10" s="121">
        <v>461</v>
      </c>
      <c r="E10" s="327">
        <f>D10/1000</f>
        <v>0.46100000000000002</v>
      </c>
    </row>
    <row r="11" spans="1:5">
      <c r="A11" s="14" t="s">
        <v>340</v>
      </c>
      <c r="B11" s="64" t="s">
        <v>315</v>
      </c>
      <c r="C11" s="124" t="s">
        <v>316</v>
      </c>
      <c r="D11" s="125">
        <v>449</v>
      </c>
      <c r="E11" s="327">
        <f t="shared" ref="E11:E31" si="0">D11/1000</f>
        <v>0.44900000000000001</v>
      </c>
    </row>
    <row r="12" spans="1:5">
      <c r="A12" s="14" t="s">
        <v>338</v>
      </c>
      <c r="B12" s="64" t="s">
        <v>315</v>
      </c>
      <c r="C12" s="124" t="s">
        <v>316</v>
      </c>
      <c r="D12" s="125">
        <v>378</v>
      </c>
      <c r="E12" s="327">
        <f t="shared" si="0"/>
        <v>0.378</v>
      </c>
    </row>
    <row r="13" spans="1:5">
      <c r="A13" s="14" t="s">
        <v>342</v>
      </c>
      <c r="B13" s="64" t="s">
        <v>344</v>
      </c>
      <c r="C13" s="124" t="s">
        <v>316</v>
      </c>
      <c r="D13" s="125">
        <v>347</v>
      </c>
      <c r="E13" s="327">
        <f t="shared" si="0"/>
        <v>0.34699999999999998</v>
      </c>
    </row>
    <row r="14" spans="1:5">
      <c r="A14" s="14" t="s">
        <v>341</v>
      </c>
      <c r="B14" s="64" t="s">
        <v>344</v>
      </c>
      <c r="C14" s="124" t="s">
        <v>316</v>
      </c>
      <c r="D14" s="125">
        <v>262</v>
      </c>
      <c r="E14" s="327">
        <f>D14/1000</f>
        <v>0.26200000000000001</v>
      </c>
    </row>
    <row r="15" spans="1:5">
      <c r="A15" s="14" t="s">
        <v>339</v>
      </c>
      <c r="B15" s="64" t="s">
        <v>344</v>
      </c>
      <c r="C15" s="124" t="s">
        <v>316</v>
      </c>
      <c r="D15" s="125">
        <v>240</v>
      </c>
      <c r="E15" s="327">
        <f>D15/1000</f>
        <v>0.24</v>
      </c>
    </row>
    <row r="16" spans="1:5">
      <c r="A16" s="14" t="s">
        <v>342</v>
      </c>
      <c r="B16" s="64" t="s">
        <v>343</v>
      </c>
      <c r="C16" s="124" t="s">
        <v>316</v>
      </c>
      <c r="D16" s="125">
        <v>86</v>
      </c>
      <c r="E16" s="327">
        <f t="shared" si="0"/>
        <v>8.5999999999999993E-2</v>
      </c>
    </row>
    <row r="17" spans="1:5">
      <c r="A17" s="14" t="s">
        <v>341</v>
      </c>
      <c r="B17" s="64" t="s">
        <v>343</v>
      </c>
      <c r="C17" s="124" t="s">
        <v>316</v>
      </c>
      <c r="D17" s="125">
        <v>100</v>
      </c>
      <c r="E17" s="327">
        <f t="shared" si="0"/>
        <v>0.1</v>
      </c>
    </row>
    <row r="18" spans="1:5">
      <c r="A18" s="14" t="s">
        <v>339</v>
      </c>
      <c r="B18" s="64" t="s">
        <v>343</v>
      </c>
      <c r="C18" s="124" t="s">
        <v>316</v>
      </c>
      <c r="D18" s="125">
        <v>93</v>
      </c>
      <c r="E18" s="327">
        <f t="shared" si="0"/>
        <v>9.2999999999999999E-2</v>
      </c>
    </row>
    <row r="19" spans="1:5">
      <c r="A19" s="14" t="s">
        <v>288</v>
      </c>
      <c r="B19" s="5" t="s">
        <v>309</v>
      </c>
      <c r="C19" s="124" t="s">
        <v>317</v>
      </c>
      <c r="D19" s="125">
        <v>2650</v>
      </c>
      <c r="E19" s="327">
        <f>D19/10000</f>
        <v>0.26500000000000001</v>
      </c>
    </row>
    <row r="20" spans="1:5">
      <c r="A20" s="14" t="s">
        <v>289</v>
      </c>
      <c r="B20" s="5" t="s">
        <v>309</v>
      </c>
      <c r="C20" s="124" t="s">
        <v>317</v>
      </c>
      <c r="D20" s="125">
        <v>2400</v>
      </c>
      <c r="E20" s="327">
        <f>D20/10000</f>
        <v>0.24</v>
      </c>
    </row>
    <row r="21" spans="1:5">
      <c r="A21" s="14" t="s">
        <v>415</v>
      </c>
      <c r="B21" s="5" t="s">
        <v>309</v>
      </c>
      <c r="C21" s="124" t="s">
        <v>317</v>
      </c>
      <c r="D21" s="125"/>
      <c r="E21" s="327">
        <v>0.25600000000000001</v>
      </c>
    </row>
    <row r="22" spans="1:5">
      <c r="A22" s="14" t="s">
        <v>416</v>
      </c>
      <c r="B22" s="5" t="s">
        <v>309</v>
      </c>
      <c r="C22" s="124" t="s">
        <v>317</v>
      </c>
      <c r="D22" s="125"/>
      <c r="E22" s="327">
        <v>0.25600000000000001</v>
      </c>
    </row>
    <row r="23" spans="1:5">
      <c r="A23" s="14" t="s">
        <v>417</v>
      </c>
      <c r="B23" s="5" t="s">
        <v>309</v>
      </c>
      <c r="C23" s="124" t="s">
        <v>317</v>
      </c>
      <c r="D23" s="125">
        <v>2650</v>
      </c>
      <c r="E23" s="327">
        <v>0.25600000000000001</v>
      </c>
    </row>
    <row r="24" spans="1:5">
      <c r="A24" s="14" t="s">
        <v>412</v>
      </c>
      <c r="B24" s="5" t="s">
        <v>309</v>
      </c>
      <c r="C24" s="124" t="s">
        <v>318</v>
      </c>
      <c r="D24" s="125"/>
      <c r="E24" s="327">
        <v>0.20399999999999999</v>
      </c>
    </row>
    <row r="25" spans="1:5">
      <c r="A25" s="14" t="s">
        <v>413</v>
      </c>
      <c r="B25" s="5" t="s">
        <v>309</v>
      </c>
      <c r="C25" s="124" t="s">
        <v>318</v>
      </c>
      <c r="D25" s="125"/>
      <c r="E25" s="327">
        <v>0.20399999999999999</v>
      </c>
    </row>
    <row r="26" spans="1:5">
      <c r="A26" s="14" t="s">
        <v>414</v>
      </c>
      <c r="B26" s="5" t="s">
        <v>309</v>
      </c>
      <c r="C26" s="124" t="s">
        <v>318</v>
      </c>
      <c r="D26" s="125">
        <v>2245</v>
      </c>
      <c r="E26" s="327">
        <v>0.20399999999999999</v>
      </c>
    </row>
    <row r="27" spans="1:5">
      <c r="A27" s="14" t="s">
        <v>319</v>
      </c>
      <c r="B27" s="5" t="s">
        <v>309</v>
      </c>
      <c r="C27" s="124" t="s">
        <v>320</v>
      </c>
      <c r="D27" s="125">
        <v>132</v>
      </c>
      <c r="E27" s="327">
        <f t="shared" si="0"/>
        <v>0.13200000000000001</v>
      </c>
    </row>
    <row r="28" spans="1:5">
      <c r="A28" s="14" t="s">
        <v>321</v>
      </c>
      <c r="B28" s="5" t="s">
        <v>309</v>
      </c>
      <c r="C28" s="124" t="s">
        <v>320</v>
      </c>
      <c r="D28" s="125">
        <v>128</v>
      </c>
      <c r="E28" s="327">
        <f t="shared" si="0"/>
        <v>0.128</v>
      </c>
    </row>
    <row r="29" spans="1:5">
      <c r="A29" s="14" t="s">
        <v>322</v>
      </c>
      <c r="B29" s="5" t="s">
        <v>309</v>
      </c>
      <c r="C29" s="124" t="s">
        <v>320</v>
      </c>
      <c r="D29" s="125">
        <v>130</v>
      </c>
      <c r="E29" s="327">
        <f t="shared" si="0"/>
        <v>0.13</v>
      </c>
    </row>
    <row r="30" spans="1:5">
      <c r="A30" s="14" t="s">
        <v>323</v>
      </c>
      <c r="B30" s="5" t="s">
        <v>324</v>
      </c>
      <c r="C30" s="124" t="s">
        <v>320</v>
      </c>
      <c r="D30" s="125">
        <v>300</v>
      </c>
      <c r="E30" s="327">
        <f t="shared" si="0"/>
        <v>0.3</v>
      </c>
    </row>
    <row r="31" spans="1:5">
      <c r="A31" s="41" t="s">
        <v>325</v>
      </c>
      <c r="B31" s="19" t="s">
        <v>309</v>
      </c>
      <c r="C31" s="122" t="s">
        <v>326</v>
      </c>
      <c r="D31" s="123">
        <v>2901</v>
      </c>
      <c r="E31" s="327">
        <f t="shared" si="0"/>
        <v>2.9009999999999998</v>
      </c>
    </row>
    <row r="32" spans="1:5">
      <c r="C32" s="116"/>
      <c r="D32" s="116"/>
    </row>
    <row r="33" spans="1:4">
      <c r="A33" s="100" t="s">
        <v>327</v>
      </c>
      <c r="B33" s="97" t="s">
        <v>305</v>
      </c>
      <c r="C33" s="118" t="s">
        <v>306</v>
      </c>
      <c r="D33" s="119" t="s">
        <v>307</v>
      </c>
    </row>
    <row r="34" spans="1:4">
      <c r="A34" s="87" t="s">
        <v>328</v>
      </c>
      <c r="B34" s="88" t="s">
        <v>329</v>
      </c>
      <c r="C34" s="120" t="s">
        <v>330</v>
      </c>
      <c r="D34" s="121">
        <v>2.42</v>
      </c>
    </row>
    <row r="35" spans="1:4">
      <c r="A35" s="41" t="s">
        <v>331</v>
      </c>
      <c r="B35" s="19" t="s">
        <v>332</v>
      </c>
      <c r="C35" s="122" t="s">
        <v>330</v>
      </c>
      <c r="D35" s="123">
        <v>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Samlet opgørelse</vt:lpstr>
      <vt:lpstr>Børn og unge</vt:lpstr>
      <vt:lpstr>Skole og Kulturforvaltningen</vt:lpstr>
      <vt:lpstr>Ejendomsadministrationen</vt:lpstr>
      <vt:lpstr>Ældre- og handicap</vt:lpstr>
      <vt:lpstr>Familie- og beskæftigelse</vt:lpstr>
      <vt:lpstr>Gadelys</vt:lpstr>
      <vt:lpstr>Transport</vt:lpstr>
      <vt:lpstr>Emissionsfaktorer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2012-12-20T12:53:28Z</dcterms:modified>
</cp:coreProperties>
</file>