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adre_CheckOut\"/>
    </mc:Choice>
  </mc:AlternateContent>
  <bookViews>
    <workbookView xWindow="32025" yWindow="-15" windowWidth="16905" windowHeight="11370" tabRatio="657"/>
  </bookViews>
  <sheets>
    <sheet name="CO2-udledning DN" sheetId="5" r:id="rId1"/>
    <sheet name="Energiforbrug (kWh)" sheetId="13" r:id="rId2"/>
    <sheet name="CO2-udledning (ton)" sheetId="14" r:id="rId3"/>
    <sheet name="Varme 2008-" sheetId="7" r:id="rId4"/>
    <sheet name="El 2008-" sheetId="3" r:id="rId5"/>
    <sheet name="Kørsel 2008-" sheetId="4" r:id="rId6"/>
    <sheet name="Gadebelysning 2008-" sheetId="2" r:id="rId7"/>
    <sheet name="Diagram - Energiforbrug" sheetId="9" r:id="rId8"/>
    <sheet name="Diagram - CO2" sheetId="10" r:id="rId9"/>
    <sheet name="Ark1" sheetId="15" r:id="rId10"/>
  </sheets>
  <definedNames>
    <definedName name="Amtslige_egendomme_Vordingborgkommunerne">#REF!</definedName>
    <definedName name="d">#REF!</definedName>
  </definedNames>
  <calcPr calcId="152511"/>
</workbook>
</file>

<file path=xl/calcChain.xml><?xml version="1.0" encoding="utf-8"?>
<calcChain xmlns="http://schemas.openxmlformats.org/spreadsheetml/2006/main">
  <c r="C6" i="5" l="1"/>
  <c r="C5" i="5"/>
  <c r="C4" i="5"/>
  <c r="B6" i="5"/>
  <c r="B5" i="5"/>
  <c r="B4" i="5"/>
  <c r="C3" i="5"/>
  <c r="B3" i="5"/>
  <c r="R48" i="7"/>
  <c r="R92" i="7"/>
  <c r="R101" i="7"/>
  <c r="R93" i="7"/>
  <c r="R87" i="7"/>
  <c r="R79" i="7"/>
  <c r="R73" i="7"/>
  <c r="R65" i="7"/>
  <c r="R57" i="7"/>
  <c r="R41" i="7"/>
  <c r="R33" i="7"/>
  <c r="I4" i="7"/>
  <c r="J12" i="3"/>
  <c r="J5" i="13"/>
  <c r="I4" i="13"/>
  <c r="J10" i="2" l="1"/>
  <c r="I10" i="2"/>
  <c r="J7" i="2"/>
  <c r="J17" i="4" l="1"/>
  <c r="J15" i="4"/>
  <c r="J27" i="4" l="1"/>
  <c r="I12" i="3" l="1"/>
  <c r="P92" i="7"/>
  <c r="P101" i="7"/>
  <c r="P93" i="7"/>
  <c r="P87" i="7"/>
  <c r="P79" i="7"/>
  <c r="P73" i="7"/>
  <c r="P65" i="7"/>
  <c r="P57" i="7"/>
  <c r="P48" i="7"/>
  <c r="P41" i="7"/>
  <c r="P33" i="7"/>
  <c r="I9" i="4" l="1"/>
  <c r="I15" i="4" l="1"/>
  <c r="S17" i="14" l="1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K3" i="13"/>
  <c r="L3" i="13"/>
  <c r="M3" i="13"/>
  <c r="N3" i="13"/>
  <c r="O3" i="13"/>
  <c r="P3" i="13"/>
  <c r="Q3" i="13"/>
  <c r="R3" i="13"/>
  <c r="S3" i="13"/>
  <c r="N4" i="13"/>
  <c r="D6" i="13"/>
  <c r="K6" i="13"/>
  <c r="O6" i="13"/>
  <c r="O15" i="13" s="1"/>
  <c r="K12" i="13"/>
  <c r="L12" i="13"/>
  <c r="M12" i="13"/>
  <c r="N12" i="13"/>
  <c r="O12" i="13"/>
  <c r="P12" i="13"/>
  <c r="Q12" i="13"/>
  <c r="R12" i="13"/>
  <c r="S12" i="13"/>
  <c r="B14" i="13"/>
  <c r="K15" i="13"/>
  <c r="G18" i="4"/>
  <c r="G24" i="4" s="1"/>
  <c r="G15" i="4"/>
  <c r="M7" i="2"/>
  <c r="N7" i="2"/>
  <c r="N6" i="13" s="1"/>
  <c r="N15" i="13" s="1"/>
  <c r="O7" i="2"/>
  <c r="O10" i="2" s="1"/>
  <c r="O6" i="14" s="1"/>
  <c r="O15" i="14" s="1"/>
  <c r="P7" i="2"/>
  <c r="P6" i="13" s="1"/>
  <c r="P15" i="13" s="1"/>
  <c r="Q7" i="2"/>
  <c r="R7" i="2"/>
  <c r="R6" i="13" s="1"/>
  <c r="R15" i="13" s="1"/>
  <c r="S7" i="2"/>
  <c r="S10" i="2" s="1"/>
  <c r="S6" i="14" s="1"/>
  <c r="S15" i="14" s="1"/>
  <c r="N10" i="2"/>
  <c r="N6" i="14" s="1"/>
  <c r="N15" i="14" s="1"/>
  <c r="P10" i="2"/>
  <c r="P6" i="14" s="1"/>
  <c r="P15" i="14" s="1"/>
  <c r="R10" i="2"/>
  <c r="R6" i="14" s="1"/>
  <c r="R15" i="14" s="1"/>
  <c r="M11" i="2"/>
  <c r="N11" i="2"/>
  <c r="O11" i="2"/>
  <c r="P11" i="2"/>
  <c r="Q11" i="2"/>
  <c r="R11" i="2"/>
  <c r="S11" i="2"/>
  <c r="M23" i="4"/>
  <c r="N23" i="4"/>
  <c r="O23" i="4"/>
  <c r="P23" i="4"/>
  <c r="Q23" i="4"/>
  <c r="R23" i="4"/>
  <c r="S23" i="4"/>
  <c r="M24" i="4"/>
  <c r="N24" i="4"/>
  <c r="O24" i="4"/>
  <c r="P24" i="4"/>
  <c r="Q24" i="4"/>
  <c r="R24" i="4"/>
  <c r="S24" i="4"/>
  <c r="M29" i="4"/>
  <c r="N29" i="4"/>
  <c r="O29" i="4"/>
  <c r="P29" i="4"/>
  <c r="Q29" i="4"/>
  <c r="R29" i="4"/>
  <c r="S29" i="4"/>
  <c r="P17" i="3"/>
  <c r="P4" i="14" s="1"/>
  <c r="P13" i="14" s="1"/>
  <c r="M18" i="3"/>
  <c r="M14" i="5" s="1"/>
  <c r="O18" i="3"/>
  <c r="O14" i="5" s="1"/>
  <c r="Q18" i="3"/>
  <c r="Q14" i="5" s="1"/>
  <c r="S18" i="3"/>
  <c r="S14" i="5" s="1"/>
  <c r="M14" i="3"/>
  <c r="M4" i="13" s="1"/>
  <c r="M13" i="13" s="1"/>
  <c r="N14" i="3"/>
  <c r="N18" i="3" s="1"/>
  <c r="O14" i="3"/>
  <c r="O4" i="13" s="1"/>
  <c r="P14" i="3"/>
  <c r="Q14" i="3"/>
  <c r="Q4" i="13" s="1"/>
  <c r="Q13" i="13" s="1"/>
  <c r="R14" i="3"/>
  <c r="R18" i="3" s="1"/>
  <c r="S14" i="3"/>
  <c r="S4" i="13" s="1"/>
  <c r="S5" i="7"/>
  <c r="R7" i="7"/>
  <c r="R5" i="7"/>
  <c r="Q5" i="7"/>
  <c r="P7" i="7"/>
  <c r="P5" i="7"/>
  <c r="O5" i="7"/>
  <c r="N7" i="7"/>
  <c r="N5" i="7"/>
  <c r="M5" i="7"/>
  <c r="L7" i="7"/>
  <c r="L5" i="7"/>
  <c r="M16" i="7"/>
  <c r="N16" i="7"/>
  <c r="N6" i="7" s="1"/>
  <c r="O16" i="7"/>
  <c r="P16" i="7"/>
  <c r="P6" i="7" s="1"/>
  <c r="Q16" i="7"/>
  <c r="R16" i="7"/>
  <c r="R6" i="7" s="1"/>
  <c r="S16" i="7"/>
  <c r="N14" i="5"/>
  <c r="R14" i="5"/>
  <c r="M16" i="5"/>
  <c r="N16" i="5"/>
  <c r="O16" i="5"/>
  <c r="P16" i="5"/>
  <c r="Q16" i="5"/>
  <c r="R16" i="5"/>
  <c r="S16" i="5"/>
  <c r="D11" i="2"/>
  <c r="F11" i="2"/>
  <c r="K11" i="2"/>
  <c r="K16" i="5" s="1"/>
  <c r="D24" i="4"/>
  <c r="E24" i="4"/>
  <c r="H24" i="4"/>
  <c r="I24" i="4"/>
  <c r="J24" i="4"/>
  <c r="K24" i="4"/>
  <c r="L24" i="4"/>
  <c r="C24" i="4"/>
  <c r="D23" i="4"/>
  <c r="E23" i="4"/>
  <c r="G23" i="4"/>
  <c r="H23" i="4"/>
  <c r="I23" i="4"/>
  <c r="J23" i="4"/>
  <c r="K23" i="4"/>
  <c r="L23" i="4"/>
  <c r="C23" i="4"/>
  <c r="K10" i="2"/>
  <c r="K6" i="14" s="1"/>
  <c r="K15" i="14" s="1"/>
  <c r="H7" i="2"/>
  <c r="H6" i="13" s="1"/>
  <c r="I7" i="2"/>
  <c r="I6" i="13" s="1"/>
  <c r="I15" i="13" s="1"/>
  <c r="K7" i="2"/>
  <c r="L7" i="2"/>
  <c r="B29" i="4"/>
  <c r="B5" i="13" s="1"/>
  <c r="H29" i="4"/>
  <c r="I29" i="4"/>
  <c r="J29" i="4"/>
  <c r="K29" i="4"/>
  <c r="L29" i="4"/>
  <c r="K17" i="3"/>
  <c r="K4" i="14" s="1"/>
  <c r="K13" i="14" s="1"/>
  <c r="H14" i="3"/>
  <c r="H4" i="13" s="1"/>
  <c r="I14" i="3"/>
  <c r="I18" i="3" s="1"/>
  <c r="J14" i="3"/>
  <c r="J17" i="3" s="1"/>
  <c r="J4" i="14" s="1"/>
  <c r="J13" i="14" s="1"/>
  <c r="K14" i="3"/>
  <c r="K4" i="13" s="1"/>
  <c r="L14" i="3"/>
  <c r="G14" i="3"/>
  <c r="G18" i="3" s="1"/>
  <c r="V103" i="7"/>
  <c r="T103" i="7"/>
  <c r="R103" i="7"/>
  <c r="P103" i="7"/>
  <c r="N103" i="7"/>
  <c r="L103" i="7"/>
  <c r="H16" i="7"/>
  <c r="H7" i="7" s="1"/>
  <c r="I16" i="7"/>
  <c r="J16" i="7"/>
  <c r="J6" i="7" s="1"/>
  <c r="K16" i="7"/>
  <c r="L16" i="7"/>
  <c r="L6" i="7" s="1"/>
  <c r="G16" i="7"/>
  <c r="E16" i="7"/>
  <c r="B32" i="4"/>
  <c r="B5" i="14" s="1"/>
  <c r="B14" i="14" s="1"/>
  <c r="G29" i="4"/>
  <c r="F18" i="4"/>
  <c r="F24" i="4" s="1"/>
  <c r="F15" i="4"/>
  <c r="F23" i="4" s="1"/>
  <c r="B7" i="2"/>
  <c r="B10" i="2" s="1"/>
  <c r="B6" i="14" s="1"/>
  <c r="B15" i="14" s="1"/>
  <c r="C7" i="2"/>
  <c r="D7" i="2"/>
  <c r="D10" i="2" s="1"/>
  <c r="D6" i="14" s="1"/>
  <c r="D15" i="14" s="1"/>
  <c r="E7" i="2"/>
  <c r="F7" i="2"/>
  <c r="F10" i="2" s="1"/>
  <c r="F6" i="14" s="1"/>
  <c r="F15" i="14" s="1"/>
  <c r="G7" i="2"/>
  <c r="G10" i="2" s="1"/>
  <c r="G6" i="14" s="1"/>
  <c r="G15" i="14" s="1"/>
  <c r="F16" i="7"/>
  <c r="D16" i="7"/>
  <c r="C16" i="7"/>
  <c r="B16" i="7"/>
  <c r="J7" i="7" l="1"/>
  <c r="M32" i="4"/>
  <c r="M5" i="14" s="1"/>
  <c r="M14" i="14" s="1"/>
  <c r="J5" i="7"/>
  <c r="S5" i="13"/>
  <c r="S14" i="13" s="1"/>
  <c r="Q5" i="13"/>
  <c r="Q14" i="13" s="1"/>
  <c r="O5" i="13"/>
  <c r="O14" i="13" s="1"/>
  <c r="M5" i="13"/>
  <c r="M14" i="13" s="1"/>
  <c r="N5" i="13"/>
  <c r="N14" i="13" s="1"/>
  <c r="Q32" i="4"/>
  <c r="Q5" i="14" s="1"/>
  <c r="Q14" i="14" s="1"/>
  <c r="K32" i="4"/>
  <c r="K5" i="14" s="1"/>
  <c r="K14" i="14" s="1"/>
  <c r="L32" i="4"/>
  <c r="L5" i="14" s="1"/>
  <c r="L14" i="14" s="1"/>
  <c r="G32" i="4"/>
  <c r="G5" i="14" s="1"/>
  <c r="G14" i="14" s="1"/>
  <c r="Q15" i="5"/>
  <c r="M15" i="5"/>
  <c r="S32" i="4"/>
  <c r="O32" i="4"/>
  <c r="P5" i="13"/>
  <c r="P14" i="13" s="1"/>
  <c r="J14" i="13"/>
  <c r="I14" i="5"/>
  <c r="I32" i="4"/>
  <c r="E10" i="2"/>
  <c r="E6" i="14" s="1"/>
  <c r="E15" i="14" s="1"/>
  <c r="E6" i="13"/>
  <c r="E11" i="2"/>
  <c r="C10" i="2"/>
  <c r="C6" i="14" s="1"/>
  <c r="C15" i="14" s="1"/>
  <c r="C6" i="13"/>
  <c r="G6" i="7"/>
  <c r="G4" i="7"/>
  <c r="K6" i="7"/>
  <c r="K4" i="7"/>
  <c r="I6" i="7"/>
  <c r="L4" i="13"/>
  <c r="L17" i="3"/>
  <c r="L4" i="14" s="1"/>
  <c r="L13" i="14" s="1"/>
  <c r="L6" i="13"/>
  <c r="L15" i="13" s="1"/>
  <c r="L11" i="2"/>
  <c r="L16" i="5" s="1"/>
  <c r="L10" i="2"/>
  <c r="L6" i="14" s="1"/>
  <c r="L15" i="14" s="1"/>
  <c r="J6" i="13"/>
  <c r="J15" i="13" s="1"/>
  <c r="J11" i="2"/>
  <c r="J16" i="5" s="1"/>
  <c r="J6" i="14"/>
  <c r="J15" i="14" s="1"/>
  <c r="L5" i="13"/>
  <c r="L14" i="13" s="1"/>
  <c r="C11" i="2"/>
  <c r="C16" i="5" s="1"/>
  <c r="L18" i="3"/>
  <c r="L14" i="5" s="1"/>
  <c r="G5" i="7"/>
  <c r="I5" i="7"/>
  <c r="K5" i="7"/>
  <c r="J32" i="4"/>
  <c r="J5" i="14" s="1"/>
  <c r="J14" i="14" s="1"/>
  <c r="K5" i="13"/>
  <c r="K14" i="13" s="1"/>
  <c r="I5" i="13"/>
  <c r="I14" i="13" s="1"/>
  <c r="G5" i="13"/>
  <c r="G14" i="13" s="1"/>
  <c r="J18" i="3"/>
  <c r="J14" i="5" s="1"/>
  <c r="S6" i="7"/>
  <c r="S4" i="7"/>
  <c r="Q6" i="7"/>
  <c r="Q4" i="7"/>
  <c r="O6" i="7"/>
  <c r="O4" i="7"/>
  <c r="M6" i="7"/>
  <c r="M4" i="7"/>
  <c r="G7" i="7"/>
  <c r="I7" i="7"/>
  <c r="K7" i="7"/>
  <c r="M7" i="7"/>
  <c r="O7" i="7"/>
  <c r="Q7" i="7"/>
  <c r="S7" i="7"/>
  <c r="P4" i="13"/>
  <c r="P18" i="3"/>
  <c r="P14" i="5" s="1"/>
  <c r="R17" i="3"/>
  <c r="R4" i="14" s="1"/>
  <c r="R13" i="14" s="1"/>
  <c r="N17" i="3"/>
  <c r="N4" i="14" s="1"/>
  <c r="N13" i="14" s="1"/>
  <c r="R32" i="4"/>
  <c r="P32" i="4"/>
  <c r="N32" i="4"/>
  <c r="Q6" i="13"/>
  <c r="Q10" i="2"/>
  <c r="Q6" i="14" s="1"/>
  <c r="Q15" i="14" s="1"/>
  <c r="M6" i="13"/>
  <c r="M15" i="13" s="1"/>
  <c r="M10" i="2"/>
  <c r="M6" i="14" s="1"/>
  <c r="M15" i="14" s="1"/>
  <c r="N13" i="13"/>
  <c r="S6" i="13"/>
  <c r="S15" i="13" s="1"/>
  <c r="R5" i="13"/>
  <c r="R14" i="13" s="1"/>
  <c r="R4" i="13"/>
  <c r="J4" i="13"/>
  <c r="K18" i="3"/>
  <c r="K14" i="5" s="1"/>
  <c r="J4" i="7"/>
  <c r="J8" i="7" s="1"/>
  <c r="J3" i="13" s="1"/>
  <c r="J12" i="13" s="1"/>
  <c r="L4" i="7"/>
  <c r="L12" i="7" s="1"/>
  <c r="L13" i="5" s="1"/>
  <c r="L17" i="5" s="1"/>
  <c r="N4" i="7"/>
  <c r="P4" i="7"/>
  <c r="R4" i="7"/>
  <c r="S17" i="3"/>
  <c r="S4" i="14" s="1"/>
  <c r="S13" i="14" s="1"/>
  <c r="Q17" i="3"/>
  <c r="Q4" i="14" s="1"/>
  <c r="Q13" i="14" s="1"/>
  <c r="O17" i="3"/>
  <c r="O4" i="14" s="1"/>
  <c r="O13" i="14" s="1"/>
  <c r="M17" i="3"/>
  <c r="M4" i="14" s="1"/>
  <c r="M13" i="14" s="1"/>
  <c r="S13" i="13"/>
  <c r="O13" i="13"/>
  <c r="K13" i="13"/>
  <c r="F6" i="13"/>
  <c r="B6" i="13"/>
  <c r="B15" i="13" s="1"/>
  <c r="F16" i="5"/>
  <c r="D16" i="5"/>
  <c r="E16" i="5"/>
  <c r="G4" i="13"/>
  <c r="I6" i="14"/>
  <c r="I15" i="14" s="1"/>
  <c r="I11" i="2"/>
  <c r="I17" i="3"/>
  <c r="I4" i="14" s="1"/>
  <c r="I13" i="14" s="1"/>
  <c r="H10" i="2"/>
  <c r="H6" i="14" s="1"/>
  <c r="H15" i="14" s="1"/>
  <c r="H11" i="2"/>
  <c r="H17" i="3"/>
  <c r="H4" i="14" s="1"/>
  <c r="H18" i="3"/>
  <c r="H32" i="4"/>
  <c r="H5" i="13"/>
  <c r="H14" i="13" s="1"/>
  <c r="H4" i="7"/>
  <c r="H5" i="7"/>
  <c r="H6" i="7"/>
  <c r="G6" i="13"/>
  <c r="G11" i="2"/>
  <c r="G17" i="3"/>
  <c r="B7" i="7"/>
  <c r="B6" i="7"/>
  <c r="B5" i="7"/>
  <c r="B4" i="7"/>
  <c r="C7" i="7"/>
  <c r="C6" i="7"/>
  <c r="C5" i="7"/>
  <c r="C4" i="7"/>
  <c r="D7" i="7"/>
  <c r="D6" i="7"/>
  <c r="D5" i="7"/>
  <c r="D4" i="7"/>
  <c r="F7" i="7"/>
  <c r="F6" i="7"/>
  <c r="F5" i="7"/>
  <c r="F4" i="7"/>
  <c r="B11" i="2"/>
  <c r="J101" i="7"/>
  <c r="H101" i="7"/>
  <c r="F101" i="7"/>
  <c r="D101" i="7"/>
  <c r="B101" i="7"/>
  <c r="J93" i="7"/>
  <c r="H93" i="7"/>
  <c r="F93" i="7"/>
  <c r="D93" i="7"/>
  <c r="B93" i="7"/>
  <c r="J87" i="7"/>
  <c r="H87" i="7"/>
  <c r="F87" i="7"/>
  <c r="D87" i="7"/>
  <c r="B87" i="7"/>
  <c r="J79" i="7"/>
  <c r="H79" i="7"/>
  <c r="F79" i="7"/>
  <c r="D79" i="7"/>
  <c r="B79" i="7"/>
  <c r="J73" i="7"/>
  <c r="H72" i="7"/>
  <c r="F72" i="7"/>
  <c r="D72" i="7"/>
  <c r="B72" i="7"/>
  <c r="J64" i="7"/>
  <c r="H64" i="7"/>
  <c r="F64" i="7"/>
  <c r="D64" i="7"/>
  <c r="B64" i="7"/>
  <c r="J57" i="7"/>
  <c r="H57" i="7"/>
  <c r="F57" i="7"/>
  <c r="D57" i="7"/>
  <c r="B57" i="7"/>
  <c r="J48" i="7"/>
  <c r="H48" i="7"/>
  <c r="F48" i="7"/>
  <c r="D48" i="7"/>
  <c r="B48" i="7"/>
  <c r="J41" i="7"/>
  <c r="H41" i="7"/>
  <c r="F41" i="7"/>
  <c r="D41" i="7"/>
  <c r="B41" i="7"/>
  <c r="J33" i="7"/>
  <c r="J103" i="7" s="1"/>
  <c r="H32" i="7"/>
  <c r="F32" i="7"/>
  <c r="F103" i="7" s="1"/>
  <c r="D32" i="7"/>
  <c r="B32" i="7"/>
  <c r="B103" i="7" s="1"/>
  <c r="J12" i="7" l="1"/>
  <c r="N7" i="13"/>
  <c r="N16" i="13" s="1"/>
  <c r="O7" i="13"/>
  <c r="O16" i="13" s="1"/>
  <c r="K15" i="5"/>
  <c r="L15" i="5"/>
  <c r="O5" i="14"/>
  <c r="O14" i="14" s="1"/>
  <c r="O15" i="5"/>
  <c r="I15" i="5"/>
  <c r="S5" i="14"/>
  <c r="S14" i="14" s="1"/>
  <c r="S15" i="5"/>
  <c r="I5" i="14"/>
  <c r="I14" i="14" s="1"/>
  <c r="I8" i="7"/>
  <c r="I3" i="13" s="1"/>
  <c r="P12" i="7"/>
  <c r="P13" i="5" s="1"/>
  <c r="P17" i="5" s="1"/>
  <c r="P11" i="7"/>
  <c r="P3" i="14" s="1"/>
  <c r="R7" i="13"/>
  <c r="R16" i="13" s="1"/>
  <c r="R13" i="13"/>
  <c r="Q7" i="13"/>
  <c r="Q16" i="13" s="1"/>
  <c r="Q15" i="13"/>
  <c r="P5" i="14"/>
  <c r="P14" i="14" s="1"/>
  <c r="P15" i="5"/>
  <c r="S7" i="13"/>
  <c r="S16" i="13" s="1"/>
  <c r="H15" i="13"/>
  <c r="I12" i="7"/>
  <c r="K12" i="7"/>
  <c r="K13" i="5" s="1"/>
  <c r="K17" i="5" s="1"/>
  <c r="G8" i="7"/>
  <c r="G3" i="13" s="1"/>
  <c r="G12" i="7"/>
  <c r="E15" i="13"/>
  <c r="D15" i="13"/>
  <c r="D103" i="7"/>
  <c r="H103" i="7"/>
  <c r="F8" i="7"/>
  <c r="F3" i="13" s="1"/>
  <c r="F12" i="7"/>
  <c r="D12" i="7"/>
  <c r="C12" i="7"/>
  <c r="H15" i="5"/>
  <c r="J15" i="5"/>
  <c r="H8" i="7"/>
  <c r="H3" i="13" s="1"/>
  <c r="F15" i="13"/>
  <c r="R12" i="7"/>
  <c r="R13" i="5" s="1"/>
  <c r="R17" i="5" s="1"/>
  <c r="R11" i="7"/>
  <c r="R3" i="14" s="1"/>
  <c r="N12" i="7"/>
  <c r="N13" i="5" s="1"/>
  <c r="N17" i="5" s="1"/>
  <c r="N11" i="7"/>
  <c r="N3" i="14" s="1"/>
  <c r="J7" i="13"/>
  <c r="J13" i="13"/>
  <c r="M7" i="13"/>
  <c r="M16" i="13" s="1"/>
  <c r="N5" i="14"/>
  <c r="N14" i="14" s="1"/>
  <c r="N15" i="5"/>
  <c r="R5" i="14"/>
  <c r="R14" i="14" s="1"/>
  <c r="R15" i="5"/>
  <c r="P7" i="13"/>
  <c r="P16" i="13" s="1"/>
  <c r="P13" i="13"/>
  <c r="M11" i="7"/>
  <c r="M3" i="14" s="1"/>
  <c r="M12" i="7"/>
  <c r="M13" i="5" s="1"/>
  <c r="M17" i="5" s="1"/>
  <c r="O11" i="7"/>
  <c r="O3" i="14" s="1"/>
  <c r="O12" i="7"/>
  <c r="O13" i="5" s="1"/>
  <c r="O17" i="5" s="1"/>
  <c r="Q11" i="7"/>
  <c r="Q3" i="14" s="1"/>
  <c r="Q12" i="7"/>
  <c r="Q13" i="5" s="1"/>
  <c r="Q17" i="5" s="1"/>
  <c r="S11" i="7"/>
  <c r="S3" i="14" s="1"/>
  <c r="S12" i="7"/>
  <c r="S13" i="5" s="1"/>
  <c r="S17" i="5" s="1"/>
  <c r="K7" i="13"/>
  <c r="K16" i="13" s="1"/>
  <c r="L7" i="13"/>
  <c r="L16" i="13" s="1"/>
  <c r="L13" i="13"/>
  <c r="C15" i="13"/>
  <c r="G4" i="14"/>
  <c r="I16" i="5"/>
  <c r="I7" i="13"/>
  <c r="I13" i="13"/>
  <c r="H16" i="5"/>
  <c r="H5" i="14"/>
  <c r="H14" i="14" s="1"/>
  <c r="H7" i="13"/>
  <c r="H14" i="5"/>
  <c r="H12" i="7"/>
  <c r="G7" i="13"/>
  <c r="G15" i="13"/>
  <c r="G16" i="5"/>
  <c r="I11" i="7"/>
  <c r="I3" i="14" s="1"/>
  <c r="J11" i="7"/>
  <c r="J3" i="14" s="1"/>
  <c r="K11" i="7"/>
  <c r="K3" i="14" s="1"/>
  <c r="L11" i="7"/>
  <c r="L3" i="14" s="1"/>
  <c r="H11" i="7"/>
  <c r="H3" i="14" s="1"/>
  <c r="E7" i="7"/>
  <c r="E6" i="7"/>
  <c r="E5" i="7"/>
  <c r="E4" i="7"/>
  <c r="D8" i="7"/>
  <c r="D3" i="13" s="1"/>
  <c r="D11" i="7"/>
  <c r="D3" i="14" s="1"/>
  <c r="C8" i="7"/>
  <c r="C3" i="13" s="1"/>
  <c r="C11" i="7"/>
  <c r="C3" i="14" s="1"/>
  <c r="F11" i="7"/>
  <c r="B8" i="7"/>
  <c r="B3" i="13" s="1"/>
  <c r="I12" i="13" l="1"/>
  <c r="J13" i="5"/>
  <c r="J17" i="5" s="1"/>
  <c r="I13" i="5"/>
  <c r="I17" i="5" s="1"/>
  <c r="I7" i="14"/>
  <c r="J8" i="14" s="1"/>
  <c r="C12" i="13"/>
  <c r="D12" i="13"/>
  <c r="L12" i="14"/>
  <c r="L7" i="14"/>
  <c r="L16" i="14" s="1"/>
  <c r="J7" i="14"/>
  <c r="P12" i="14"/>
  <c r="P7" i="14"/>
  <c r="P16" i="14" s="1"/>
  <c r="B12" i="13"/>
  <c r="E8" i="7"/>
  <c r="E3" i="13" s="1"/>
  <c r="E12" i="7"/>
  <c r="K12" i="14"/>
  <c r="K7" i="14"/>
  <c r="K16" i="14" s="1"/>
  <c r="S12" i="14"/>
  <c r="S7" i="14"/>
  <c r="S16" i="14" s="1"/>
  <c r="Q12" i="14"/>
  <c r="Q7" i="14"/>
  <c r="Q16" i="14" s="1"/>
  <c r="O12" i="14"/>
  <c r="O7" i="14"/>
  <c r="O16" i="14" s="1"/>
  <c r="M12" i="14"/>
  <c r="M7" i="14"/>
  <c r="M16" i="14" s="1"/>
  <c r="N12" i="14"/>
  <c r="N7" i="14"/>
  <c r="N16" i="14" s="1"/>
  <c r="R12" i="14"/>
  <c r="R7" i="14"/>
  <c r="R16" i="14" s="1"/>
  <c r="H12" i="13"/>
  <c r="F12" i="13"/>
  <c r="G12" i="13"/>
  <c r="F3" i="14"/>
  <c r="G13" i="5"/>
  <c r="C7" i="5"/>
  <c r="H7" i="14"/>
  <c r="I8" i="14" s="1"/>
  <c r="D13" i="5"/>
  <c r="E13" i="5"/>
  <c r="G11" i="7"/>
  <c r="E11" i="7"/>
  <c r="E3" i="14" s="1"/>
  <c r="B11" i="7"/>
  <c r="B3" i="14" s="1"/>
  <c r="I12" i="14" s="1"/>
  <c r="B12" i="7"/>
  <c r="J12" i="14" l="1"/>
  <c r="B12" i="14"/>
  <c r="H12" i="14"/>
  <c r="F12" i="14"/>
  <c r="E12" i="13"/>
  <c r="C12" i="14"/>
  <c r="E12" i="14"/>
  <c r="D12" i="14"/>
  <c r="B7" i="5"/>
  <c r="C8" i="5" s="1"/>
  <c r="G3" i="14"/>
  <c r="H13" i="5"/>
  <c r="H17" i="5" s="1"/>
  <c r="F13" i="5"/>
  <c r="C13" i="5"/>
  <c r="C29" i="4"/>
  <c r="D29" i="4"/>
  <c r="E29" i="4"/>
  <c r="F29" i="4"/>
  <c r="D14" i="3"/>
  <c r="C14" i="3"/>
  <c r="B14" i="3"/>
  <c r="B4" i="13" s="1"/>
  <c r="E14" i="3"/>
  <c r="F14" i="3"/>
  <c r="F4" i="13" l="1"/>
  <c r="F18" i="3"/>
  <c r="B13" i="13"/>
  <c r="H13" i="13"/>
  <c r="G13" i="13"/>
  <c r="B7" i="13"/>
  <c r="D4" i="13"/>
  <c r="D18" i="3"/>
  <c r="E5" i="13"/>
  <c r="E14" i="13" s="1"/>
  <c r="E32" i="4"/>
  <c r="C32" i="4"/>
  <c r="C5" i="13"/>
  <c r="C14" i="13" s="1"/>
  <c r="E4" i="13"/>
  <c r="E18" i="3"/>
  <c r="C4" i="13"/>
  <c r="C18" i="3"/>
  <c r="F5" i="13"/>
  <c r="F14" i="13" s="1"/>
  <c r="F32" i="4"/>
  <c r="D32" i="4"/>
  <c r="D5" i="13"/>
  <c r="D14" i="13" s="1"/>
  <c r="G12" i="14"/>
  <c r="G7" i="14"/>
  <c r="H8" i="14" s="1"/>
  <c r="F17" i="3"/>
  <c r="E17" i="3"/>
  <c r="B18" i="3"/>
  <c r="B17" i="3"/>
  <c r="B4" i="14" s="1"/>
  <c r="C17" i="3"/>
  <c r="D17" i="3"/>
  <c r="I16" i="13" l="1"/>
  <c r="J16" i="13"/>
  <c r="I3" i="15"/>
  <c r="I5" i="15" s="1"/>
  <c r="D5" i="14"/>
  <c r="D14" i="14" s="1"/>
  <c r="D15" i="5"/>
  <c r="C13" i="13"/>
  <c r="C7" i="13"/>
  <c r="E13" i="13"/>
  <c r="E7" i="13"/>
  <c r="C5" i="14"/>
  <c r="C14" i="14" s="1"/>
  <c r="C15" i="5"/>
  <c r="D13" i="13"/>
  <c r="D7" i="13"/>
  <c r="F13" i="13"/>
  <c r="F7" i="13"/>
  <c r="B13" i="14"/>
  <c r="H13" i="14"/>
  <c r="G13" i="14"/>
  <c r="B7" i="14"/>
  <c r="G2" i="15" s="1"/>
  <c r="F5" i="14"/>
  <c r="F14" i="14" s="1"/>
  <c r="G15" i="5"/>
  <c r="F15" i="5"/>
  <c r="C14" i="5"/>
  <c r="C17" i="5"/>
  <c r="E15" i="5"/>
  <c r="E5" i="14"/>
  <c r="E14" i="14" s="1"/>
  <c r="B8" i="13"/>
  <c r="C8" i="13" s="1"/>
  <c r="D8" i="13" s="1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Q8" i="13" s="1"/>
  <c r="R8" i="13" s="1"/>
  <c r="S8" i="13" s="1"/>
  <c r="B16" i="13"/>
  <c r="G3" i="15"/>
  <c r="H3" i="15"/>
  <c r="G16" i="13"/>
  <c r="H16" i="13"/>
  <c r="D4" i="14"/>
  <c r="E14" i="5"/>
  <c r="E17" i="5"/>
  <c r="E4" i="14"/>
  <c r="F14" i="5"/>
  <c r="F17" i="5"/>
  <c r="C4" i="14"/>
  <c r="D14" i="5"/>
  <c r="D17" i="5"/>
  <c r="F4" i="14"/>
  <c r="G14" i="5"/>
  <c r="G17" i="5"/>
  <c r="I16" i="14" l="1"/>
  <c r="C8" i="14"/>
  <c r="J16" i="14"/>
  <c r="I2" i="15"/>
  <c r="G16" i="14"/>
  <c r="J5" i="15"/>
  <c r="K5" i="15" s="1"/>
  <c r="L5" i="15" s="1"/>
  <c r="M5" i="15" s="1"/>
  <c r="N5" i="15" s="1"/>
  <c r="O5" i="15" s="1"/>
  <c r="P5" i="15" s="1"/>
  <c r="Q5" i="15" s="1"/>
  <c r="R5" i="15" s="1"/>
  <c r="K8" i="14"/>
  <c r="B8" i="14"/>
  <c r="I4" i="15" s="1"/>
  <c r="B16" i="14"/>
  <c r="H16" i="14"/>
  <c r="H2" i="15"/>
  <c r="F16" i="13"/>
  <c r="F3" i="15"/>
  <c r="D16" i="13"/>
  <c r="D3" i="15"/>
  <c r="E3" i="15"/>
  <c r="E16" i="13"/>
  <c r="C3" i="15"/>
  <c r="C16" i="13"/>
  <c r="F13" i="14"/>
  <c r="F7" i="14"/>
  <c r="G8" i="14" s="1"/>
  <c r="C13" i="14"/>
  <c r="C7" i="14"/>
  <c r="D8" i="14" s="1"/>
  <c r="D13" i="14"/>
  <c r="D7" i="14"/>
  <c r="E8" i="14" s="1"/>
  <c r="E13" i="14"/>
  <c r="E7" i="14"/>
  <c r="F8" i="14" s="1"/>
  <c r="J4" i="15" l="1"/>
  <c r="E16" i="14"/>
  <c r="E2" i="15"/>
  <c r="D16" i="14"/>
  <c r="D2" i="15"/>
  <c r="C16" i="14"/>
  <c r="C2" i="15"/>
  <c r="F16" i="14"/>
  <c r="F2" i="15"/>
  <c r="K4" i="15"/>
  <c r="L8" i="14"/>
  <c r="M8" i="14" l="1"/>
  <c r="L4" i="15"/>
  <c r="N8" i="14" l="1"/>
  <c r="M4" i="15"/>
  <c r="O8" i="14" l="1"/>
  <c r="N4" i="15"/>
  <c r="P8" i="14" l="1"/>
  <c r="O4" i="15"/>
  <c r="Q8" i="14" l="1"/>
  <c r="P4" i="15"/>
  <c r="R8" i="14" l="1"/>
  <c r="Q4" i="15"/>
  <c r="S8" i="14" l="1"/>
  <c r="S4" i="15" s="1"/>
  <c r="R4" i="15"/>
</calcChain>
</file>

<file path=xl/sharedStrings.xml><?xml version="1.0" encoding="utf-8"?>
<sst xmlns="http://schemas.openxmlformats.org/spreadsheetml/2006/main" count="1002" uniqueCount="130">
  <si>
    <t>Gadebelysning</t>
  </si>
  <si>
    <t>Adm. Bygninger</t>
  </si>
  <si>
    <t>Skoler</t>
  </si>
  <si>
    <t>Daginstitutioner</t>
  </si>
  <si>
    <t>Fritids- og ungdomsklubber</t>
  </si>
  <si>
    <t>Behandlingscenter</t>
  </si>
  <si>
    <t>Ældrepleje</t>
  </si>
  <si>
    <t>Specialinstitutioner</t>
  </si>
  <si>
    <t>Kulturinstitutioner</t>
  </si>
  <si>
    <t>Andre kommunale bygninger</t>
  </si>
  <si>
    <t>Sportshaller</t>
  </si>
  <si>
    <t xml:space="preserve">I alt for Kommunale bygninger </t>
  </si>
  <si>
    <t>El-bygninger</t>
  </si>
  <si>
    <r>
      <t>Art</t>
    </r>
    <r>
      <rPr>
        <sz val="11"/>
        <color theme="1"/>
        <rFont val="Calibri"/>
        <family val="2"/>
        <scheme val="minor"/>
      </rPr>
      <t xml:space="preserve"> 4861 - bil</t>
    </r>
  </si>
  <si>
    <r>
      <t>Art</t>
    </r>
    <r>
      <rPr>
        <sz val="11"/>
        <color theme="1"/>
        <rFont val="Calibri"/>
        <family val="2"/>
        <scheme val="minor"/>
      </rPr>
      <t xml:space="preserve"> 4862 - bil</t>
    </r>
  </si>
  <si>
    <t>I alt</t>
  </si>
  <si>
    <t>Kørsel</t>
  </si>
  <si>
    <t>Gadebelysning (kWh)</t>
  </si>
  <si>
    <t>Opvarmning</t>
  </si>
  <si>
    <t>I alt (kWh)</t>
  </si>
  <si>
    <t>Mål</t>
  </si>
  <si>
    <t>Varmeenhed</t>
  </si>
  <si>
    <t>Administrationsbygning</t>
  </si>
  <si>
    <t>Fjernvarme</t>
  </si>
  <si>
    <t>Olie</t>
  </si>
  <si>
    <t>El, varmepumpe</t>
  </si>
  <si>
    <t>Daginstitution</t>
  </si>
  <si>
    <t>Elvarme</t>
  </si>
  <si>
    <t>Naturgas</t>
  </si>
  <si>
    <t>Idrætshal</t>
  </si>
  <si>
    <t>I alt kWh</t>
  </si>
  <si>
    <t>Emissionsfaktorer</t>
  </si>
  <si>
    <t>Faktisk</t>
  </si>
  <si>
    <t>CO2 (ton)</t>
  </si>
  <si>
    <t>Graddage</t>
  </si>
  <si>
    <t>Korrektion</t>
  </si>
  <si>
    <t>Elforbrug  (kWh)</t>
  </si>
  <si>
    <t>Emissionsfaktorer (g/kWh)</t>
  </si>
  <si>
    <t>Vordingborg Forsyning</t>
  </si>
  <si>
    <t>Gadebelysning i alt</t>
  </si>
  <si>
    <t>Seas-Nve (Præstø)</t>
  </si>
  <si>
    <t>Seas-Nve (Møn)</t>
  </si>
  <si>
    <t>GADEBELYSNING</t>
  </si>
  <si>
    <t>EL-FORBRUG</t>
  </si>
  <si>
    <t>OPVARMNING</t>
  </si>
  <si>
    <t>Varme (kWh)</t>
  </si>
  <si>
    <t>Forbrug egne biler (Liter)</t>
  </si>
  <si>
    <t>Kørsel i private biler (Km)</t>
  </si>
  <si>
    <t>Samlet</t>
  </si>
  <si>
    <t>Ialt - Benzin (Liter)</t>
  </si>
  <si>
    <t>I alt CO2 (ton)</t>
  </si>
  <si>
    <t>Energiforbrug (kWh)</t>
  </si>
  <si>
    <t>El (incl. varmepumper)</t>
  </si>
  <si>
    <t>Varmeforbrug (kWh)
Graddagekorrigeret</t>
  </si>
  <si>
    <t>2011-2012</t>
  </si>
  <si>
    <t>Benzin - OK</t>
  </si>
  <si>
    <t>Diesel - OK</t>
  </si>
  <si>
    <t>Benzin - Q8-kort</t>
  </si>
  <si>
    <t>Benzin - Q8-tank</t>
  </si>
  <si>
    <t>Diesel - Q8-kort</t>
  </si>
  <si>
    <t>Diesel - Q8-tank</t>
  </si>
  <si>
    <t>Benzin - Shell</t>
  </si>
  <si>
    <t>Diesel - Shell</t>
  </si>
  <si>
    <t>Benzin - UnoX-kort</t>
  </si>
  <si>
    <t>Benzin - UnoX-tank</t>
  </si>
  <si>
    <t>Diesel - UnoX-kort</t>
  </si>
  <si>
    <t>Diesel - UnoX-tank</t>
  </si>
  <si>
    <t>Benzin - Autoleasing</t>
  </si>
  <si>
    <t>Diesel - Autoleasing</t>
  </si>
  <si>
    <t>Fastholdt (emissionsfaktor fra året før)</t>
  </si>
  <si>
    <t>CO2-udledning (ton)</t>
  </si>
  <si>
    <t>Udvikling i energiforbrug i forhold til 2008</t>
  </si>
  <si>
    <t>Udvikling i CO2-udledning i forhold til 2008</t>
  </si>
  <si>
    <t>Mål (2% i forhold til året før)</t>
  </si>
  <si>
    <t>Fastholdt (Emissionsfaktor fra året før)</t>
  </si>
  <si>
    <t>Benzin (g/l) (jf. DN's vejledning)</t>
  </si>
  <si>
    <t>Diesel (g/l) (jf. DN's vejledning)</t>
  </si>
  <si>
    <t>Private biler (g/km)  (jf. DN's vejledning)</t>
  </si>
  <si>
    <t>CO2 udledning (ton)* - DN-klimakommune</t>
  </si>
  <si>
    <t>2008-2009</t>
  </si>
  <si>
    <t>2009-2010</t>
  </si>
  <si>
    <t>2010-2011</t>
  </si>
  <si>
    <t>2012-2013</t>
  </si>
  <si>
    <t>Udvikling i CO2-udledning* - DN-klimakommune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</si>
  <si>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</si>
  <si>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</si>
  <si>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</si>
  <si>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</si>
  <si>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</si>
  <si>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</si>
  <si>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</si>
  <si>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</si>
  <si>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</si>
  <si>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</si>
  <si>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</si>
  <si>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</si>
  <si>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* Emissionsfaktorerne er fastholdt fra forrige år.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</si>
  <si>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</si>
  <si>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</si>
  <si>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</si>
  <si>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</si>
  <si>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</si>
  <si>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</si>
  <si>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</si>
  <si>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</si>
  <si>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</si>
  <si>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</si>
  <si>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</si>
  <si>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Reduktionsmål</t>
  </si>
  <si>
    <t>Naturgas (DN's vejledning)</t>
  </si>
  <si>
    <t>Olie (DN's vejledning)</t>
  </si>
  <si>
    <t>2019</t>
  </si>
  <si>
    <t>2020</t>
  </si>
  <si>
    <t>2021</t>
  </si>
  <si>
    <t>2022</t>
  </si>
  <si>
    <t>2023</t>
  </si>
  <si>
    <t>2024</t>
  </si>
  <si>
    <t>2025</t>
  </si>
  <si>
    <t>Fjernvarme (jf. Klimastrategi 2010 &amp; Opgørelse fra 2011)</t>
  </si>
  <si>
    <t>Benzin - LeasePlan</t>
  </si>
  <si>
    <t>Diesel - LeasePlan</t>
  </si>
  <si>
    <t>Andre kommunale bygninger incl. multicenter</t>
  </si>
  <si>
    <t>CO2</t>
  </si>
  <si>
    <t>Forbrug</t>
  </si>
  <si>
    <t>El (jf. Energinet.dk) 125% metoden + 5% nettab</t>
  </si>
  <si>
    <t>Ialt - Diesel (Liter)</t>
  </si>
  <si>
    <t>Benzin - Statoil-kort (Circle K)</t>
  </si>
  <si>
    <t>Diesel - Statoil-kort (Circle K)</t>
  </si>
  <si>
    <t>Diesel - Statoil-tank (Circle K)</t>
  </si>
  <si>
    <t>*Emissionsfaktorerne er fastholdt på 2015-niveau.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</si>
</sst>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  <numFmt numFmtId="167" formatCode="0.0%"/>
    <numFmt numFmtId="168" formatCode="[Red]0%;\-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 Unicode MS"/>
      <family val="2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1" fontId="0" fillId="0" borderId="0" xfId="0" applyNumberFormat="1" applyFont="1" applyBorder="1"/>
    <xf numFmtId="0" fontId="7" fillId="0" borderId="0" xfId="6" applyFont="1" applyBorder="1"/>
    <xf numFmtId="0" fontId="8" fillId="0" borderId="0" xfId="0" applyFont="1" applyBorder="1" applyAlignment="1">
      <alignment horizontal="center"/>
    </xf>
    <xf numFmtId="0" fontId="2" fillId="2" borderId="0" xfId="0" applyFont="1" applyFill="1" applyBorder="1"/>
    <xf numFmtId="0" fontId="7" fillId="0" borderId="0" xfId="7" applyFont="1" applyBorder="1"/>
    <xf numFmtId="0" fontId="8" fillId="0" borderId="0" xfId="0" applyFont="1" applyBorder="1"/>
    <xf numFmtId="3" fontId="8" fillId="0" borderId="0" xfId="0" applyNumberFormat="1" applyFont="1" applyBorder="1"/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165" fontId="8" fillId="0" borderId="0" xfId="0" applyNumberFormat="1" applyFont="1" applyBorder="1" applyAlignment="1">
      <alignment horizontal="center"/>
    </xf>
    <xf numFmtId="0" fontId="2" fillId="4" borderId="0" xfId="0" applyFont="1" applyFill="1" applyBorder="1"/>
    <xf numFmtId="0" fontId="0" fillId="4" borderId="0" xfId="0" applyFont="1" applyFill="1" applyBorder="1"/>
    <xf numFmtId="165" fontId="8" fillId="4" borderId="0" xfId="6" applyNumberFormat="1" applyFont="1" applyFill="1" applyBorder="1"/>
    <xf numFmtId="0" fontId="0" fillId="5" borderId="0" xfId="0" applyFont="1" applyFill="1" applyBorder="1"/>
    <xf numFmtId="1" fontId="0" fillId="5" borderId="0" xfId="0" applyNumberFormat="1" applyFont="1" applyFill="1" applyBorder="1"/>
    <xf numFmtId="1" fontId="0" fillId="5" borderId="0" xfId="0" applyNumberFormat="1" applyFont="1" applyFill="1"/>
    <xf numFmtId="0" fontId="7" fillId="0" borderId="0" xfId="7" applyFont="1" applyFill="1" applyBorder="1"/>
    <xf numFmtId="0" fontId="7" fillId="5" borderId="0" xfId="6" applyFont="1" applyFill="1" applyBorder="1"/>
    <xf numFmtId="165" fontId="7" fillId="5" borderId="0" xfId="8" applyNumberFormat="1" applyFont="1" applyFill="1" applyBorder="1"/>
    <xf numFmtId="0" fontId="0" fillId="5" borderId="0" xfId="0" applyFill="1" applyBorder="1"/>
    <xf numFmtId="9" fontId="0" fillId="0" borderId="0" xfId="5" applyFont="1" applyBorder="1"/>
    <xf numFmtId="0" fontId="0" fillId="3" borderId="0" xfId="0" applyFont="1" applyFill="1" applyBorder="1"/>
    <xf numFmtId="0" fontId="0" fillId="2" borderId="0" xfId="0" applyFont="1" applyFill="1" applyBorder="1"/>
    <xf numFmtId="0" fontId="2" fillId="0" borderId="0" xfId="0" applyFont="1" applyFill="1" applyBorder="1"/>
    <xf numFmtId="0" fontId="8" fillId="2" borderId="0" xfId="6" applyFont="1" applyFill="1" applyBorder="1" applyAlignment="1">
      <alignment wrapText="1"/>
    </xf>
    <xf numFmtId="0" fontId="2" fillId="4" borderId="1" xfId="0" applyFont="1" applyFill="1" applyBorder="1"/>
    <xf numFmtId="0" fontId="2" fillId="4" borderId="2" xfId="0" applyFont="1" applyFill="1" applyBorder="1"/>
    <xf numFmtId="0" fontId="6" fillId="4" borderId="0" xfId="0" applyFont="1" applyFill="1" applyBorder="1"/>
    <xf numFmtId="0" fontId="8" fillId="0" borderId="0" xfId="6" applyFont="1" applyBorder="1"/>
    <xf numFmtId="0" fontId="0" fillId="6" borderId="0" xfId="0" applyFont="1" applyFill="1" applyBorder="1"/>
    <xf numFmtId="0" fontId="7" fillId="6" borderId="0" xfId="6" applyFont="1" applyFill="1" applyBorder="1"/>
    <xf numFmtId="2" fontId="7" fillId="6" borderId="0" xfId="6" applyNumberFormat="1" applyFont="1" applyFill="1" applyBorder="1"/>
    <xf numFmtId="0" fontId="2" fillId="7" borderId="0" xfId="0" applyFont="1" applyFill="1" applyBorder="1"/>
    <xf numFmtId="0" fontId="0" fillId="7" borderId="0" xfId="0" applyFont="1" applyFill="1" applyBorder="1"/>
    <xf numFmtId="0" fontId="7" fillId="6" borderId="0" xfId="7" applyFont="1" applyFill="1" applyBorder="1"/>
    <xf numFmtId="2" fontId="7" fillId="6" borderId="0" xfId="7" applyNumberFormat="1" applyFont="1" applyFill="1" applyBorder="1"/>
    <xf numFmtId="0" fontId="7" fillId="3" borderId="0" xfId="6" applyFont="1" applyFill="1" applyBorder="1"/>
    <xf numFmtId="165" fontId="7" fillId="3" borderId="0" xfId="1" applyNumberFormat="1" applyFont="1" applyFill="1" applyBorder="1"/>
    <xf numFmtId="0" fontId="2" fillId="7" borderId="0" xfId="0" applyFont="1" applyFill="1"/>
    <xf numFmtId="0" fontId="10" fillId="2" borderId="0" xfId="6" applyFont="1" applyFill="1" applyBorder="1"/>
    <xf numFmtId="0" fontId="6" fillId="2" borderId="0" xfId="0" applyFont="1" applyFill="1"/>
    <xf numFmtId="0" fontId="0" fillId="3" borderId="0" xfId="0" applyFill="1" applyBorder="1"/>
    <xf numFmtId="165" fontId="0" fillId="3" borderId="0" xfId="1" applyNumberFormat="1" applyFont="1" applyFill="1" applyBorder="1"/>
    <xf numFmtId="0" fontId="2" fillId="4" borderId="0" xfId="0" applyFont="1" applyFill="1"/>
    <xf numFmtId="0" fontId="0" fillId="6" borderId="0" xfId="0" applyFill="1" applyBorder="1"/>
    <xf numFmtId="0" fontId="6" fillId="2" borderId="0" xfId="0" applyFont="1" applyFill="1" applyBorder="1"/>
    <xf numFmtId="0" fontId="8" fillId="9" borderId="0" xfId="6" applyFont="1" applyFill="1" applyBorder="1"/>
    <xf numFmtId="0" fontId="7" fillId="9" borderId="0" xfId="6" applyFont="1" applyFill="1" applyBorder="1"/>
    <xf numFmtId="0" fontId="8" fillId="8" borderId="0" xfId="0" applyFont="1" applyFill="1" applyBorder="1" applyAlignment="1">
      <alignment horizontal="left" vertical="top"/>
    </xf>
    <xf numFmtId="0" fontId="8" fillId="8" borderId="0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0" fillId="9" borderId="0" xfId="0" applyFont="1" applyFill="1" applyBorder="1"/>
    <xf numFmtId="3" fontId="0" fillId="9" borderId="0" xfId="0" applyNumberFormat="1" applyFont="1" applyFill="1" applyBorder="1"/>
    <xf numFmtId="165" fontId="7" fillId="9" borderId="0" xfId="4" applyNumberFormat="1" applyFont="1" applyFill="1" applyBorder="1"/>
    <xf numFmtId="0" fontId="8" fillId="8" borderId="0" xfId="0" applyFont="1" applyFill="1" applyBorder="1" applyAlignment="1">
      <alignment horizontal="left"/>
    </xf>
    <xf numFmtId="165" fontId="0" fillId="10" borderId="0" xfId="1" applyNumberFormat="1" applyFont="1" applyFill="1" applyBorder="1"/>
    <xf numFmtId="0" fontId="0" fillId="10" borderId="0" xfId="0" applyFont="1" applyFill="1" applyBorder="1"/>
    <xf numFmtId="0" fontId="0" fillId="9" borderId="0" xfId="0" applyFill="1" applyBorder="1"/>
    <xf numFmtId="165" fontId="0" fillId="9" borderId="0" xfId="1" applyNumberFormat="1" applyFont="1" applyFill="1" applyBorder="1"/>
    <xf numFmtId="165" fontId="11" fillId="9" borderId="0" xfId="1" applyNumberFormat="1" applyFont="1" applyFill="1" applyBorder="1" applyAlignment="1">
      <alignment horizontal="left" wrapText="1" indent="2"/>
    </xf>
    <xf numFmtId="0" fontId="0" fillId="9" borderId="2" xfId="0" applyFill="1" applyBorder="1"/>
    <xf numFmtId="0" fontId="0" fillId="9" borderId="2" xfId="0" applyFont="1" applyFill="1" applyBorder="1"/>
    <xf numFmtId="165" fontId="0" fillId="9" borderId="2" xfId="1" applyNumberFormat="1" applyFont="1" applyFill="1" applyBorder="1"/>
    <xf numFmtId="0" fontId="8" fillId="8" borderId="0" xfId="0" applyFont="1" applyFill="1" applyBorder="1" applyAlignment="1">
      <alignment horizontal="left" vertical="top" wrapText="1"/>
    </xf>
    <xf numFmtId="0" fontId="8" fillId="9" borderId="0" xfId="0" applyFont="1" applyFill="1" applyBorder="1" applyAlignment="1"/>
    <xf numFmtId="166" fontId="0" fillId="9" borderId="0" xfId="1" applyNumberFormat="1" applyFont="1" applyFill="1" applyBorder="1" applyAlignment="1">
      <alignment vertical="center"/>
    </xf>
    <xf numFmtId="166" fontId="0" fillId="9" borderId="0" xfId="0" applyNumberFormat="1" applyFont="1" applyFill="1" applyBorder="1" applyAlignment="1">
      <alignment vertical="center"/>
    </xf>
    <xf numFmtId="166" fontId="0" fillId="9" borderId="0" xfId="0" applyNumberFormat="1" applyFont="1" applyFill="1" applyBorder="1" applyAlignment="1"/>
    <xf numFmtId="0" fontId="8" fillId="8" borderId="0" xfId="0" applyFont="1" applyFill="1" applyBorder="1"/>
    <xf numFmtId="166" fontId="7" fillId="9" borderId="0" xfId="3" applyNumberFormat="1" applyFont="1" applyFill="1" applyBorder="1"/>
    <xf numFmtId="0" fontId="0" fillId="4" borderId="0" xfId="0" applyFill="1" applyBorder="1"/>
    <xf numFmtId="165" fontId="2" fillId="4" borderId="1" xfId="1" applyNumberFormat="1" applyFont="1" applyFill="1" applyBorder="1"/>
    <xf numFmtId="165" fontId="2" fillId="4" borderId="2" xfId="1" applyNumberFormat="1" applyFont="1" applyFill="1" applyBorder="1"/>
    <xf numFmtId="9" fontId="0" fillId="10" borderId="0" xfId="5" applyFont="1" applyFill="1" applyBorder="1"/>
    <xf numFmtId="0" fontId="8" fillId="9" borderId="0" xfId="6" applyFont="1" applyFill="1" applyBorder="1" applyAlignment="1">
      <alignment horizontal="center" vertical="justify"/>
    </xf>
    <xf numFmtId="165" fontId="7" fillId="9" borderId="0" xfId="6" applyNumberFormat="1" applyFont="1" applyFill="1" applyBorder="1"/>
    <xf numFmtId="165" fontId="8" fillId="9" borderId="0" xfId="6" applyNumberFormat="1" applyFont="1" applyFill="1" applyBorder="1"/>
    <xf numFmtId="0" fontId="8" fillId="9" borderId="0" xfId="7" applyFont="1" applyFill="1" applyBorder="1"/>
    <xf numFmtId="0" fontId="9" fillId="9" borderId="0" xfId="7" applyFont="1" applyFill="1" applyBorder="1"/>
    <xf numFmtId="165" fontId="8" fillId="8" borderId="0" xfId="6" applyNumberFormat="1" applyFont="1" applyFill="1" applyBorder="1"/>
    <xf numFmtId="0" fontId="12" fillId="8" borderId="0" xfId="6" applyFont="1" applyFill="1" applyBorder="1" applyAlignment="1">
      <alignment horizontal="center" vertical="justify"/>
    </xf>
    <xf numFmtId="0" fontId="2" fillId="2" borderId="1" xfId="0" applyFont="1" applyFill="1" applyBorder="1"/>
    <xf numFmtId="165" fontId="2" fillId="2" borderId="1" xfId="1" applyNumberFormat="1" applyFont="1" applyFill="1" applyBorder="1"/>
    <xf numFmtId="9" fontId="0" fillId="2" borderId="1" xfId="5" applyFont="1" applyFill="1" applyBorder="1"/>
    <xf numFmtId="9" fontId="0" fillId="3" borderId="0" xfId="5" applyFont="1" applyFill="1" applyBorder="1"/>
    <xf numFmtId="0" fontId="8" fillId="2" borderId="1" xfId="6" applyFont="1" applyFill="1" applyBorder="1"/>
    <xf numFmtId="165" fontId="8" fillId="2" borderId="1" xfId="1" applyNumberFormat="1" applyFont="1" applyFill="1" applyBorder="1"/>
    <xf numFmtId="0" fontId="6" fillId="11" borderId="0" xfId="0" applyFont="1" applyFill="1" applyBorder="1"/>
    <xf numFmtId="0" fontId="0" fillId="11" borderId="0" xfId="0" applyFont="1" applyFill="1" applyBorder="1"/>
    <xf numFmtId="0" fontId="2" fillId="11" borderId="0" xfId="0" applyFont="1" applyFill="1" applyBorder="1"/>
    <xf numFmtId="0" fontId="2" fillId="11" borderId="1" xfId="0" applyFont="1" applyFill="1" applyBorder="1"/>
    <xf numFmtId="165" fontId="0" fillId="3" borderId="0" xfId="0" applyNumberFormat="1" applyFont="1" applyFill="1" applyBorder="1"/>
    <xf numFmtId="165" fontId="0" fillId="5" borderId="0" xfId="0" applyNumberFormat="1" applyFont="1" applyFill="1" applyBorder="1"/>
    <xf numFmtId="165" fontId="0" fillId="5" borderId="0" xfId="0" applyNumberFormat="1" applyFont="1" applyFill="1"/>
    <xf numFmtId="0" fontId="0" fillId="5" borderId="0" xfId="0" applyFill="1"/>
    <xf numFmtId="9" fontId="0" fillId="2" borderId="0" xfId="5" applyFont="1" applyFill="1" applyBorder="1"/>
    <xf numFmtId="165" fontId="0" fillId="0" borderId="0" xfId="1" applyNumberFormat="1" applyFont="1" applyFill="1" applyBorder="1"/>
    <xf numFmtId="165" fontId="2" fillId="0" borderId="0" xfId="1" applyNumberFormat="1" applyFont="1" applyFill="1" applyBorder="1"/>
    <xf numFmtId="0" fontId="2" fillId="11" borderId="2" xfId="0" applyFont="1" applyFill="1" applyBorder="1"/>
    <xf numFmtId="0" fontId="12" fillId="8" borderId="3" xfId="6" applyFont="1" applyFill="1" applyBorder="1" applyAlignment="1">
      <alignment horizontal="center" vertical="justify"/>
    </xf>
    <xf numFmtId="0" fontId="8" fillId="9" borderId="3" xfId="6" applyFont="1" applyFill="1" applyBorder="1" applyAlignment="1">
      <alignment horizontal="center" vertical="justify"/>
    </xf>
    <xf numFmtId="0" fontId="7" fillId="9" borderId="3" xfId="6" applyFont="1" applyFill="1" applyBorder="1"/>
    <xf numFmtId="165" fontId="7" fillId="9" borderId="3" xfId="6" applyNumberFormat="1" applyFont="1" applyFill="1" applyBorder="1"/>
    <xf numFmtId="165" fontId="8" fillId="9" borderId="3" xfId="6" applyNumberFormat="1" applyFont="1" applyFill="1" applyBorder="1"/>
    <xf numFmtId="0" fontId="7" fillId="9" borderId="3" xfId="7" applyFont="1" applyFill="1" applyBorder="1"/>
    <xf numFmtId="0" fontId="9" fillId="9" borderId="3" xfId="7" applyFont="1" applyFill="1" applyBorder="1"/>
    <xf numFmtId="165" fontId="8" fillId="8" borderId="3" xfId="6" applyNumberFormat="1" applyFont="1" applyFill="1" applyBorder="1"/>
    <xf numFmtId="0" fontId="12" fillId="8" borderId="4" xfId="6" applyFont="1" applyFill="1" applyBorder="1" applyAlignment="1">
      <alignment horizontal="center" vertical="justify"/>
    </xf>
    <xf numFmtId="0" fontId="8" fillId="9" borderId="4" xfId="6" applyFont="1" applyFill="1" applyBorder="1" applyAlignment="1">
      <alignment horizontal="center" vertical="justify"/>
    </xf>
    <xf numFmtId="0" fontId="8" fillId="9" borderId="4" xfId="6" applyFont="1" applyFill="1" applyBorder="1"/>
    <xf numFmtId="0" fontId="7" fillId="9" borderId="4" xfId="6" applyFont="1" applyFill="1" applyBorder="1"/>
    <xf numFmtId="165" fontId="7" fillId="9" borderId="4" xfId="6" applyNumberFormat="1" applyFont="1" applyFill="1" applyBorder="1"/>
    <xf numFmtId="165" fontId="8" fillId="9" borderId="4" xfId="6" applyNumberFormat="1" applyFont="1" applyFill="1" applyBorder="1"/>
    <xf numFmtId="0" fontId="8" fillId="9" borderId="4" xfId="7" applyFont="1" applyFill="1" applyBorder="1"/>
    <xf numFmtId="0" fontId="9" fillId="9" borderId="4" xfId="7" applyFont="1" applyFill="1" applyBorder="1"/>
    <xf numFmtId="165" fontId="8" fillId="8" borderId="4" xfId="6" applyNumberFormat="1" applyFont="1" applyFill="1" applyBorder="1"/>
    <xf numFmtId="165" fontId="7" fillId="9" borderId="4" xfId="8" applyNumberFormat="1" applyFont="1" applyFill="1" applyBorder="1" applyAlignment="1">
      <alignment horizontal="right"/>
    </xf>
    <xf numFmtId="165" fontId="7" fillId="9" borderId="4" xfId="8" applyNumberFormat="1" applyFont="1" applyFill="1" applyBorder="1"/>
    <xf numFmtId="0" fontId="7" fillId="9" borderId="4" xfId="7" applyFont="1" applyFill="1" applyBorder="1"/>
    <xf numFmtId="167" fontId="0" fillId="11" borderId="2" xfId="5" applyNumberFormat="1" applyFont="1" applyFill="1" applyBorder="1"/>
    <xf numFmtId="167" fontId="0" fillId="11" borderId="1" xfId="5" applyNumberFormat="1" applyFont="1" applyFill="1" applyBorder="1"/>
    <xf numFmtId="0" fontId="13" fillId="0" borderId="0" xfId="0" applyFont="1" applyFill="1" applyBorder="1"/>
    <xf numFmtId="166" fontId="0" fillId="0" borderId="0" xfId="0" applyNumberFormat="1" applyFont="1" applyBorder="1"/>
    <xf numFmtId="0" fontId="8" fillId="2" borderId="0" xfId="6" quotePrefix="1" applyFont="1" applyFill="1" applyBorder="1" applyAlignment="1">
      <alignment horizontal="right"/>
    </xf>
    <xf numFmtId="0" fontId="8" fillId="4" borderId="0" xfId="6" quotePrefix="1" applyFont="1" applyFill="1" applyBorder="1" applyAlignment="1">
      <alignment horizontal="right"/>
    </xf>
    <xf numFmtId="1" fontId="2" fillId="11" borderId="0" xfId="0" applyNumberFormat="1" applyFont="1" applyFill="1" applyBorder="1"/>
    <xf numFmtId="165" fontId="2" fillId="2" borderId="0" xfId="1" applyNumberFormat="1" applyFont="1" applyFill="1" applyBorder="1"/>
    <xf numFmtId="164" fontId="0" fillId="0" borderId="0" xfId="0" applyNumberFormat="1" applyFont="1" applyBorder="1"/>
    <xf numFmtId="165" fontId="2" fillId="11" borderId="1" xfId="1" applyNumberFormat="1" applyFont="1" applyFill="1" applyBorder="1"/>
    <xf numFmtId="165" fontId="2" fillId="11" borderId="2" xfId="1" applyNumberFormat="1" applyFont="1" applyFill="1" applyBorder="1"/>
    <xf numFmtId="0" fontId="7" fillId="6" borderId="0" xfId="6" applyFont="1" applyFill="1" applyBorder="1"/>
    <xf numFmtId="0" fontId="0" fillId="7" borderId="0" xfId="0" applyFont="1" applyFill="1" applyBorder="1"/>
    <xf numFmtId="2" fontId="7" fillId="6" borderId="0" xfId="7" applyNumberFormat="1" applyFont="1" applyFill="1" applyBorder="1"/>
    <xf numFmtId="165" fontId="8" fillId="2" borderId="1" xfId="9" applyNumberFormat="1" applyFont="1" applyFill="1" applyBorder="1"/>
    <xf numFmtId="0" fontId="8" fillId="2" borderId="0" xfId="6" quotePrefix="1" applyFont="1" applyFill="1" applyBorder="1" applyAlignment="1">
      <alignment horizontal="right"/>
    </xf>
    <xf numFmtId="0" fontId="8" fillId="4" borderId="0" xfId="6" quotePrefix="1" applyFont="1" applyFill="1" applyBorder="1" applyAlignment="1">
      <alignment horizontal="right"/>
    </xf>
    <xf numFmtId="0" fontId="8" fillId="9" borderId="0" xfId="6" applyFont="1" applyFill="1" applyBorder="1"/>
    <xf numFmtId="0" fontId="7" fillId="9" borderId="0" xfId="6" applyFont="1" applyFill="1" applyBorder="1"/>
    <xf numFmtId="0" fontId="8" fillId="9" borderId="0" xfId="6" applyFont="1" applyFill="1" applyBorder="1" applyAlignment="1">
      <alignment horizontal="center" vertical="justify"/>
    </xf>
    <xf numFmtId="165" fontId="8" fillId="8" borderId="0" xfId="6" applyNumberFormat="1" applyFont="1" applyFill="1" applyBorder="1"/>
    <xf numFmtId="0" fontId="12" fillId="8" borderId="0" xfId="6" applyFont="1" applyFill="1" applyBorder="1" applyAlignment="1">
      <alignment horizontal="center" vertical="justify"/>
    </xf>
    <xf numFmtId="0" fontId="12" fillId="8" borderId="3" xfId="6" applyFont="1" applyFill="1" applyBorder="1" applyAlignment="1">
      <alignment horizontal="center" vertical="justify"/>
    </xf>
    <xf numFmtId="0" fontId="8" fillId="9" borderId="3" xfId="6" applyFont="1" applyFill="1" applyBorder="1" applyAlignment="1">
      <alignment horizontal="center" vertical="justify"/>
    </xf>
    <xf numFmtId="0" fontId="7" fillId="9" borderId="3" xfId="6" applyFont="1" applyFill="1" applyBorder="1"/>
    <xf numFmtId="165" fontId="8" fillId="8" borderId="3" xfId="6" applyNumberFormat="1" applyFont="1" applyFill="1" applyBorder="1"/>
    <xf numFmtId="165" fontId="7" fillId="3" borderId="0" xfId="9" applyNumberFormat="1" applyFont="1" applyFill="1" applyBorder="1"/>
    <xf numFmtId="0" fontId="0" fillId="0" borderId="0" xfId="0" applyFont="1"/>
    <xf numFmtId="0" fontId="0" fillId="0" borderId="0" xfId="0" applyFont="1" applyBorder="1"/>
    <xf numFmtId="0" fontId="0" fillId="6" borderId="0" xfId="0" applyFont="1" applyFill="1" applyBorder="1"/>
    <xf numFmtId="165" fontId="7" fillId="3" borderId="0" xfId="9" applyNumberFormat="1" applyFont="1" applyFill="1" applyBorder="1"/>
    <xf numFmtId="0" fontId="2" fillId="7" borderId="0" xfId="0" applyFont="1" applyFill="1"/>
    <xf numFmtId="0" fontId="2" fillId="4" borderId="0" xfId="0" applyFont="1" applyFill="1"/>
    <xf numFmtId="0" fontId="8" fillId="8" borderId="0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right"/>
    </xf>
    <xf numFmtId="0" fontId="8" fillId="8" borderId="0" xfId="0" applyFont="1" applyFill="1" applyBorder="1"/>
    <xf numFmtId="165" fontId="0" fillId="5" borderId="0" xfId="0" applyNumberFormat="1" applyFont="1" applyFill="1" applyBorder="1"/>
    <xf numFmtId="165" fontId="0" fillId="5" borderId="0" xfId="0" applyNumberFormat="1" applyFont="1" applyFill="1"/>
    <xf numFmtId="165" fontId="7" fillId="0" borderId="0" xfId="9" applyNumberFormat="1" applyFont="1" applyFill="1" applyBorder="1"/>
    <xf numFmtId="165" fontId="8" fillId="0" borderId="0" xfId="9" applyNumberFormat="1" applyFont="1" applyFill="1" applyBorder="1"/>
    <xf numFmtId="0" fontId="0" fillId="9" borderId="0" xfId="0" applyFont="1" applyFill="1" applyBorder="1" applyProtection="1">
      <protection locked="0"/>
    </xf>
    <xf numFmtId="0" fontId="2" fillId="8" borderId="0" xfId="0" applyFont="1" applyFill="1" applyBorder="1" applyProtection="1">
      <protection locked="0"/>
    </xf>
    <xf numFmtId="165" fontId="0" fillId="9" borderId="0" xfId="1" applyNumberFormat="1" applyFont="1" applyFill="1" applyBorder="1" applyProtection="1">
      <protection locked="0"/>
    </xf>
    <xf numFmtId="165" fontId="7" fillId="9" borderId="4" xfId="8" applyNumberFormat="1" applyFont="1" applyFill="1" applyBorder="1" applyAlignment="1" applyProtection="1">
      <alignment horizontal="right"/>
      <protection locked="0"/>
    </xf>
    <xf numFmtId="165" fontId="7" fillId="9" borderId="3" xfId="6" applyNumberFormat="1" applyFont="1" applyFill="1" applyBorder="1" applyProtection="1">
      <protection locked="0"/>
    </xf>
    <xf numFmtId="165" fontId="7" fillId="9" borderId="0" xfId="8" applyNumberFormat="1" applyFont="1" applyFill="1" applyBorder="1" applyAlignment="1" applyProtection="1">
      <alignment horizontal="right"/>
      <protection locked="0"/>
    </xf>
    <xf numFmtId="165" fontId="7" fillId="9" borderId="0" xfId="11" applyNumberFormat="1" applyFont="1" applyFill="1" applyBorder="1" applyAlignment="1" applyProtection="1">
      <alignment horizontal="right"/>
      <protection locked="0"/>
    </xf>
    <xf numFmtId="165" fontId="7" fillId="9" borderId="4" xfId="8" applyNumberFormat="1" applyFont="1" applyFill="1" applyBorder="1" applyProtection="1">
      <protection locked="0"/>
    </xf>
    <xf numFmtId="165" fontId="7" fillId="9" borderId="0" xfId="8" applyNumberFormat="1" applyFont="1" applyFill="1" applyBorder="1" applyProtection="1">
      <protection locked="0"/>
    </xf>
    <xf numFmtId="165" fontId="7" fillId="9" borderId="0" xfId="11" applyNumberFormat="1" applyFont="1" applyFill="1" applyBorder="1" applyProtection="1">
      <protection locked="0"/>
    </xf>
    <xf numFmtId="165" fontId="8" fillId="9" borderId="4" xfId="6" applyNumberFormat="1" applyFont="1" applyFill="1" applyBorder="1" applyProtection="1">
      <protection locked="0"/>
    </xf>
    <xf numFmtId="165" fontId="8" fillId="9" borderId="3" xfId="6" applyNumberFormat="1" applyFont="1" applyFill="1" applyBorder="1" applyProtection="1">
      <protection locked="0"/>
    </xf>
    <xf numFmtId="165" fontId="8" fillId="9" borderId="0" xfId="6" applyNumberFormat="1" applyFont="1" applyFill="1" applyBorder="1" applyProtection="1">
      <protection locked="0"/>
    </xf>
    <xf numFmtId="0" fontId="7" fillId="9" borderId="4" xfId="6" applyFont="1" applyFill="1" applyBorder="1" applyProtection="1">
      <protection locked="0"/>
    </xf>
    <xf numFmtId="0" fontId="7" fillId="9" borderId="3" xfId="6" applyFont="1" applyFill="1" applyBorder="1" applyProtection="1">
      <protection locked="0"/>
    </xf>
    <xf numFmtId="0" fontId="7" fillId="9" borderId="0" xfId="6" applyFont="1" applyFill="1" applyBorder="1" applyProtection="1">
      <protection locked="0"/>
    </xf>
    <xf numFmtId="0" fontId="8" fillId="9" borderId="4" xfId="6" applyFont="1" applyFill="1" applyBorder="1" applyProtection="1">
      <protection locked="0"/>
    </xf>
    <xf numFmtId="0" fontId="8" fillId="9" borderId="0" xfId="6" applyFont="1" applyFill="1" applyBorder="1" applyProtection="1">
      <protection locked="0"/>
    </xf>
    <xf numFmtId="165" fontId="7" fillId="9" borderId="4" xfId="6" applyNumberFormat="1" applyFont="1" applyFill="1" applyBorder="1" applyProtection="1">
      <protection locked="0"/>
    </xf>
    <xf numFmtId="165" fontId="7" fillId="9" borderId="0" xfId="6" applyNumberFormat="1" applyFont="1" applyFill="1" applyBorder="1" applyProtection="1">
      <protection locked="0"/>
    </xf>
    <xf numFmtId="0" fontId="8" fillId="9" borderId="4" xfId="7" applyFont="1" applyFill="1" applyBorder="1" applyProtection="1">
      <protection locked="0"/>
    </xf>
    <xf numFmtId="0" fontId="8" fillId="9" borderId="0" xfId="7" applyFont="1" applyFill="1" applyBorder="1" applyProtection="1">
      <protection locked="0"/>
    </xf>
    <xf numFmtId="0" fontId="7" fillId="9" borderId="4" xfId="7" applyFont="1" applyFill="1" applyBorder="1" applyProtection="1">
      <protection locked="0"/>
    </xf>
    <xf numFmtId="0" fontId="7" fillId="9" borderId="0" xfId="7" applyFont="1" applyFill="1" applyBorder="1" applyProtection="1">
      <protection locked="0"/>
    </xf>
    <xf numFmtId="0" fontId="7" fillId="9" borderId="3" xfId="7" applyFont="1" applyFill="1" applyBorder="1" applyProtection="1">
      <protection locked="0"/>
    </xf>
    <xf numFmtId="0" fontId="9" fillId="9" borderId="4" xfId="7" applyFont="1" applyFill="1" applyBorder="1" applyProtection="1">
      <protection locked="0"/>
    </xf>
    <xf numFmtId="0" fontId="9" fillId="9" borderId="3" xfId="7" applyFont="1" applyFill="1" applyBorder="1" applyProtection="1">
      <protection locked="0"/>
    </xf>
    <xf numFmtId="0" fontId="9" fillId="9" borderId="0" xfId="7" applyFont="1" applyFill="1" applyBorder="1" applyProtection="1">
      <protection locked="0"/>
    </xf>
    <xf numFmtId="165" fontId="7" fillId="9" borderId="0" xfId="4" applyNumberFormat="1" applyFont="1" applyFill="1" applyBorder="1" applyProtection="1">
      <protection locked="0"/>
    </xf>
    <xf numFmtId="165" fontId="0" fillId="9" borderId="2" xfId="1" applyNumberFormat="1" applyFont="1" applyFill="1" applyBorder="1" applyProtection="1">
      <protection locked="0"/>
    </xf>
    <xf numFmtId="165" fontId="0" fillId="9" borderId="0" xfId="1" applyNumberFormat="1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Protection="1">
      <protection locked="0"/>
    </xf>
    <xf numFmtId="0" fontId="8" fillId="8" borderId="1" xfId="0" applyFont="1" applyFill="1" applyBorder="1" applyAlignment="1">
      <alignment wrapText="1"/>
    </xf>
    <xf numFmtId="165" fontId="8" fillId="8" borderId="1" xfId="0" applyNumberFormat="1" applyFont="1" applyFill="1" applyBorder="1"/>
    <xf numFmtId="0" fontId="8" fillId="8" borderId="2" xfId="0" applyFont="1" applyFill="1" applyBorder="1" applyAlignment="1"/>
    <xf numFmtId="165" fontId="2" fillId="8" borderId="2" xfId="1" applyNumberFormat="1" applyFont="1" applyFill="1" applyBorder="1" applyAlignment="1"/>
    <xf numFmtId="165" fontId="2" fillId="8" borderId="2" xfId="1" applyNumberFormat="1" applyFont="1" applyFill="1" applyBorder="1"/>
    <xf numFmtId="0" fontId="8" fillId="8" borderId="1" xfId="0" applyFont="1" applyFill="1" applyBorder="1" applyAlignment="1"/>
    <xf numFmtId="166" fontId="2" fillId="8" borderId="1" xfId="0" applyNumberFormat="1" applyFont="1" applyFill="1" applyBorder="1" applyAlignment="1">
      <alignment vertical="center"/>
    </xf>
    <xf numFmtId="0" fontId="8" fillId="8" borderId="1" xfId="0" applyFont="1" applyFill="1" applyBorder="1"/>
    <xf numFmtId="166" fontId="8" fillId="8" borderId="1" xfId="3" applyNumberFormat="1" applyFont="1" applyFill="1" applyBorder="1"/>
    <xf numFmtId="166" fontId="2" fillId="8" borderId="1" xfId="0" applyNumberFormat="1" applyFont="1" applyFill="1" applyBorder="1"/>
    <xf numFmtId="0" fontId="7" fillId="6" borderId="0" xfId="7" applyFont="1" applyFill="1" applyBorder="1" applyProtection="1">
      <protection locked="0"/>
    </xf>
    <xf numFmtId="9" fontId="8" fillId="4" borderId="1" xfId="5" applyNumberFormat="1" applyFont="1" applyFill="1" applyBorder="1"/>
    <xf numFmtId="0" fontId="6" fillId="4" borderId="1" xfId="0" applyFont="1" applyFill="1" applyBorder="1"/>
    <xf numFmtId="168" fontId="10" fillId="4" borderId="1" xfId="5" applyNumberFormat="1" applyFont="1" applyFill="1" applyBorder="1"/>
    <xf numFmtId="168" fontId="14" fillId="4" borderId="1" xfId="5" applyNumberFormat="1" applyFont="1" applyFill="1" applyBorder="1"/>
    <xf numFmtId="168" fontId="15" fillId="4" borderId="1" xfId="5" applyNumberFormat="1" applyFont="1" applyFill="1" applyBorder="1"/>
    <xf numFmtId="165" fontId="0" fillId="0" borderId="0" xfId="0" applyNumberFormat="1" applyFont="1" applyBorder="1"/>
    <xf numFmtId="0" fontId="0" fillId="0" borderId="0" xfId="0" applyFill="1"/>
    <xf numFmtId="9" fontId="0" fillId="0" borderId="0" xfId="5" applyFont="1" applyFill="1" applyBorder="1"/>
    <xf numFmtId="165" fontId="7" fillId="9" borderId="0" xfId="14" applyNumberFormat="1" applyFont="1" applyFill="1" applyBorder="1" applyProtection="1">
      <protection locked="0"/>
    </xf>
    <xf numFmtId="165" fontId="7" fillId="9" borderId="4" xfId="18" applyNumberFormat="1" applyFont="1" applyFill="1" applyBorder="1" applyAlignment="1" applyProtection="1">
      <alignment horizontal="right"/>
      <protection locked="0"/>
    </xf>
    <xf numFmtId="165" fontId="7" fillId="9" borderId="3" xfId="6" applyNumberFormat="1" applyFont="1" applyFill="1" applyBorder="1" applyProtection="1">
      <protection locked="0"/>
    </xf>
    <xf numFmtId="165" fontId="7" fillId="9" borderId="4" xfId="18" applyNumberFormat="1" applyFont="1" applyFill="1" applyBorder="1" applyProtection="1">
      <protection locked="0"/>
    </xf>
    <xf numFmtId="165" fontId="8" fillId="9" borderId="4" xfId="6" applyNumberFormat="1" applyFont="1" applyFill="1" applyBorder="1" applyProtection="1">
      <protection locked="0"/>
    </xf>
    <xf numFmtId="165" fontId="8" fillId="9" borderId="3" xfId="6" applyNumberFormat="1" applyFont="1" applyFill="1" applyBorder="1" applyProtection="1">
      <protection locked="0"/>
    </xf>
    <xf numFmtId="0" fontId="7" fillId="9" borderId="4" xfId="6" applyFont="1" applyFill="1" applyBorder="1" applyProtection="1">
      <protection locked="0"/>
    </xf>
    <xf numFmtId="0" fontId="7" fillId="9" borderId="3" xfId="6" applyFont="1" applyFill="1" applyBorder="1" applyProtection="1">
      <protection locked="0"/>
    </xf>
    <xf numFmtId="0" fontId="8" fillId="9" borderId="4" xfId="6" applyFont="1" applyFill="1" applyBorder="1" applyProtection="1">
      <protection locked="0"/>
    </xf>
    <xf numFmtId="165" fontId="7" fillId="9" borderId="4" xfId="6" applyNumberFormat="1" applyFont="1" applyFill="1" applyBorder="1" applyProtection="1">
      <protection locked="0"/>
    </xf>
    <xf numFmtId="0" fontId="8" fillId="9" borderId="4" xfId="7" applyFont="1" applyFill="1" applyBorder="1" applyProtection="1">
      <protection locked="0"/>
    </xf>
    <xf numFmtId="0" fontId="7" fillId="9" borderId="4" xfId="7" applyFont="1" applyFill="1" applyBorder="1" applyProtection="1">
      <protection locked="0"/>
    </xf>
    <xf numFmtId="0" fontId="7" fillId="9" borderId="3" xfId="7" applyFont="1" applyFill="1" applyBorder="1" applyProtection="1">
      <protection locked="0"/>
    </xf>
    <xf numFmtId="0" fontId="9" fillId="9" borderId="4" xfId="7" applyFont="1" applyFill="1" applyBorder="1" applyProtection="1">
      <protection locked="0"/>
    </xf>
    <xf numFmtId="0" fontId="9" fillId="9" borderId="3" xfId="7" applyFont="1" applyFill="1" applyBorder="1" applyProtection="1">
      <protection locked="0"/>
    </xf>
    <xf numFmtId="165" fontId="0" fillId="9" borderId="0" xfId="0" applyNumberFormat="1" applyFont="1" applyFill="1" applyBorder="1" applyProtection="1">
      <protection locked="0"/>
    </xf>
    <xf numFmtId="9" fontId="0" fillId="0" borderId="0" xfId="5" applyFont="1"/>
    <xf numFmtId="9" fontId="0" fillId="0" borderId="0" xfId="0" applyNumberFormat="1"/>
    <xf numFmtId="164" fontId="7" fillId="0" borderId="0" xfId="7" applyNumberFormat="1" applyFont="1" applyBorder="1"/>
    <xf numFmtId="164" fontId="0" fillId="0" borderId="0" xfId="0" applyNumberFormat="1" applyFont="1"/>
    <xf numFmtId="165" fontId="1" fillId="9" borderId="0" xfId="1" applyNumberFormat="1" applyFont="1" applyFill="1" applyBorder="1" applyProtection="1">
      <protection locked="0"/>
    </xf>
    <xf numFmtId="165" fontId="7" fillId="9" borderId="0" xfId="1" applyNumberFormat="1" applyFont="1" applyFill="1" applyBorder="1" applyProtection="1">
      <protection locked="0"/>
    </xf>
    <xf numFmtId="166" fontId="0" fillId="9" borderId="0" xfId="1" applyNumberFormat="1" applyFont="1" applyFill="1" applyBorder="1" applyProtection="1">
      <protection locked="0"/>
    </xf>
    <xf numFmtId="0" fontId="0" fillId="9" borderId="5" xfId="0" applyFill="1" applyBorder="1"/>
    <xf numFmtId="0" fontId="0" fillId="9" borderId="6" xfId="0" applyFont="1" applyFill="1" applyBorder="1"/>
    <xf numFmtId="165" fontId="0" fillId="9" borderId="6" xfId="1" applyNumberFormat="1" applyFont="1" applyFill="1" applyBorder="1" applyProtection="1">
      <protection locked="0"/>
    </xf>
    <xf numFmtId="165" fontId="0" fillId="9" borderId="6" xfId="1" applyNumberFormat="1" applyFont="1" applyFill="1" applyBorder="1"/>
    <xf numFmtId="165" fontId="0" fillId="9" borderId="7" xfId="1" applyNumberFormat="1" applyFont="1" applyFill="1" applyBorder="1" applyProtection="1">
      <protection locked="0"/>
    </xf>
    <xf numFmtId="0" fontId="0" fillId="9" borderId="8" xfId="0" applyFill="1" applyBorder="1"/>
    <xf numFmtId="165" fontId="0" fillId="9" borderId="9" xfId="1" applyNumberFormat="1" applyFont="1" applyFill="1" applyBorder="1" applyProtection="1">
      <protection locked="0"/>
    </xf>
    <xf numFmtId="0" fontId="0" fillId="9" borderId="10" xfId="0" applyFill="1" applyBorder="1"/>
    <xf numFmtId="165" fontId="0" fillId="9" borderId="11" xfId="1" applyNumberFormat="1" applyFont="1" applyFill="1" applyBorder="1" applyProtection="1">
      <protection locked="0"/>
    </xf>
    <xf numFmtId="164" fontId="0" fillId="9" borderId="0" xfId="1" applyNumberFormat="1" applyFont="1" applyFill="1" applyBorder="1" applyProtection="1">
      <protection locked="0"/>
    </xf>
    <xf numFmtId="3" fontId="0" fillId="9" borderId="0" xfId="0" applyNumberFormat="1" applyFont="1" applyFill="1" applyBorder="1" applyProtection="1">
      <protection locked="0"/>
    </xf>
    <xf numFmtId="168" fontId="16" fillId="4" borderId="1" xfId="5" applyNumberFormat="1" applyFont="1" applyFill="1" applyBorder="1"/>
    <xf numFmtId="0" fontId="8" fillId="8" borderId="0" xfId="6" applyFont="1" applyFill="1" applyBorder="1" applyAlignment="1">
      <alignment horizontal="center"/>
    </xf>
    <xf numFmtId="0" fontId="8" fillId="8" borderId="3" xfId="6" applyFont="1" applyFill="1" applyBorder="1" applyAlignment="1">
      <alignment horizontal="center"/>
    </xf>
    <xf numFmtId="0" fontId="8" fillId="8" borderId="4" xfId="6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/>
    </xf>
    <xf numFmtId="0" fontId="8" fillId="8" borderId="3" xfId="7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8" fillId="8" borderId="0" xfId="7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/>
  </cellXfs>
  <cellStyles count="19">
    <cellStyle name="1000-sep (2 dec) 2" xfId="3"/>
    <cellStyle name="1000-sep (2 dec) 2 2" xfId="10"/>
    <cellStyle name="1000-sep (2 dec) 2 2 2" xfId="17"/>
    <cellStyle name="1000-sep (2 dec) 2 3" xfId="13"/>
    <cellStyle name="1000-sep (2 dec) 3" xfId="8"/>
    <cellStyle name="1000-sep (2 dec) 3 2" xfId="11"/>
    <cellStyle name="1000-sep (2 dec) 3 2 2" xfId="18"/>
    <cellStyle name="1000-sep (2 dec) 3 3" xfId="15"/>
    <cellStyle name="1000-sep (2 dec) 4" xfId="9"/>
    <cellStyle name="1000-sep (2 dec) 4 2" xfId="16"/>
    <cellStyle name="1000-sep (2 dec)_Ark1" xfId="4"/>
    <cellStyle name="1000-sep (2 dec)_Ark1 2" xfId="14"/>
    <cellStyle name="Komma" xfId="1" builtinId="3"/>
    <cellStyle name="Normal" xfId="0" builtinId="0"/>
    <cellStyle name="Normal 2" xfId="2"/>
    <cellStyle name="Normal 2 2" xfId="7"/>
    <cellStyle name="Normal 2 3" xfId="12"/>
    <cellStyle name="Normal_Kommunale ejendomme samlet arbejdsdokument 2" xfId="6"/>
    <cellStyle name="Pro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 baseline="0">
                <a:latin typeface="Calibri" pitchFamily="34" charset="0"/>
              </a:defRPr>
            </a:pPr>
            <a:r>
              <a:rPr lang="da-DK" sz="2000" baseline="0">
                <a:latin typeface="Calibri" pitchFamily="34" charset="0"/>
              </a:rPr>
              <a:t>Energiforbrug (kWh)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'Energiforbrug (kWh)'!$A$3</c:f>
              <c:strCache>
                <c:ptCount val="1"/>
                <c:pt idx="0">
                  <c:v>Opvarmning</c:v>
                </c:pt>
              </c:strCache>
            </c:strRef>
          </c:tx>
          <c:invertIfNegative val="0"/>
          <c:cat>
            <c:numRef>
              <c:f>'Energiforbrug (kWh)'!$B$2:$J$2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'Energiforbrug (kWh)'!$B$3:$J$3</c:f>
              <c:numCache>
                <c:formatCode>_ * #,##0_ ;_ * \-#,##0_ ;_ * "-"??_ ;_ @_ </c:formatCode>
                <c:ptCount val="9"/>
                <c:pt idx="0">
                  <c:v>27843680.245109323</c:v>
                </c:pt>
                <c:pt idx="1">
                  <c:v>24609811.225621283</c:v>
                </c:pt>
                <c:pt idx="2">
                  <c:v>21821917.999426939</c:v>
                </c:pt>
                <c:pt idx="3">
                  <c:v>24142721.744237103</c:v>
                </c:pt>
                <c:pt idx="4">
                  <c:v>21830211.189581905</c:v>
                </c:pt>
                <c:pt idx="5">
                  <c:v>22436456.353494812</c:v>
                </c:pt>
                <c:pt idx="6">
                  <c:v>21596811.950947963</c:v>
                </c:pt>
                <c:pt idx="7">
                  <c:v>21665850.794381041</c:v>
                </c:pt>
                <c:pt idx="8">
                  <c:v>19742454.196357876</c:v>
                </c:pt>
              </c:numCache>
            </c:numRef>
          </c:val>
        </c:ser>
        <c:ser>
          <c:idx val="1"/>
          <c:order val="1"/>
          <c:tx>
            <c:strRef>
              <c:f>'Energiforbrug (kWh)'!$A$4</c:f>
              <c:strCache>
                <c:ptCount val="1"/>
                <c:pt idx="0">
                  <c:v>El-bygninger</c:v>
                </c:pt>
              </c:strCache>
            </c:strRef>
          </c:tx>
          <c:invertIfNegative val="0"/>
          <c:cat>
            <c:numRef>
              <c:f>'Energiforbrug (kWh)'!$B$2:$J$2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'Energiforbrug (kWh)'!$B$4:$J$4</c:f>
              <c:numCache>
                <c:formatCode>_ * #,##0_ ;_ * \-#,##0_ ;_ * "-"??_ ;_ @_ </c:formatCode>
                <c:ptCount val="9"/>
                <c:pt idx="0">
                  <c:v>6474854</c:v>
                </c:pt>
                <c:pt idx="1">
                  <c:v>6301838.4500000002</c:v>
                </c:pt>
                <c:pt idx="2">
                  <c:v>7178590</c:v>
                </c:pt>
                <c:pt idx="3">
                  <c:v>6482989</c:v>
                </c:pt>
                <c:pt idx="4">
                  <c:v>5829703</c:v>
                </c:pt>
                <c:pt idx="5">
                  <c:v>5280746</c:v>
                </c:pt>
                <c:pt idx="6">
                  <c:v>5570910</c:v>
                </c:pt>
                <c:pt idx="7">
                  <c:v>5220273</c:v>
                </c:pt>
                <c:pt idx="8">
                  <c:v>5229493</c:v>
                </c:pt>
              </c:numCache>
            </c:numRef>
          </c:val>
        </c:ser>
        <c:ser>
          <c:idx val="2"/>
          <c:order val="2"/>
          <c:tx>
            <c:strRef>
              <c:f>'Energiforbrug (kWh)'!$A$5</c:f>
              <c:strCache>
                <c:ptCount val="1"/>
                <c:pt idx="0">
                  <c:v>Kørsel</c:v>
                </c:pt>
              </c:strCache>
            </c:strRef>
          </c:tx>
          <c:invertIfNegative val="0"/>
          <c:cat>
            <c:numRef>
              <c:f>'Energiforbrug (kWh)'!$B$2:$J$2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'Energiforbrug (kWh)'!$B$5:$J$5</c:f>
              <c:numCache>
                <c:formatCode>_ * #,##0_ ;_ * \-#,##0_ ;_ * "-"??_ ;_ @_ </c:formatCode>
                <c:ptCount val="9"/>
                <c:pt idx="0">
                  <c:v>5987637.3478260869</c:v>
                </c:pt>
                <c:pt idx="1">
                  <c:v>5831122.2352173915</c:v>
                </c:pt>
                <c:pt idx="2">
                  <c:v>6308172.3952173926</c:v>
                </c:pt>
                <c:pt idx="3">
                  <c:v>6235143.2239130447</c:v>
                </c:pt>
                <c:pt idx="4">
                  <c:v>6309522.7838043477</c:v>
                </c:pt>
                <c:pt idx="5">
                  <c:v>6433280.7352173915</c:v>
                </c:pt>
                <c:pt idx="6">
                  <c:v>6456049.3178260876</c:v>
                </c:pt>
                <c:pt idx="7">
                  <c:v>6250710.9365217397</c:v>
                </c:pt>
                <c:pt idx="8">
                  <c:v>6058784.75</c:v>
                </c:pt>
              </c:numCache>
            </c:numRef>
          </c:val>
        </c:ser>
        <c:ser>
          <c:idx val="3"/>
          <c:order val="3"/>
          <c:tx>
            <c:strRef>
              <c:f>'Energiforbrug (kWh)'!$A$6</c:f>
              <c:strCache>
                <c:ptCount val="1"/>
                <c:pt idx="0">
                  <c:v>Gadebelysning</c:v>
                </c:pt>
              </c:strCache>
            </c:strRef>
          </c:tx>
          <c:invertIfNegative val="0"/>
          <c:cat>
            <c:numRef>
              <c:f>'Energiforbrug (kWh)'!$B$2:$J$2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'Energiforbrug (kWh)'!$B$6:$J$6</c:f>
              <c:numCache>
                <c:formatCode>_ * #,##0_ ;_ * \-#,##0_ ;_ * "-"??_ ;_ @_ </c:formatCode>
                <c:ptCount val="9"/>
                <c:pt idx="0">
                  <c:v>2127619</c:v>
                </c:pt>
                <c:pt idx="1">
                  <c:v>1996593</c:v>
                </c:pt>
                <c:pt idx="2">
                  <c:v>2077517</c:v>
                </c:pt>
                <c:pt idx="3">
                  <c:v>1922884</c:v>
                </c:pt>
                <c:pt idx="4">
                  <c:v>1949860</c:v>
                </c:pt>
                <c:pt idx="5">
                  <c:v>1936023</c:v>
                </c:pt>
                <c:pt idx="6">
                  <c:v>1678645</c:v>
                </c:pt>
                <c:pt idx="7">
                  <c:v>1653465</c:v>
                </c:pt>
                <c:pt idx="8">
                  <c:v>1537929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626400"/>
        <c:axId val="277626792"/>
      </c:barChart>
      <c:lineChart>
        <c:grouping val="standard"/>
        <c:varyColors val="0"/>
        <c:ser>
          <c:idx val="4"/>
          <c:order val="4"/>
          <c:tx>
            <c:strRef>
              <c:f>'Energiforbrug (kWh)'!$A$8</c:f>
              <c:strCache>
                <c:ptCount val="1"/>
                <c:pt idx="0">
                  <c:v>Reduktionsmål</c:v>
                </c:pt>
              </c:strCache>
            </c:strRef>
          </c:tx>
          <c:spPr>
            <a:ln w="5715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cat>
            <c:numRef>
              <c:f>'Energiforbrug (kWh)'!$B$2:$J$2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'Energiforbrug (kWh)'!$B$8:$J$8</c:f>
              <c:numCache>
                <c:formatCode>_ * #,##0_ ;_ * \-#,##0_ ;_ * "-"??_ ;_ @_ </c:formatCode>
                <c:ptCount val="9"/>
                <c:pt idx="0">
                  <c:v>42433790.592935406</c:v>
                </c:pt>
                <c:pt idx="1">
                  <c:v>41585114.781076699</c:v>
                </c:pt>
                <c:pt idx="2">
                  <c:v>40753412.485455163</c:v>
                </c:pt>
                <c:pt idx="3">
                  <c:v>39938344.235746056</c:v>
                </c:pt>
                <c:pt idx="4">
                  <c:v>39139577.351031132</c:v>
                </c:pt>
                <c:pt idx="5">
                  <c:v>38356785.80401051</c:v>
                </c:pt>
                <c:pt idx="6">
                  <c:v>37589650.087930299</c:v>
                </c:pt>
                <c:pt idx="7">
                  <c:v>36837857.086171694</c:v>
                </c:pt>
                <c:pt idx="8">
                  <c:v>36101099.944448262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626400"/>
        <c:axId val="277626792"/>
      </c:lineChart>
      <c:catAx>
        <c:axId val="2776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 baseline="0">
                <a:latin typeface="Calibri" pitchFamily="34" charset="0"/>
              </a:defRPr>
            </a:pPr>
            <a:endParaRPr lang="da-DK"/>
          </a:p>
        </c:txPr>
        <c:crossAx val="277626792"/>
        <c:crosses val="autoZero"/>
        <c:auto val="1"/>
        <c:lblAlgn val="ctr"/>
        <c:lblOffset val="100"/>
        <c:noMultiLvlLbl val="0"/>
      </c:catAx>
      <c:valAx>
        <c:axId val="277626792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300" baseline="0">
                <a:latin typeface="Calibri" pitchFamily="34" charset="0"/>
              </a:defRPr>
            </a:pPr>
            <a:endParaRPr lang="da-DK"/>
          </a:p>
        </c:txPr>
        <c:crossAx val="277626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 baseline="0">
              <a:latin typeface="Calibri" pitchFamily="34" charset="0"/>
            </a:defRPr>
          </a:pPr>
          <a:endParaRPr lang="da-DK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da-DK" sz="2000"/>
              <a:t>CO</a:t>
            </a:r>
            <a:r>
              <a:rPr lang="da-DK" sz="2000" baseline="-25000"/>
              <a:t>2</a:t>
            </a:r>
            <a:r>
              <a:rPr lang="da-DK" sz="2000" baseline="0"/>
              <a:t> (ton)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'CO2-udledning (ton)'!$A$3</c:f>
              <c:strCache>
                <c:ptCount val="1"/>
                <c:pt idx="0">
                  <c:v>Opvarmning</c:v>
                </c:pt>
              </c:strCache>
            </c:strRef>
          </c:tx>
          <c:invertIfNegative val="0"/>
          <c:cat>
            <c:numRef>
              <c:f>'CO2-udledning (ton)'!$B$2:$J$2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'CO2-udledning (ton)'!$B$3:$J$3</c:f>
              <c:numCache>
                <c:formatCode>_ * #,##0_ ;_ * \-#,##0_ ;_ * "-"??_ ;_ @_ </c:formatCode>
                <c:ptCount val="9"/>
                <c:pt idx="0">
                  <c:v>3268.3264519928812</c:v>
                </c:pt>
                <c:pt idx="1">
                  <c:v>2946.8340681409313</c:v>
                </c:pt>
                <c:pt idx="2">
                  <c:v>2630.6225342922639</c:v>
                </c:pt>
                <c:pt idx="3">
                  <c:v>2594.5794876875889</c:v>
                </c:pt>
                <c:pt idx="4">
                  <c:v>2396.7208503177517</c:v>
                </c:pt>
                <c:pt idx="5">
                  <c:v>2306.7174779862562</c:v>
                </c:pt>
                <c:pt idx="6">
                  <c:v>2226.3892332090522</c:v>
                </c:pt>
                <c:pt idx="7">
                  <c:v>2166.2535116118174</c:v>
                </c:pt>
                <c:pt idx="8">
                  <c:v>1993.9307988044341</c:v>
                </c:pt>
              </c:numCache>
            </c:numRef>
          </c:val>
        </c:ser>
        <c:ser>
          <c:idx val="1"/>
          <c:order val="1"/>
          <c:tx>
            <c:strRef>
              <c:f>'CO2-udledning (ton)'!$A$4</c:f>
              <c:strCache>
                <c:ptCount val="1"/>
                <c:pt idx="0">
                  <c:v>El-bygninger</c:v>
                </c:pt>
              </c:strCache>
            </c:strRef>
          </c:tx>
          <c:invertIfNegative val="0"/>
          <c:cat>
            <c:numRef>
              <c:f>'CO2-udledning (ton)'!$B$2:$J$2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'CO2-udledning (ton)'!$B$4:$J$4</c:f>
              <c:numCache>
                <c:formatCode>_ * #,##0_ ;_ * \-#,##0_ ;_ * "-"??_ ;_ @_ </c:formatCode>
                <c:ptCount val="9"/>
                <c:pt idx="0">
                  <c:v>3004.3322560000001</c:v>
                </c:pt>
                <c:pt idx="1">
                  <c:v>2961.8640715000001</c:v>
                </c:pt>
                <c:pt idx="2">
                  <c:v>3223.1869100000004</c:v>
                </c:pt>
                <c:pt idx="3">
                  <c:v>2450.5698420000003</c:v>
                </c:pt>
                <c:pt idx="4">
                  <c:v>1766.4000090000002</c:v>
                </c:pt>
                <c:pt idx="5">
                  <c:v>1990.8412420000002</c:v>
                </c:pt>
                <c:pt idx="6">
                  <c:v>1693.5566399999998</c:v>
                </c:pt>
                <c:pt idx="7">
                  <c:v>1054.495146</c:v>
                </c:pt>
                <c:pt idx="8">
                  <c:v>1270.7667990000002</c:v>
                </c:pt>
              </c:numCache>
            </c:numRef>
          </c:val>
        </c:ser>
        <c:ser>
          <c:idx val="2"/>
          <c:order val="2"/>
          <c:tx>
            <c:strRef>
              <c:f>'CO2-udledning (ton)'!$A$5</c:f>
              <c:strCache>
                <c:ptCount val="1"/>
                <c:pt idx="0">
                  <c:v>Kørsel</c:v>
                </c:pt>
              </c:strCache>
            </c:strRef>
          </c:tx>
          <c:invertIfNegative val="0"/>
          <c:cat>
            <c:numRef>
              <c:f>'CO2-udledning (ton)'!$B$2:$J$2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'CO2-udledning (ton)'!$B$5:$J$5</c:f>
              <c:numCache>
                <c:formatCode>_ * #,##0_ ;_ * \-#,##0_ ;_ * "-"??_ ;_ @_ </c:formatCode>
                <c:ptCount val="9"/>
                <c:pt idx="0">
                  <c:v>1493.0264099999999</c:v>
                </c:pt>
                <c:pt idx="1">
                  <c:v>1462.849111</c:v>
                </c:pt>
                <c:pt idx="2">
                  <c:v>1592.9564400000004</c:v>
                </c:pt>
                <c:pt idx="3">
                  <c:v>1567.9259884999999</c:v>
                </c:pt>
                <c:pt idx="4">
                  <c:v>1574.3195780999999</c:v>
                </c:pt>
                <c:pt idx="5">
                  <c:v>1578.3646604999997</c:v>
                </c:pt>
                <c:pt idx="6">
                  <c:v>1581.8999540000002</c:v>
                </c:pt>
                <c:pt idx="7">
                  <c:v>1539.4828160000002</c:v>
                </c:pt>
                <c:pt idx="8">
                  <c:v>1476.9253899999999</c:v>
                </c:pt>
              </c:numCache>
            </c:numRef>
          </c:val>
        </c:ser>
        <c:ser>
          <c:idx val="3"/>
          <c:order val="3"/>
          <c:tx>
            <c:strRef>
              <c:f>'CO2-udledning (ton)'!$A$6</c:f>
              <c:strCache>
                <c:ptCount val="1"/>
                <c:pt idx="0">
                  <c:v>Gadebelysning</c:v>
                </c:pt>
              </c:strCache>
            </c:strRef>
          </c:tx>
          <c:invertIfNegative val="0"/>
          <c:cat>
            <c:numRef>
              <c:f>'CO2-udledning (ton)'!$B$2:$J$2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'CO2-udledning (ton)'!$B$6:$J$6</c:f>
              <c:numCache>
                <c:formatCode>_ * #,##0_ ;_ * \-#,##0_ ;_ * "-"??_ ;_ @_ </c:formatCode>
                <c:ptCount val="9"/>
                <c:pt idx="0">
                  <c:v>987.21521600000005</c:v>
                </c:pt>
                <c:pt idx="1">
                  <c:v>938.39870999999994</c:v>
                </c:pt>
                <c:pt idx="2">
                  <c:v>932.80513300000007</c:v>
                </c:pt>
                <c:pt idx="3">
                  <c:v>726.85015199999998</c:v>
                </c:pt>
                <c:pt idx="4">
                  <c:v>590.80757999999992</c:v>
                </c:pt>
                <c:pt idx="5">
                  <c:v>729.88067100000001</c:v>
                </c:pt>
                <c:pt idx="6">
                  <c:v>510.30808000000002</c:v>
                </c:pt>
                <c:pt idx="7">
                  <c:v>333.99993000000001</c:v>
                </c:pt>
                <c:pt idx="8">
                  <c:v>373.716747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627576"/>
        <c:axId val="277627968"/>
      </c:barChart>
      <c:lineChart>
        <c:grouping val="standard"/>
        <c:varyColors val="0"/>
        <c:ser>
          <c:idx val="5"/>
          <c:order val="4"/>
          <c:tx>
            <c:strRef>
              <c:f>'CO2-udledning (ton)'!$A$8</c:f>
              <c:strCache>
                <c:ptCount val="1"/>
                <c:pt idx="0">
                  <c:v>Reduktionsmål</c:v>
                </c:pt>
              </c:strCache>
            </c:strRef>
          </c:tx>
          <c:spPr>
            <a:ln w="57150" cap="flat" cmpd="sng" algn="ctr">
              <a:noFill/>
              <a:prstDash val="solid"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'CO2-udledning (ton)'!$B$2:$J$2</c:f>
              <c:numCache>
                <c:formatCode>0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'CO2-udledning (ton)'!$B$8:$J$8</c:f>
              <c:numCache>
                <c:formatCode>_ * #,##0_ ;_ * \-#,##0_ ;_ * "-"??_ ;_ @_ </c:formatCode>
                <c:ptCount val="9"/>
                <c:pt idx="0">
                  <c:v>8752.9003339928822</c:v>
                </c:pt>
                <c:pt idx="1">
                  <c:v>8577.8423273130247</c:v>
                </c:pt>
                <c:pt idx="2">
                  <c:v>8143.7470414281124</c:v>
                </c:pt>
                <c:pt idx="3">
                  <c:v>8211.9795969464194</c:v>
                </c:pt>
                <c:pt idx="4">
                  <c:v>7193.1269607838367</c:v>
                </c:pt>
                <c:pt idx="5">
                  <c:v>6201.6830570693965</c:v>
                </c:pt>
                <c:pt idx="6">
                  <c:v>6473.6879704565308</c:v>
                </c:pt>
                <c:pt idx="7">
                  <c:v>5891.910829064871</c:v>
                </c:pt>
                <c:pt idx="8">
                  <c:v>4992.3467755395804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627576"/>
        <c:axId val="277627968"/>
      </c:lineChart>
      <c:catAx>
        <c:axId val="2776275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da-DK"/>
          </a:p>
        </c:txPr>
        <c:crossAx val="277627968"/>
        <c:crosses val="autoZero"/>
        <c:auto val="1"/>
        <c:lblAlgn val="ctr"/>
        <c:lblOffset val="100"/>
        <c:noMultiLvlLbl val="0"/>
      </c:catAx>
      <c:valAx>
        <c:axId val="277627968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da-DK"/>
          </a:p>
        </c:txPr>
        <c:crossAx val="277627576"/>
        <c:crosses val="autoZero"/>
        <c:crossBetween val="between"/>
        <c:majorUnit val="2000"/>
      </c:valAx>
    </c:plotArea>
    <c:legend>
      <c:legendPos val="r"/>
      <c:overlay val="0"/>
      <c:txPr>
        <a:bodyPr/>
        <a:lstStyle/>
        <a:p>
          <a:pPr>
            <a:defRPr sz="1600" baseline="0">
              <a:latin typeface="Calibri" pitchFamily="34" charset="0"/>
            </a:defRPr>
          </a:pPr>
          <a:endParaRPr lang="da-DK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'Ark1'!$A$2</c:f>
              <c:strCache>
                <c:ptCount val="1"/>
                <c:pt idx="0">
                  <c:v>CO2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'Ark1'!$B$1:$S$1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'Ark1'!$B$2:$S$2</c:f>
              <c:numCache>
                <c:formatCode>0%</c:formatCode>
                <c:ptCount val="18"/>
                <c:pt idx="0" formatCode="General">
                  <c:v>0</c:v>
                </c:pt>
                <c:pt idx="1">
                  <c:v>-5.0606582555463096E-2</c:v>
                </c:pt>
                <c:pt idx="2">
                  <c:v>-4.2652069880283104E-2</c:v>
                </c:pt>
                <c:pt idx="3">
                  <c:v>-0.16142933312262736</c:v>
                </c:pt>
                <c:pt idx="4">
                  <c:v>-0.27701130186056361</c:v>
                </c:pt>
                <c:pt idx="5">
                  <c:v>-0.24530112312237054</c:v>
                </c:pt>
                <c:pt idx="6">
                  <c:v>-0.31312437274532084</c:v>
                </c:pt>
                <c:pt idx="7">
                  <c:v>-0.4179950405892558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'Ark1'!$A$3</c:f>
              <c:strCache>
                <c:ptCount val="1"/>
                <c:pt idx="0">
                  <c:v>Forbrug</c:v>
                </c:pt>
              </c:strCache>
            </c:strRef>
          </c:tx>
          <c:spPr>
            <a:ln w="34925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'Ark1'!$B$1:$S$1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'Ark1'!$B$3:$S$3</c:f>
              <c:numCache>
                <c:formatCode>0%</c:formatCode>
                <c:ptCount val="18"/>
                <c:pt idx="0" formatCode="General">
                  <c:v>0</c:v>
                </c:pt>
                <c:pt idx="1">
                  <c:v>-8.7063296266343959E-2</c:v>
                </c:pt>
                <c:pt idx="2">
                  <c:v>-0.11895221067361868</c:v>
                </c:pt>
                <c:pt idx="3">
                  <c:v>-8.6017595265056021E-2</c:v>
                </c:pt>
                <c:pt idx="4">
                  <c:v>-0.15352136890249257</c:v>
                </c:pt>
                <c:pt idx="5">
                  <c:v>-0.14958089804213565</c:v>
                </c:pt>
                <c:pt idx="6">
                  <c:v>-0.16805885650358621</c:v>
                </c:pt>
                <c:pt idx="7">
                  <c:v>-0.18012745868866961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'Ark1'!$A$4</c:f>
              <c:strCache>
                <c:ptCount val="1"/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'Ark1'!$B$1:$S$1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'Ark1'!$B$4:$S$4</c:f>
              <c:numCache>
                <c:formatCode>General</c:formatCode>
                <c:ptCount val="18"/>
                <c:pt idx="7" formatCode="0%">
                  <c:v>-0.32686188529041438</c:v>
                </c:pt>
                <c:pt idx="8" formatCode="0%">
                  <c:v>-0.4296351397774707</c:v>
                </c:pt>
                <c:pt idx="9" formatCode="0%">
                  <c:v>-0.4410424369819213</c:v>
                </c:pt>
                <c:pt idx="10" formatCode="0%">
                  <c:v>-0.45222158824228292</c:v>
                </c:pt>
                <c:pt idx="11" formatCode="0%">
                  <c:v>-0.46317715647743729</c:v>
                </c:pt>
                <c:pt idx="12" formatCode="0%">
                  <c:v>-0.47391361334788851</c:v>
                </c:pt>
                <c:pt idx="13" formatCode="0%">
                  <c:v>-0.48443534108093073</c:v>
                </c:pt>
                <c:pt idx="14" formatCode="0%">
                  <c:v>-0.49474663425931215</c:v>
                </c:pt>
                <c:pt idx="15" formatCode="0%">
                  <c:v>-0.50485170157412596</c:v>
                </c:pt>
                <c:pt idx="16" formatCode="0%">
                  <c:v>-0.51475466754264343</c:v>
                </c:pt>
                <c:pt idx="17" formatCode="0%">
                  <c:v>-0.52445957419179057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'Ark1'!$A$5</c:f>
              <c:strCache>
                <c:ptCount val="1"/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'Ark1'!$B$1:$S$1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'Ark1'!$B$5:$S$5</c:f>
              <c:numCache>
                <c:formatCode>General</c:formatCode>
                <c:ptCount val="18"/>
                <c:pt idx="7" formatCode="0%">
                  <c:v>-0.18012745868866961</c:v>
                </c:pt>
                <c:pt idx="8" formatCode="0%">
                  <c:v>-0.19212745868866962</c:v>
                </c:pt>
                <c:pt idx="9" formatCode="0%">
                  <c:v>-0.20412745868866963</c:v>
                </c:pt>
                <c:pt idx="10" formatCode="0%">
                  <c:v>-0.21612745868866964</c:v>
                </c:pt>
                <c:pt idx="11" formatCode="0%">
                  <c:v>-0.22812745868866965</c:v>
                </c:pt>
                <c:pt idx="12" formatCode="0%">
                  <c:v>-0.24012745868866966</c:v>
                </c:pt>
                <c:pt idx="13" formatCode="0%">
                  <c:v>-0.25212745868866965</c:v>
                </c:pt>
                <c:pt idx="14" formatCode="0%">
                  <c:v>-0.26412745868866966</c:v>
                </c:pt>
                <c:pt idx="15" formatCode="0%">
                  <c:v>-0.27612745868866967</c:v>
                </c:pt>
                <c:pt idx="16" formatCode="0%">
                  <c:v>-0.28812745868866968</c:v>
                </c:pt>
                <c:pt idx="17" formatCode="0%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628752"/>
        <c:axId val="277629144"/>
      </c:lineChart>
      <c:catAx>
        <c:axId val="27762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300" baseline="0">
                <a:latin typeface="Arial" pitchFamily="34" charset="0"/>
              </a:defRPr>
            </a:pPr>
            <a:endParaRPr lang="da-DK"/>
          </a:p>
        </c:txPr>
        <c:crossAx val="277629144"/>
        <c:crosses val="autoZero"/>
        <c:auto val="1"/>
        <c:lblAlgn val="ctr"/>
        <c:lblOffset val="100"/>
        <c:noMultiLvlLbl val="0"/>
      </c:catAx>
      <c:valAx>
        <c:axId val="2776291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300" baseline="0">
                <a:latin typeface="Arial" pitchFamily="34" charset="0"/>
              </a:defRPr>
            </a:pPr>
            <a:endParaRPr lang="da-DK"/>
          </a:p>
        </c:txPr>
        <c:crossAx val="277628752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300" baseline="0">
              <a:latin typeface="Arial" pitchFamily="34" charset="0"/>
            </a:defRPr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17</xdr:row>
      <xdr:rowOff>0</xdr:rowOff>
    </xdr:from>
    <xdr:to>
      <xdr:col>7</xdr:col>
      <xdr:colOff>152400</xdr:colOff>
      <xdr:row>17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5100" y="34861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0551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0551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38101</xdr:colOff>
      <xdr:row>6</xdr:row>
      <xdr:rowOff>38100</xdr:rowOff>
    </xdr:from>
    <xdr:to>
      <xdr:col>20</xdr:col>
      <xdr:colOff>257175</xdr:colOff>
      <xdr:row>34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J17" sqref="J17"/>
    </sheetView>
  </sheetViews>
  <sheetFormatPr defaultRowHeight="15" x14ac:dyDescent="0.25"/>
  <cols>
    <col min="1" max="1" width="26" style="4" customWidth="1"/>
    <col min="2" max="19" width="11.5703125" style="4" customWidth="1"/>
    <col min="20" max="16384" width="9.140625" style="4"/>
  </cols>
  <sheetData>
    <row r="1" spans="1:19" ht="18.75" x14ac:dyDescent="0.3">
      <c r="A1" s="35" t="s">
        <v>78</v>
      </c>
      <c r="B1" s="19"/>
      <c r="C1" s="19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9" x14ac:dyDescent="0.25">
      <c r="A2" s="78"/>
      <c r="B2" s="168">
        <v>2015</v>
      </c>
      <c r="C2" s="168">
        <v>2016</v>
      </c>
      <c r="D2" s="31"/>
      <c r="E2" s="31"/>
      <c r="F2" s="31"/>
      <c r="G2" s="31"/>
      <c r="H2" s="31"/>
      <c r="I2" s="31"/>
      <c r="J2" s="31"/>
      <c r="K2" s="31"/>
      <c r="L2" s="31"/>
      <c r="M2" s="5"/>
    </row>
    <row r="3" spans="1:19" x14ac:dyDescent="0.25">
      <c r="A3" s="64" t="s">
        <v>18</v>
      </c>
      <c r="B3" s="169">
        <f>+'Varme 2008-'!I11</f>
        <v>2166.2535116118174</v>
      </c>
      <c r="C3" s="169">
        <f>+'Varme 2008-'!J12</f>
        <v>1970.6031188875695</v>
      </c>
      <c r="D3" s="31"/>
      <c r="E3" s="31"/>
      <c r="F3" s="31"/>
      <c r="G3" s="31"/>
      <c r="H3" s="31"/>
      <c r="I3" s="31"/>
      <c r="J3" s="31"/>
      <c r="K3" s="31"/>
      <c r="L3" s="31"/>
      <c r="M3" s="5"/>
    </row>
    <row r="4" spans="1:19" x14ac:dyDescent="0.25">
      <c r="A4" s="64" t="s">
        <v>12</v>
      </c>
      <c r="B4" s="169">
        <f>+'El 2008-'!I17</f>
        <v>1054.495146</v>
      </c>
      <c r="C4" s="169">
        <f>+'El 2008-'!J18</f>
        <v>1056.3575859999999</v>
      </c>
      <c r="D4" s="104"/>
      <c r="E4" s="104"/>
      <c r="F4" s="104"/>
      <c r="G4" s="104"/>
      <c r="H4" s="104"/>
      <c r="I4" s="104"/>
      <c r="J4" s="104"/>
      <c r="K4" s="104"/>
      <c r="L4" s="104"/>
      <c r="M4" s="5"/>
    </row>
    <row r="5" spans="1:19" x14ac:dyDescent="0.25">
      <c r="A5" s="64" t="s">
        <v>16</v>
      </c>
      <c r="B5" s="169">
        <f>+'Kørsel 2008-'!I32</f>
        <v>1539.4828160000002</v>
      </c>
      <c r="C5" s="169">
        <f>+'Kørsel 2008-'!J32</f>
        <v>1476.9253899999999</v>
      </c>
      <c r="D5" s="104"/>
      <c r="E5" s="104"/>
      <c r="F5" s="104"/>
      <c r="G5" s="104"/>
      <c r="H5" s="104"/>
      <c r="I5" s="104"/>
      <c r="J5" s="104"/>
      <c r="K5" s="104"/>
      <c r="L5" s="104"/>
      <c r="M5" s="5"/>
    </row>
    <row r="6" spans="1:19" x14ac:dyDescent="0.25">
      <c r="A6" s="64" t="s">
        <v>0</v>
      </c>
      <c r="B6" s="169">
        <f>+'Gadebelysning 2008-'!I10</f>
        <v>333.99993000000001</v>
      </c>
      <c r="C6" s="239">
        <f>+'Gadebelysning 2008-'!J11</f>
        <v>310.66165799999999</v>
      </c>
      <c r="D6" s="104"/>
      <c r="E6" s="104"/>
      <c r="F6" s="104"/>
      <c r="G6" s="104"/>
      <c r="H6" s="104"/>
      <c r="I6" s="104"/>
      <c r="J6" s="104"/>
      <c r="K6" s="104"/>
      <c r="L6" s="104"/>
      <c r="M6" s="5"/>
    </row>
    <row r="7" spans="1:19" ht="15.75" thickBot="1" x14ac:dyDescent="0.3">
      <c r="A7" s="33" t="s">
        <v>48</v>
      </c>
      <c r="B7" s="79">
        <f>+SUM(B3:B6)</f>
        <v>5094.2314036118169</v>
      </c>
      <c r="C7" s="79">
        <f>+SUM(C3:C6)</f>
        <v>4814.5477528875699</v>
      </c>
      <c r="D7" s="105"/>
      <c r="E7" s="105"/>
      <c r="F7" s="105"/>
      <c r="G7" s="105"/>
      <c r="H7" s="105"/>
      <c r="I7" s="105"/>
      <c r="J7" s="105"/>
      <c r="K7" s="105"/>
      <c r="L7" s="105"/>
      <c r="M7" s="5"/>
    </row>
    <row r="8" spans="1:19" ht="15.75" thickBot="1" x14ac:dyDescent="0.3">
      <c r="A8" s="34" t="s">
        <v>20</v>
      </c>
      <c r="B8" s="80"/>
      <c r="C8" s="80">
        <f>+B7*0.98</f>
        <v>4992.3467755395804</v>
      </c>
      <c r="D8" s="105"/>
      <c r="E8" s="105"/>
      <c r="F8" s="105"/>
      <c r="G8" s="105"/>
      <c r="H8" s="105"/>
      <c r="I8" s="105"/>
      <c r="J8" s="105"/>
      <c r="K8" s="105"/>
      <c r="L8" s="105"/>
      <c r="M8" s="5"/>
    </row>
    <row r="9" spans="1:19" s="5" customFormat="1" x14ac:dyDescent="0.25">
      <c r="A9" s="129" t="s">
        <v>129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9" x14ac:dyDescent="0.25">
      <c r="G10" s="28"/>
      <c r="J10" s="28"/>
    </row>
    <row r="11" spans="1:19" ht="18.75" x14ac:dyDescent="0.3">
      <c r="A11" s="35" t="s">
        <v>83</v>
      </c>
      <c r="B11" s="19"/>
      <c r="C11" s="19"/>
      <c r="D11" s="19"/>
    </row>
    <row r="12" spans="1:19" x14ac:dyDescent="0.25">
      <c r="A12" s="19"/>
      <c r="B12" s="19"/>
      <c r="C12" s="18" t="s">
        <v>79</v>
      </c>
      <c r="D12" s="18" t="s">
        <v>80</v>
      </c>
      <c r="E12" s="18" t="s">
        <v>81</v>
      </c>
      <c r="F12" s="18" t="s">
        <v>54</v>
      </c>
      <c r="G12" s="18" t="s">
        <v>82</v>
      </c>
      <c r="H12" s="18" t="s">
        <v>84</v>
      </c>
      <c r="I12" s="18" t="s">
        <v>85</v>
      </c>
      <c r="J12" s="18" t="s">
        <v>86</v>
      </c>
      <c r="K12" s="18" t="s">
        <v>87</v>
      </c>
      <c r="L12" s="18" t="s">
        <v>88</v>
      </c>
      <c r="M12" s="18" t="s">
        <v>89</v>
      </c>
      <c r="N12" s="18" t="s">
        <v>90</v>
      </c>
      <c r="O12" s="18" t="s">
        <v>91</v>
      </c>
      <c r="P12" s="18" t="s">
        <v>92</v>
      </c>
      <c r="Q12" s="18" t="s">
        <v>93</v>
      </c>
      <c r="R12" s="18" t="s">
        <v>94</v>
      </c>
      <c r="S12" s="18" t="s">
        <v>95</v>
      </c>
    </row>
    <row r="13" spans="1:19" x14ac:dyDescent="0.25">
      <c r="A13" s="64" t="s">
        <v>18</v>
      </c>
      <c r="B13" s="64"/>
      <c r="C13" s="81">
        <f>-1+'Varme 2008-'!C12/'Varme 2008-'!B11</f>
        <v>-9.9318529812080225E-2</v>
      </c>
      <c r="D13" s="81">
        <f>-1+'Varme 2008-'!D12/'Varme 2008-'!C11</f>
        <v>-0.10442354249006558</v>
      </c>
      <c r="E13" s="81">
        <f>-1+'Varme 2008-'!E12/'Varme 2008-'!D11</f>
        <v>-5.5809613682663239E-2</v>
      </c>
      <c r="F13" s="81">
        <f>-1+'Varme 2008-'!F12/'Varme 2008-'!E11</f>
        <v>-6.3225458954010105E-2</v>
      </c>
      <c r="G13" s="81">
        <f>IF('Varme 2008-'!G12=0,"",-1+'Varme 2008-'!G12/'Varme 2008-'!F11)</f>
        <v>-4.7772155748186385E-2</v>
      </c>
      <c r="H13" s="81">
        <f>IF('Varme 2008-'!H12=0,"",-1+'Varme 2008-'!H12/'Varme 2008-'!G11)</f>
        <v>-2.2487433932398937E-2</v>
      </c>
      <c r="I13" s="81">
        <f>IF('Varme 2008-'!I12=0,"",-1+'Varme 2008-'!I12/'Varme 2008-'!H11)</f>
        <v>-2.8556950772664624E-3</v>
      </c>
      <c r="J13" s="81">
        <f>IF('Varme 2008-'!J12=0,"",-1+'Varme 2008-'!J12/'Varme 2008-'!I11)</f>
        <v>-9.0317403607425795E-2</v>
      </c>
      <c r="K13" s="81" t="str">
        <f>IF('Varme 2008-'!K12=0,"",-1+'Varme 2008-'!K12/'Varme 2008-'!J11)</f>
        <v/>
      </c>
      <c r="L13" s="81" t="str">
        <f>IF('Varme 2008-'!L12=0,"",-1+'Varme 2008-'!L12/'Varme 2008-'!K11)</f>
        <v/>
      </c>
      <c r="M13" s="81" t="str">
        <f>IF('Varme 2008-'!M12=0,"",-1+'Varme 2008-'!M12/'Varme 2008-'!L11)</f>
        <v/>
      </c>
      <c r="N13" s="81" t="str">
        <f>IF('Varme 2008-'!N12=0,"",-1+'Varme 2008-'!N12/'Varme 2008-'!M11)</f>
        <v/>
      </c>
      <c r="O13" s="81" t="str">
        <f>IF('Varme 2008-'!O12=0,"",-1+'Varme 2008-'!O12/'Varme 2008-'!N11)</f>
        <v/>
      </c>
      <c r="P13" s="81" t="str">
        <f>IF('Varme 2008-'!P12=0,"",-1+'Varme 2008-'!P12/'Varme 2008-'!O11)</f>
        <v/>
      </c>
      <c r="Q13" s="81" t="str">
        <f>IF('Varme 2008-'!Q12=0,"",-1+'Varme 2008-'!Q12/'Varme 2008-'!P11)</f>
        <v/>
      </c>
      <c r="R13" s="81" t="str">
        <f>IF('Varme 2008-'!R12=0,"",-1+'Varme 2008-'!R12/'Varme 2008-'!Q11)</f>
        <v/>
      </c>
      <c r="S13" s="81" t="str">
        <f>IF('Varme 2008-'!S12=0,"",-1+'Varme 2008-'!S12/'Varme 2008-'!R11)</f>
        <v/>
      </c>
    </row>
    <row r="14" spans="1:19" x14ac:dyDescent="0.25">
      <c r="A14" s="64" t="s">
        <v>12</v>
      </c>
      <c r="B14" s="64"/>
      <c r="C14" s="81">
        <f>-1+'El 2008-'!C18/'El 2008-'!B17</f>
        <v>-2.6721150778071689E-2</v>
      </c>
      <c r="D14" s="81">
        <f>-1+'El 2008-'!D18/'El 2008-'!C17</f>
        <v>0.13912631321102786</v>
      </c>
      <c r="E14" s="81">
        <f>-1+'El 2008-'!E18/'El 2008-'!D17</f>
        <v>-9.6899391106052835E-2</v>
      </c>
      <c r="F14" s="81">
        <f>-1+'El 2008-'!F18/'El 2008-'!E17</f>
        <v>-0.10076925936477765</v>
      </c>
      <c r="G14" s="81">
        <f>IF('El 2008-'!G18=0,"",-1+'El 2008-'!G18/'El 2008-'!F17)</f>
        <v>-9.4165517522934006E-2</v>
      </c>
      <c r="H14" s="81">
        <f>IF('El 2008-'!H18=0,"",-1+'El 2008-'!H18/'El 2008-'!G17)</f>
        <v>5.4947539608986906E-2</v>
      </c>
      <c r="I14" s="81">
        <f>IF('El 2008-'!I18=0,"",-1+'El 2008-'!I18/'El 2008-'!H17)</f>
        <v>-6.2940704480955456E-2</v>
      </c>
      <c r="J14" s="81">
        <f>IF('El 2008-'!J18=0,"",-1+'El 2008-'!J18/'El 2008-'!I17)</f>
        <v>1.7661911551367648E-3</v>
      </c>
      <c r="K14" s="81" t="str">
        <f>IF('El 2008-'!K18=0,"",-1+'El 2008-'!K18/'El 2008-'!J17)</f>
        <v/>
      </c>
      <c r="L14" s="81" t="str">
        <f>IF('El 2008-'!L18=0,"",-1+'El 2008-'!L18/'El 2008-'!K17)</f>
        <v/>
      </c>
      <c r="M14" s="81" t="str">
        <f>IF('El 2008-'!M18=0,"",-1+'El 2008-'!M18/'El 2008-'!L17)</f>
        <v/>
      </c>
      <c r="N14" s="81" t="str">
        <f>IF('El 2008-'!N18=0,"",-1+'El 2008-'!N18/'El 2008-'!M17)</f>
        <v/>
      </c>
      <c r="O14" s="81" t="str">
        <f>IF('El 2008-'!O18=0,"",-1+'El 2008-'!O18/'El 2008-'!N17)</f>
        <v/>
      </c>
      <c r="P14" s="81" t="str">
        <f>IF('El 2008-'!P18=0,"",-1+'El 2008-'!P18/'El 2008-'!O17)</f>
        <v/>
      </c>
      <c r="Q14" s="81" t="str">
        <f>IF('El 2008-'!Q18=0,"",-1+'El 2008-'!Q18/'El 2008-'!P17)</f>
        <v/>
      </c>
      <c r="R14" s="81" t="str">
        <f>IF('El 2008-'!R18=0,"",-1+'El 2008-'!R18/'El 2008-'!Q17)</f>
        <v/>
      </c>
      <c r="S14" s="81" t="str">
        <f>IF('El 2008-'!S18=0,"",-1+'El 2008-'!S18/'El 2008-'!R17)</f>
        <v/>
      </c>
    </row>
    <row r="15" spans="1:19" x14ac:dyDescent="0.25">
      <c r="A15" s="64" t="s">
        <v>16</v>
      </c>
      <c r="B15" s="64"/>
      <c r="C15" s="81">
        <f>-1+'Kørsel 2008-'!C32/'Kørsel 2008-'!B32</f>
        <v>-2.0212166910028029E-2</v>
      </c>
      <c r="D15" s="81">
        <f>-1+'Kørsel 2008-'!D32/'Kørsel 2008-'!C32</f>
        <v>8.8941045266835106E-2</v>
      </c>
      <c r="E15" s="81">
        <f>-1+'Kørsel 2008-'!E32/'Kørsel 2008-'!D32</f>
        <v>-1.5713205252492979E-2</v>
      </c>
      <c r="F15" s="81">
        <f>-1+'Kørsel 2008-'!F32/'Kørsel 2008-'!E32</f>
        <v>4.077736861876069E-3</v>
      </c>
      <c r="G15" s="81">
        <f>IF('Kørsel 2008-'!G32=0,"",-1+'Kørsel 2008-'!G32/'Kørsel 2008-'!F32)</f>
        <v>2.5694163092868649E-3</v>
      </c>
      <c r="H15" s="81">
        <f>IF('Kørsel 2008-'!H32=0,"",-1+'Kørsel 2008-'!H32/'Kørsel 2008-'!G32)</f>
        <v>2.2398458280741274E-3</v>
      </c>
      <c r="I15" s="81">
        <f>IF('Kørsel 2008-'!I32=0,"",-1+'Kørsel 2008-'!I32/'Kørsel 2008-'!H32)</f>
        <v>-2.6814045915320883E-2</v>
      </c>
      <c r="J15" s="81">
        <f>IF('Kørsel 2008-'!J32=0,"",-1+'Kørsel 2008-'!J32/'Kørsel 2008-'!I32)</f>
        <v>-4.0635351918082319E-2</v>
      </c>
      <c r="K15" s="81" t="str">
        <f>IF('Kørsel 2008-'!K32=0,"",-1+'Kørsel 2008-'!K32/'Kørsel 2008-'!J32)</f>
        <v/>
      </c>
      <c r="L15" s="81" t="str">
        <f>IF('Kørsel 2008-'!L32=0,"",-1+'Kørsel 2008-'!L32/'Kørsel 2008-'!K32)</f>
        <v/>
      </c>
      <c r="M15" s="81" t="str">
        <f>IF('Kørsel 2008-'!M32=0,"",-1+'Kørsel 2008-'!M32/'Kørsel 2008-'!L32)</f>
        <v/>
      </c>
      <c r="N15" s="81" t="str">
        <f>IF('Kørsel 2008-'!N32=0,"",-1+'Kørsel 2008-'!N32/'Kørsel 2008-'!M32)</f>
        <v/>
      </c>
      <c r="O15" s="81" t="str">
        <f>IF('Kørsel 2008-'!O32=0,"",-1+'Kørsel 2008-'!O32/'Kørsel 2008-'!N32)</f>
        <v/>
      </c>
      <c r="P15" s="81" t="str">
        <f>IF('Kørsel 2008-'!P32=0,"",-1+'Kørsel 2008-'!P32/'Kørsel 2008-'!O32)</f>
        <v/>
      </c>
      <c r="Q15" s="81" t="str">
        <f>IF('Kørsel 2008-'!Q32=0,"",-1+'Kørsel 2008-'!Q32/'Kørsel 2008-'!P32)</f>
        <v/>
      </c>
      <c r="R15" s="81" t="str">
        <f>IF('Kørsel 2008-'!R32=0,"",-1+'Kørsel 2008-'!R32/'Kørsel 2008-'!Q32)</f>
        <v/>
      </c>
      <c r="S15" s="81" t="str">
        <f>IF('Kørsel 2008-'!S32=0,"",-1+'Kørsel 2008-'!S32/'Kørsel 2008-'!R32)</f>
        <v/>
      </c>
    </row>
    <row r="16" spans="1:19" x14ac:dyDescent="0.25">
      <c r="A16" s="64" t="s">
        <v>0</v>
      </c>
      <c r="B16" s="64"/>
      <c r="C16" s="81">
        <f>-1+'Gadebelysning 2008-'!C11/'Gadebelysning 2008-'!B10</f>
        <v>-6.1583394395331115E-2</v>
      </c>
      <c r="D16" s="81">
        <f>-1+'Gadebelysning 2008-'!D11/'Gadebelysning 2008-'!C10</f>
        <v>4.0531044634535052E-2</v>
      </c>
      <c r="E16" s="81">
        <f>-1+'Gadebelysning 2008-'!E11/'Gadebelysning 2008-'!D10</f>
        <v>-7.4431641233260737E-2</v>
      </c>
      <c r="F16" s="81">
        <f>-1+'Gadebelysning 2008-'!F11/'Gadebelysning 2008-'!E10</f>
        <v>1.4028927381994905E-2</v>
      </c>
      <c r="G16" s="81">
        <f>IF('Gadebelysning 2008-'!G11=0,"",-1+'Gadebelysning 2008-'!G11/'Gadebelysning 2008-'!F10)</f>
        <v>-7.0964069215222469E-3</v>
      </c>
      <c r="H16" s="81">
        <f>IF('Gadebelysning 2008-'!H11=0,"",-1+'Gadebelysning 2008-'!H11/'Gadebelysning 2008-'!G10)</f>
        <v>-0.13294160244997077</v>
      </c>
      <c r="I16" s="81">
        <f>IF('Gadebelysning 2008-'!I11=0,"",-1+'Gadebelysning 2008-'!I11/'Gadebelysning 2008-'!H10)</f>
        <v>-1.500019360853555E-2</v>
      </c>
      <c r="J16" s="81">
        <f>IF('Gadebelysning 2008-'!J11=0,"",-1+'Gadebelysning 2008-'!J11/'Gadebelysning 2008-'!I10)</f>
        <v>-6.9875080512741494E-2</v>
      </c>
      <c r="K16" s="81" t="str">
        <f>IF('Gadebelysning 2008-'!K11=0,"",-1+'Gadebelysning 2008-'!K11/'Gadebelysning 2008-'!J10)</f>
        <v/>
      </c>
      <c r="L16" s="81" t="str">
        <f>IF('Gadebelysning 2008-'!L11=0,"",-1+'Gadebelysning 2008-'!L11/'Gadebelysning 2008-'!K10)</f>
        <v/>
      </c>
      <c r="M16" s="81" t="str">
        <f>IF('Gadebelysning 2008-'!M11=0,"",-1+'Gadebelysning 2008-'!M11/'Gadebelysning 2008-'!L10)</f>
        <v/>
      </c>
      <c r="N16" s="81" t="str">
        <f>IF('Gadebelysning 2008-'!N11=0,"",-1+'Gadebelysning 2008-'!N11/'Gadebelysning 2008-'!M10)</f>
        <v/>
      </c>
      <c r="O16" s="81" t="str">
        <f>IF('Gadebelysning 2008-'!O11=0,"",-1+'Gadebelysning 2008-'!O11/'Gadebelysning 2008-'!N10)</f>
        <v/>
      </c>
      <c r="P16" s="81" t="str">
        <f>IF('Gadebelysning 2008-'!P11=0,"",-1+'Gadebelysning 2008-'!P11/'Gadebelysning 2008-'!O10)</f>
        <v/>
      </c>
      <c r="Q16" s="81" t="str">
        <f>IF('Gadebelysning 2008-'!Q11=0,"",-1+'Gadebelysning 2008-'!Q11/'Gadebelysning 2008-'!P10)</f>
        <v/>
      </c>
      <c r="R16" s="81" t="str">
        <f>IF('Gadebelysning 2008-'!R11=0,"",-1+'Gadebelysning 2008-'!R11/'Gadebelysning 2008-'!Q10)</f>
        <v/>
      </c>
      <c r="S16" s="81" t="str">
        <f>IF('Gadebelysning 2008-'!S11=0,"",-1+'Gadebelysning 2008-'!S11/'Gadebelysning 2008-'!R10)</f>
        <v/>
      </c>
    </row>
    <row r="17" spans="1:19" ht="19.5" thickBot="1" x14ac:dyDescent="0.35">
      <c r="A17" s="211" t="s">
        <v>15</v>
      </c>
      <c r="B17" s="211"/>
      <c r="C17" s="212">
        <f>-1+('Varme 2008-'!C12+'El 2008-'!C18+'Kørsel 2008-'!C32+'Gadebelysning 2008-'!C11)/('Gadebelysning 2008-'!B10+'Kørsel 2008-'!B32+'El 2008-'!B17+'Varme 2008-'!B11)</f>
        <v>-5.6650702902687589E-2</v>
      </c>
      <c r="D17" s="213">
        <f>-1+('Varme 2008-'!D12+'El 2008-'!D18+'Kørsel 2008-'!D32+'Gadebelysning 2008-'!D11)/('Gadebelysning 2008-'!C10+'Kørsel 2008-'!C32+'El 2008-'!C17+'Varme 2008-'!C11)</f>
        <v>3.2791547173105062E-2</v>
      </c>
      <c r="E17" s="212">
        <f>-1+('Varme 2008-'!E12+'El 2008-'!E18+'Kørsel 2008-'!E32+'Gadebelysning 2008-'!E11)/('Gadebelysning 2008-'!D10+'Kørsel 2008-'!D32+'El 2008-'!D17+'Varme 2008-'!D11)</f>
        <v>-6.6065380165803211E-2</v>
      </c>
      <c r="F17" s="212">
        <f>-1+('Varme 2008-'!F12+'El 2008-'!F18+'Kørsel 2008-'!F32+'Gadebelysning 2008-'!F11)/('Gadebelysning 2008-'!E10+'Kørsel 2008-'!E32+'El 2008-'!E17+'Varme 2008-'!E11)</f>
        <v>-5.3732843869275682E-2</v>
      </c>
      <c r="G17" s="212">
        <f>IF(G13="","",-1+('Varme 2008-'!G12+'El 2008-'!G18+'Kørsel 2008-'!G32+'Gadebelysning 2008-'!G11)/('Gadebelysning 2008-'!F10+'Kørsel 2008-'!F32+'El 2008-'!F17+'Varme 2008-'!F11))</f>
        <v>-4.440060196328377E-2</v>
      </c>
      <c r="H17" s="212">
        <f>IF(H13="","",-1+('Varme 2008-'!H12+'El 2008-'!H18+'Kørsel 2008-'!H32+'Gadebelysning 2008-'!H11)/('Gadebelysning 2008-'!G10+'Kørsel 2008-'!G32+'El 2008-'!G17+'Varme 2008-'!G11))</f>
        <v>-5.446201719960353E-3</v>
      </c>
      <c r="I17" s="212">
        <f>IF(I13="","",-1+('Varme 2008-'!I12+'El 2008-'!I18+'Kørsel 2008-'!I32+'Gadebelysning 2008-'!I11)/('Gadebelysning 2008-'!H10+'Kørsel 2008-'!H32+'El 2008-'!H17+'Varme 2008-'!H11))</f>
        <v>-2.7115638968902012E-2</v>
      </c>
      <c r="J17" s="252">
        <f>IF(J13="","",-1+('Varme 2008-'!J12+'El 2008-'!J18+'Kørsel 2008-'!J32+'Gadebelysning 2008-'!J11)/('Gadebelysning 2008-'!I10+'Kørsel 2008-'!I32+'El 2008-'!I17+'Varme 2008-'!I11))</f>
        <v>-5.4902031055352296E-2</v>
      </c>
      <c r="K17" s="214" t="str">
        <f>IF(K13="","",-1+('Varme 2008-'!K12+'El 2008-'!K18+'Kørsel 2008-'!K32+'Gadebelysning 2008-'!K11)/('Gadebelysning 2008-'!J10+'Kørsel 2008-'!J32+'El 2008-'!J17+'Varme 2008-'!J11))</f>
        <v/>
      </c>
      <c r="L17" s="214" t="str">
        <f>IF(L13="","",-1+('Varme 2008-'!L12+'El 2008-'!L18+'Kørsel 2008-'!L32+'Gadebelysning 2008-'!L11)/('Gadebelysning 2008-'!K10+'Kørsel 2008-'!K32+'El 2008-'!K17+'Varme 2008-'!K11))</f>
        <v/>
      </c>
      <c r="M17" s="214" t="str">
        <f>IF(M13="","",-1+('Varme 2008-'!M12+'El 2008-'!M18+'Kørsel 2008-'!M32+'Gadebelysning 2008-'!M11)/('Gadebelysning 2008-'!L10+'Kørsel 2008-'!L32+'El 2008-'!L17+'Varme 2008-'!L11))</f>
        <v/>
      </c>
      <c r="N17" s="214" t="str">
        <f>IF(N13="","",-1+('Varme 2008-'!N12+'El 2008-'!N18+'Kørsel 2008-'!N32+'Gadebelysning 2008-'!N11)/('Gadebelysning 2008-'!M10+'Kørsel 2008-'!M32+'El 2008-'!M17+'Varme 2008-'!M11))</f>
        <v/>
      </c>
      <c r="O17" s="214" t="str">
        <f>IF(O13="","",-1+('Varme 2008-'!O12+'El 2008-'!O18+'Kørsel 2008-'!O32+'Gadebelysning 2008-'!O11)/('Gadebelysning 2008-'!N10+'Kørsel 2008-'!N32+'El 2008-'!N17+'Varme 2008-'!N11))</f>
        <v/>
      </c>
      <c r="P17" s="214" t="str">
        <f>IF(P13="","",-1+('Varme 2008-'!P12+'El 2008-'!P18+'Kørsel 2008-'!P32+'Gadebelysning 2008-'!P11)/('Gadebelysning 2008-'!O10+'Kørsel 2008-'!O32+'El 2008-'!O17+'Varme 2008-'!O11))</f>
        <v/>
      </c>
      <c r="Q17" s="214" t="str">
        <f>IF(Q13="","",-1+('Varme 2008-'!Q12+'El 2008-'!Q18+'Kørsel 2008-'!Q32+'Gadebelysning 2008-'!Q11)/('Gadebelysning 2008-'!P10+'Kørsel 2008-'!P32+'El 2008-'!P17+'Varme 2008-'!P11))</f>
        <v/>
      </c>
      <c r="R17" s="214" t="str">
        <f>IF(R13="","",-1+('Varme 2008-'!R12+'El 2008-'!R18+'Kørsel 2008-'!R32+'Gadebelysning 2008-'!R11)/('Gadebelysning 2008-'!Q10+'Kørsel 2008-'!Q32+'El 2008-'!Q17+'Varme 2008-'!Q11))</f>
        <v/>
      </c>
      <c r="S17" s="214" t="str">
        <f>IF(S13="","",-1+('Varme 2008-'!S12+'El 2008-'!S18+'Kørsel 2008-'!S32+'Gadebelysning 2008-'!S11)/('Gadebelysning 2008-'!R10+'Kørsel 2008-'!R32+'El 2008-'!R17+'Varme 2008-'!R11))</f>
        <v/>
      </c>
    </row>
    <row r="18" spans="1:19" ht="15.75" thickBot="1" x14ac:dyDescent="0.3">
      <c r="A18" s="34" t="s">
        <v>20</v>
      </c>
      <c r="B18" s="34"/>
      <c r="C18" s="210">
        <v>-0.02</v>
      </c>
      <c r="D18" s="210">
        <v>-0.02</v>
      </c>
      <c r="E18" s="210">
        <v>-0.02</v>
      </c>
      <c r="F18" s="210">
        <v>-0.02</v>
      </c>
      <c r="G18" s="210">
        <v>-0.02</v>
      </c>
      <c r="H18" s="210">
        <v>-0.02</v>
      </c>
      <c r="I18" s="210">
        <v>-0.02</v>
      </c>
      <c r="J18" s="210">
        <v>-0.02</v>
      </c>
      <c r="K18" s="210">
        <v>-0.02</v>
      </c>
      <c r="L18" s="210">
        <v>-0.02</v>
      </c>
      <c r="M18" s="210">
        <v>-0.02</v>
      </c>
      <c r="N18" s="210">
        <v>-0.02</v>
      </c>
      <c r="O18" s="210">
        <v>-0.02</v>
      </c>
      <c r="P18" s="210">
        <v>-0.02</v>
      </c>
      <c r="Q18" s="210">
        <v>-0.02</v>
      </c>
      <c r="R18" s="210">
        <v>-0.02</v>
      </c>
      <c r="S18" s="210">
        <v>-0.02</v>
      </c>
    </row>
    <row r="19" spans="1:19" x14ac:dyDescent="0.25">
      <c r="A19" s="129" t="s">
        <v>96</v>
      </c>
    </row>
    <row r="36" spans="1:10" x14ac:dyDescent="0.25">
      <c r="A36" s="31"/>
      <c r="J36" s="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I4" sqref="I4"/>
    </sheetView>
  </sheetViews>
  <sheetFormatPr defaultRowHeight="15" x14ac:dyDescent="0.25"/>
  <cols>
    <col min="1" max="1" width="26.28515625" customWidth="1"/>
    <col min="2" max="19" width="11" bestFit="1" customWidth="1"/>
  </cols>
  <sheetData>
    <row r="1" spans="1:19" ht="18.75" x14ac:dyDescent="0.3">
      <c r="A1" s="53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x14ac:dyDescent="0.25">
      <c r="A2" s="9"/>
      <c r="B2" s="9">
        <v>2008</v>
      </c>
      <c r="C2" s="9">
        <v>2009</v>
      </c>
      <c r="D2" s="9">
        <v>2010</v>
      </c>
      <c r="E2" s="9">
        <v>2011</v>
      </c>
      <c r="F2" s="9">
        <v>2012</v>
      </c>
      <c r="G2" s="9">
        <v>2013</v>
      </c>
      <c r="H2" s="9">
        <v>2014</v>
      </c>
      <c r="I2" s="9">
        <v>2015</v>
      </c>
      <c r="J2" s="9">
        <v>2016</v>
      </c>
      <c r="K2" s="9">
        <v>2017</v>
      </c>
      <c r="L2" s="9">
        <v>2018</v>
      </c>
      <c r="M2" s="9">
        <v>2019</v>
      </c>
      <c r="N2" s="9">
        <v>2020</v>
      </c>
      <c r="O2" s="9">
        <v>2021</v>
      </c>
      <c r="P2" s="9">
        <v>2022</v>
      </c>
      <c r="Q2" s="9">
        <v>2023</v>
      </c>
      <c r="R2" s="9">
        <v>2024</v>
      </c>
      <c r="S2" s="9">
        <v>2025</v>
      </c>
    </row>
    <row r="3" spans="1:19" x14ac:dyDescent="0.25">
      <c r="A3" s="49" t="s">
        <v>18</v>
      </c>
      <c r="B3" s="50">
        <f>+'Varme 2008-'!B8</f>
        <v>27843680.245109323</v>
      </c>
      <c r="C3" s="50">
        <f>+'Varme 2008-'!C8</f>
        <v>24609811.225621283</v>
      </c>
      <c r="D3" s="50">
        <f>+'Varme 2008-'!D8</f>
        <v>21821917.999426939</v>
      </c>
      <c r="E3" s="50">
        <f>+'Varme 2008-'!E8</f>
        <v>24142721.744237103</v>
      </c>
      <c r="F3" s="50">
        <f>+'Varme 2008-'!F8</f>
        <v>21830211.189581905</v>
      </c>
      <c r="G3" s="50">
        <f>+'Varme 2008-'!G8</f>
        <v>22436456.353494812</v>
      </c>
      <c r="H3" s="50">
        <f>+'Varme 2008-'!H8</f>
        <v>21596811.950947963</v>
      </c>
      <c r="I3" s="50">
        <f>+'Varme 2008-'!I8</f>
        <v>21665850.794381041</v>
      </c>
      <c r="J3" s="50">
        <f>+'Varme 2008-'!J8</f>
        <v>19742454.196357876</v>
      </c>
      <c r="K3" s="50">
        <f>+'Varme 2008-'!K8</f>
        <v>0</v>
      </c>
      <c r="L3" s="50">
        <f>+'Varme 2008-'!L8</f>
        <v>0</v>
      </c>
      <c r="M3" s="50">
        <f>+'Varme 2008-'!M8</f>
        <v>0</v>
      </c>
      <c r="N3" s="50">
        <f>+'Varme 2008-'!N8</f>
        <v>0</v>
      </c>
      <c r="O3" s="50">
        <f>+'Varme 2008-'!O8</f>
        <v>0</v>
      </c>
      <c r="P3" s="50">
        <f>+'Varme 2008-'!P8</f>
        <v>0</v>
      </c>
      <c r="Q3" s="50">
        <f>+'Varme 2008-'!Q8</f>
        <v>0</v>
      </c>
      <c r="R3" s="50">
        <f>+'Varme 2008-'!R8</f>
        <v>0</v>
      </c>
      <c r="S3" s="50">
        <f>+'Varme 2008-'!S8</f>
        <v>0</v>
      </c>
    </row>
    <row r="4" spans="1:19" x14ac:dyDescent="0.25">
      <c r="A4" s="49" t="s">
        <v>12</v>
      </c>
      <c r="B4" s="50">
        <f>+'El 2008-'!B14</f>
        <v>6474854</v>
      </c>
      <c r="C4" s="50">
        <f>+'El 2008-'!C14</f>
        <v>6301838.4500000002</v>
      </c>
      <c r="D4" s="50">
        <f>+'El 2008-'!D14</f>
        <v>7178590</v>
      </c>
      <c r="E4" s="50">
        <f>+'El 2008-'!E14</f>
        <v>6482989</v>
      </c>
      <c r="F4" s="50">
        <f>+'El 2008-'!F14</f>
        <v>5829703</v>
      </c>
      <c r="G4" s="99">
        <f>+'El 2008-'!G14</f>
        <v>5280746</v>
      </c>
      <c r="H4" s="99">
        <f>+'El 2008-'!H14</f>
        <v>5570910</v>
      </c>
      <c r="I4" s="99">
        <f>+'El 2008-'!I14</f>
        <v>5220273</v>
      </c>
      <c r="J4" s="99">
        <f>+'El 2008-'!J14</f>
        <v>5229493</v>
      </c>
      <c r="K4" s="99">
        <f>+'El 2008-'!K14</f>
        <v>0</v>
      </c>
      <c r="L4" s="99">
        <f>+'El 2008-'!L14</f>
        <v>0</v>
      </c>
      <c r="M4" s="99">
        <f>+'El 2008-'!M14</f>
        <v>0</v>
      </c>
      <c r="N4" s="99">
        <f>+'El 2008-'!N14</f>
        <v>0</v>
      </c>
      <c r="O4" s="99">
        <f>+'El 2008-'!O14</f>
        <v>0</v>
      </c>
      <c r="P4" s="99">
        <f>+'El 2008-'!P14</f>
        <v>0</v>
      </c>
      <c r="Q4" s="99">
        <f>+'El 2008-'!Q14</f>
        <v>0</v>
      </c>
      <c r="R4" s="99">
        <f>+'El 2008-'!R14</f>
        <v>0</v>
      </c>
      <c r="S4" s="99">
        <f>+'El 2008-'!S14</f>
        <v>0</v>
      </c>
    </row>
    <row r="5" spans="1:19" x14ac:dyDescent="0.25">
      <c r="A5" s="49" t="s">
        <v>16</v>
      </c>
      <c r="B5" s="50">
        <f>+'Kørsel 2008-'!B24*10+'Kørsel 2008-'!B23*11+'Kørsel 2008-'!B29/18.4*11</f>
        <v>5987637.3478260869</v>
      </c>
      <c r="C5" s="50">
        <f>+'Kørsel 2008-'!C24*10+'Kørsel 2008-'!C23*11+'Kørsel 2008-'!C29/18.4*11</f>
        <v>5831122.2352173915</v>
      </c>
      <c r="D5" s="50">
        <f>+'Kørsel 2008-'!D24*10+'Kørsel 2008-'!D23*11+'Kørsel 2008-'!D29/18.4*11</f>
        <v>6308172.3952173926</v>
      </c>
      <c r="E5" s="50">
        <f>+'Kørsel 2008-'!E24*10+'Kørsel 2008-'!E23*11+'Kørsel 2008-'!E29/18.4*11</f>
        <v>6235143.2239130447</v>
      </c>
      <c r="F5" s="50">
        <f>+'Kørsel 2008-'!F24*10+'Kørsel 2008-'!F23*11+'Kørsel 2008-'!F29/18.4*11</f>
        <v>6309522.7838043477</v>
      </c>
      <c r="G5" s="99">
        <f>+'Kørsel 2008-'!G24*10+'Kørsel 2008-'!G23*11+'Kørsel 2008-'!G29/18.4*11</f>
        <v>6433280.7352173915</v>
      </c>
      <c r="H5" s="99">
        <f>+'Kørsel 2008-'!H24*10+'Kørsel 2008-'!H23*11+'Kørsel 2008-'!H29/18.4*11</f>
        <v>6456049.3178260876</v>
      </c>
      <c r="I5" s="99">
        <f>+'Kørsel 2008-'!I24*10+'Kørsel 2008-'!I23*11+'Kørsel 2008-'!I29/18.4*11</f>
        <v>6250710.9365217397</v>
      </c>
      <c r="J5" s="99">
        <f>+'Kørsel 2008-'!J24*10+'Kørsel 2008-'!J23*11+'Kørsel 2008-'!J29/18.4*11</f>
        <v>6058784.75</v>
      </c>
      <c r="K5" s="99">
        <f>+'Kørsel 2008-'!K24*10+'Kørsel 2008-'!K23*11+'Kørsel 2008-'!K29/18.4*11</f>
        <v>0</v>
      </c>
      <c r="L5" s="99">
        <f>+'Kørsel 2008-'!L24*10+'Kørsel 2008-'!L23*11+'Kørsel 2008-'!L29/18.4*11</f>
        <v>0</v>
      </c>
      <c r="M5" s="99">
        <f>+'Kørsel 2008-'!M24*10+'Kørsel 2008-'!M23*11+'Kørsel 2008-'!M29/18.4*11</f>
        <v>0</v>
      </c>
      <c r="N5" s="99">
        <f>+'Kørsel 2008-'!N24*10+'Kørsel 2008-'!N23*11+'Kørsel 2008-'!N29/18.4*11</f>
        <v>0</v>
      </c>
      <c r="O5" s="99">
        <f>+'Kørsel 2008-'!O24*10+'Kørsel 2008-'!O23*11+'Kørsel 2008-'!O29/18.4*11</f>
        <v>0</v>
      </c>
      <c r="P5" s="99">
        <f>+'Kørsel 2008-'!P24*10+'Kørsel 2008-'!P23*11+'Kørsel 2008-'!P29/18.4*11</f>
        <v>0</v>
      </c>
      <c r="Q5" s="99">
        <f>+'Kørsel 2008-'!Q24*10+'Kørsel 2008-'!Q23*11+'Kørsel 2008-'!Q29/18.4*11</f>
        <v>0</v>
      </c>
      <c r="R5" s="99">
        <f>+'Kørsel 2008-'!R24*10+'Kørsel 2008-'!R23*11+'Kørsel 2008-'!R29/18.4*11</f>
        <v>0</v>
      </c>
      <c r="S5" s="99">
        <f>+'Kørsel 2008-'!S24*10+'Kørsel 2008-'!S23*11+'Kørsel 2008-'!S29/18.4*11</f>
        <v>0</v>
      </c>
    </row>
    <row r="6" spans="1:19" x14ac:dyDescent="0.25">
      <c r="A6" s="49" t="s">
        <v>0</v>
      </c>
      <c r="B6" s="50">
        <f>+'Gadebelysning 2008-'!B7</f>
        <v>2127619</v>
      </c>
      <c r="C6" s="50">
        <f>+'Gadebelysning 2008-'!C7</f>
        <v>1996593</v>
      </c>
      <c r="D6" s="50">
        <f>+'Gadebelysning 2008-'!D7</f>
        <v>2077517</v>
      </c>
      <c r="E6" s="50">
        <f>+'Gadebelysning 2008-'!E7</f>
        <v>1922884</v>
      </c>
      <c r="F6" s="50">
        <f>+'Gadebelysning 2008-'!F7</f>
        <v>1949860</v>
      </c>
      <c r="G6" s="99">
        <f>+'Gadebelysning 2008-'!G7</f>
        <v>1936023</v>
      </c>
      <c r="H6" s="99">
        <f>+'Gadebelysning 2008-'!H7</f>
        <v>1678645</v>
      </c>
      <c r="I6" s="99">
        <f>+'Gadebelysning 2008-'!I7</f>
        <v>1653465</v>
      </c>
      <c r="J6" s="99">
        <f>+'Gadebelysning 2008-'!J7</f>
        <v>1537929</v>
      </c>
      <c r="K6" s="99">
        <f>+'Gadebelysning 2008-'!K7</f>
        <v>0</v>
      </c>
      <c r="L6" s="99">
        <f>+'Gadebelysning 2008-'!L7</f>
        <v>0</v>
      </c>
      <c r="M6" s="99">
        <f>+'Gadebelysning 2008-'!M7</f>
        <v>0</v>
      </c>
      <c r="N6" s="99">
        <f>+'Gadebelysning 2008-'!N7</f>
        <v>0</v>
      </c>
      <c r="O6" s="99">
        <f>+'Gadebelysning 2008-'!O7</f>
        <v>0</v>
      </c>
      <c r="P6" s="99">
        <f>+'Gadebelysning 2008-'!P7</f>
        <v>0</v>
      </c>
      <c r="Q6" s="99">
        <f>+'Gadebelysning 2008-'!Q7</f>
        <v>0</v>
      </c>
      <c r="R6" s="99">
        <f>+'Gadebelysning 2008-'!R7</f>
        <v>0</v>
      </c>
      <c r="S6" s="99">
        <f>+'Gadebelysning 2008-'!S7</f>
        <v>0</v>
      </c>
    </row>
    <row r="7" spans="1:19" ht="15.75" thickBot="1" x14ac:dyDescent="0.3">
      <c r="A7" s="89" t="s">
        <v>19</v>
      </c>
      <c r="B7" s="90">
        <f t="shared" ref="B7:S7" si="0">+SUM(B3:B6)</f>
        <v>42433790.592935406</v>
      </c>
      <c r="C7" s="90">
        <f t="shared" si="0"/>
        <v>38739364.910838671</v>
      </c>
      <c r="D7" s="90">
        <f t="shared" si="0"/>
        <v>37386197.394644335</v>
      </c>
      <c r="E7" s="90">
        <f t="shared" si="0"/>
        <v>38783737.968150146</v>
      </c>
      <c r="F7" s="90">
        <f t="shared" si="0"/>
        <v>35919296.97338625</v>
      </c>
      <c r="G7" s="90">
        <f t="shared" si="0"/>
        <v>36086506.088712201</v>
      </c>
      <c r="H7" s="90">
        <f t="shared" si="0"/>
        <v>35302416.268774047</v>
      </c>
      <c r="I7" s="90">
        <f t="shared" si="0"/>
        <v>34790299.730902776</v>
      </c>
      <c r="J7" s="90">
        <f t="shared" si="0"/>
        <v>32568660.946357876</v>
      </c>
      <c r="K7" s="90">
        <f t="shared" si="0"/>
        <v>0</v>
      </c>
      <c r="L7" s="90">
        <f t="shared" si="0"/>
        <v>0</v>
      </c>
      <c r="M7" s="90">
        <f t="shared" si="0"/>
        <v>0</v>
      </c>
      <c r="N7" s="90">
        <f t="shared" si="0"/>
        <v>0</v>
      </c>
      <c r="O7" s="90">
        <f t="shared" si="0"/>
        <v>0</v>
      </c>
      <c r="P7" s="90">
        <f t="shared" si="0"/>
        <v>0</v>
      </c>
      <c r="Q7" s="90">
        <f t="shared" si="0"/>
        <v>0</v>
      </c>
      <c r="R7" s="90">
        <f t="shared" si="0"/>
        <v>0</v>
      </c>
      <c r="S7" s="90">
        <f t="shared" si="0"/>
        <v>0</v>
      </c>
    </row>
    <row r="8" spans="1:19" x14ac:dyDescent="0.25">
      <c r="A8" s="9" t="s">
        <v>108</v>
      </c>
      <c r="B8" s="134">
        <f>+B7</f>
        <v>42433790.592935406</v>
      </c>
      <c r="C8" s="134">
        <f t="shared" ref="C8:S8" si="1">+B8*0.98</f>
        <v>41585114.781076699</v>
      </c>
      <c r="D8" s="134">
        <f t="shared" si="1"/>
        <v>40753412.485455163</v>
      </c>
      <c r="E8" s="134">
        <f t="shared" si="1"/>
        <v>39938344.235746056</v>
      </c>
      <c r="F8" s="134">
        <f t="shared" si="1"/>
        <v>39139577.351031132</v>
      </c>
      <c r="G8" s="134">
        <f t="shared" si="1"/>
        <v>38356785.80401051</v>
      </c>
      <c r="H8" s="134">
        <f t="shared" si="1"/>
        <v>37589650.087930299</v>
      </c>
      <c r="I8" s="134">
        <f t="shared" si="1"/>
        <v>36837857.086171694</v>
      </c>
      <c r="J8" s="134">
        <f t="shared" si="1"/>
        <v>36101099.944448262</v>
      </c>
      <c r="K8" s="134">
        <f t="shared" si="1"/>
        <v>35379077.945559293</v>
      </c>
      <c r="L8" s="134">
        <f t="shared" si="1"/>
        <v>34671496.386648104</v>
      </c>
      <c r="M8" s="134">
        <f t="shared" si="1"/>
        <v>33978066.458915144</v>
      </c>
      <c r="N8" s="134">
        <f t="shared" si="1"/>
        <v>33298505.129736841</v>
      </c>
      <c r="O8" s="134">
        <f t="shared" si="1"/>
        <v>32632535.027142104</v>
      </c>
      <c r="P8" s="134">
        <f t="shared" si="1"/>
        <v>31979884.326599263</v>
      </c>
      <c r="Q8" s="134">
        <f t="shared" si="1"/>
        <v>31340286.640067276</v>
      </c>
      <c r="R8" s="134">
        <f t="shared" si="1"/>
        <v>30713480.907265931</v>
      </c>
      <c r="S8" s="134">
        <f t="shared" si="1"/>
        <v>30099211.289120611</v>
      </c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28"/>
      <c r="K9" s="4"/>
      <c r="L9" s="4"/>
      <c r="M9" s="4"/>
      <c r="N9" s="4"/>
      <c r="O9" s="4"/>
      <c r="P9" s="4"/>
      <c r="Q9" s="4"/>
      <c r="R9" s="4"/>
      <c r="S9" s="135"/>
    </row>
    <row r="10" spans="1:19" ht="18.75" x14ac:dyDescent="0.3">
      <c r="A10" s="53" t="s">
        <v>71</v>
      </c>
      <c r="B10" s="30"/>
      <c r="C10" s="30"/>
      <c r="D10" s="53"/>
      <c r="E10" s="30"/>
      <c r="F10" s="30"/>
      <c r="G10" s="30"/>
      <c r="H10" s="30"/>
      <c r="I10" s="30"/>
      <c r="J10" s="103"/>
      <c r="K10" s="30"/>
      <c r="L10" s="30"/>
      <c r="M10" s="30"/>
      <c r="N10" s="30"/>
      <c r="O10" s="30"/>
      <c r="P10" s="30"/>
      <c r="Q10" s="30"/>
      <c r="R10" s="30"/>
      <c r="S10" s="30"/>
    </row>
    <row r="11" spans="1:19" x14ac:dyDescent="0.25">
      <c r="A11" s="9"/>
      <c r="B11" s="9">
        <v>2008</v>
      </c>
      <c r="C11" s="9">
        <v>2009</v>
      </c>
      <c r="D11" s="9">
        <v>2010</v>
      </c>
      <c r="E11" s="9">
        <v>2011</v>
      </c>
      <c r="F11" s="9">
        <v>2012</v>
      </c>
      <c r="G11" s="9">
        <v>2013</v>
      </c>
      <c r="H11" s="9">
        <v>2014</v>
      </c>
      <c r="I11" s="9">
        <v>2015</v>
      </c>
      <c r="J11" s="9">
        <v>2016</v>
      </c>
      <c r="K11" s="9">
        <v>2017</v>
      </c>
      <c r="L11" s="9">
        <v>2018</v>
      </c>
      <c r="M11" s="9">
        <v>2019</v>
      </c>
      <c r="N11" s="9">
        <v>2020</v>
      </c>
      <c r="O11" s="9">
        <v>2021</v>
      </c>
      <c r="P11" s="9">
        <v>2022</v>
      </c>
      <c r="Q11" s="9">
        <v>2023</v>
      </c>
      <c r="R11" s="9">
        <v>2024</v>
      </c>
      <c r="S11" s="9">
        <v>2025</v>
      </c>
    </row>
    <row r="12" spans="1:19" x14ac:dyDescent="0.25">
      <c r="A12" s="29" t="s">
        <v>18</v>
      </c>
      <c r="B12" s="92">
        <f t="shared" ref="B12:F15" si="2">-1+B3/$B3</f>
        <v>0</v>
      </c>
      <c r="C12" s="92">
        <f t="shared" si="2"/>
        <v>-0.11614373498833952</v>
      </c>
      <c r="D12" s="92">
        <f t="shared" si="2"/>
        <v>-0.21627034187551741</v>
      </c>
      <c r="E12" s="92">
        <f t="shared" si="2"/>
        <v>-0.13291915681736377</v>
      </c>
      <c r="F12" s="92">
        <f t="shared" si="2"/>
        <v>-0.21597249367147398</v>
      </c>
      <c r="G12" s="92">
        <f t="shared" ref="G12:S12" si="3">IF(G3=0,"",-1+G3/$B3)</f>
        <v>-0.19419932437143539</v>
      </c>
      <c r="H12" s="92">
        <f t="shared" si="3"/>
        <v>-0.22435497890975131</v>
      </c>
      <c r="I12" s="92">
        <f t="shared" si="3"/>
        <v>-0.22187546316954287</v>
      </c>
      <c r="J12" s="92">
        <f t="shared" si="3"/>
        <v>-0.29095385299055099</v>
      </c>
      <c r="K12" s="92" t="str">
        <f t="shared" si="3"/>
        <v/>
      </c>
      <c r="L12" s="92" t="str">
        <f t="shared" si="3"/>
        <v/>
      </c>
      <c r="M12" s="92" t="str">
        <f t="shared" si="3"/>
        <v/>
      </c>
      <c r="N12" s="92" t="str">
        <f t="shared" si="3"/>
        <v/>
      </c>
      <c r="O12" s="92" t="str">
        <f t="shared" si="3"/>
        <v/>
      </c>
      <c r="P12" s="92" t="str">
        <f t="shared" si="3"/>
        <v/>
      </c>
      <c r="Q12" s="92" t="str">
        <f t="shared" si="3"/>
        <v/>
      </c>
      <c r="R12" s="92" t="str">
        <f t="shared" si="3"/>
        <v/>
      </c>
      <c r="S12" s="92" t="str">
        <f t="shared" si="3"/>
        <v/>
      </c>
    </row>
    <row r="13" spans="1:19" x14ac:dyDescent="0.25">
      <c r="A13" s="29" t="s">
        <v>12</v>
      </c>
      <c r="B13" s="92">
        <f t="shared" si="2"/>
        <v>0</v>
      </c>
      <c r="C13" s="92">
        <f t="shared" si="2"/>
        <v>-2.6721150778071578E-2</v>
      </c>
      <c r="D13" s="92">
        <f t="shared" si="2"/>
        <v>0.10868754724044738</v>
      </c>
      <c r="E13" s="92">
        <f t="shared" si="2"/>
        <v>1.2563989859848412E-3</v>
      </c>
      <c r="F13" s="92">
        <f t="shared" si="2"/>
        <v>-9.963946677407709E-2</v>
      </c>
      <c r="G13" s="92">
        <f t="shared" ref="G13:S13" si="4">IF(G4=0,"",-1+G4/$B4)</f>
        <v>-0.18442238234252073</v>
      </c>
      <c r="H13" s="92">
        <f t="shared" si="4"/>
        <v>-0.1396083988920831</v>
      </c>
      <c r="I13" s="92">
        <f t="shared" si="4"/>
        <v>-0.19376205239531274</v>
      </c>
      <c r="J13" s="92">
        <f t="shared" si="4"/>
        <v>-0.19233808206331759</v>
      </c>
      <c r="K13" s="92" t="str">
        <f t="shared" si="4"/>
        <v/>
      </c>
      <c r="L13" s="92" t="str">
        <f t="shared" si="4"/>
        <v/>
      </c>
      <c r="M13" s="92" t="str">
        <f t="shared" si="4"/>
        <v/>
      </c>
      <c r="N13" s="92" t="str">
        <f t="shared" si="4"/>
        <v/>
      </c>
      <c r="O13" s="92" t="str">
        <f t="shared" si="4"/>
        <v/>
      </c>
      <c r="P13" s="92" t="str">
        <f t="shared" si="4"/>
        <v/>
      </c>
      <c r="Q13" s="92" t="str">
        <f t="shared" si="4"/>
        <v/>
      </c>
      <c r="R13" s="92" t="str">
        <f t="shared" si="4"/>
        <v/>
      </c>
      <c r="S13" s="92" t="str">
        <f t="shared" si="4"/>
        <v/>
      </c>
    </row>
    <row r="14" spans="1:19" x14ac:dyDescent="0.25">
      <c r="A14" s="29" t="s">
        <v>16</v>
      </c>
      <c r="B14" s="92">
        <f t="shared" si="2"/>
        <v>0</v>
      </c>
      <c r="C14" s="92">
        <f t="shared" si="2"/>
        <v>-2.6139711461570236E-2</v>
      </c>
      <c r="D14" s="92">
        <f t="shared" si="2"/>
        <v>5.3532809148450156E-2</v>
      </c>
      <c r="E14" s="92">
        <f t="shared" si="2"/>
        <v>4.1336150088785661E-2</v>
      </c>
      <c r="F14" s="92">
        <f t="shared" si="2"/>
        <v>5.3758338603310252E-2</v>
      </c>
      <c r="G14" s="92">
        <f t="shared" ref="G14:S14" si="5">IF(G5=0,"",-1+G5/$B5)</f>
        <v>7.4427250934478106E-2</v>
      </c>
      <c r="H14" s="92">
        <f t="shared" si="5"/>
        <v>7.822984973698599E-2</v>
      </c>
      <c r="I14" s="92">
        <f t="shared" si="5"/>
        <v>4.3936125956453687E-2</v>
      </c>
      <c r="J14" s="92">
        <f t="shared" si="5"/>
        <v>1.1882383324324897E-2</v>
      </c>
      <c r="K14" s="92" t="str">
        <f t="shared" si="5"/>
        <v/>
      </c>
      <c r="L14" s="92" t="str">
        <f t="shared" si="5"/>
        <v/>
      </c>
      <c r="M14" s="92" t="str">
        <f t="shared" si="5"/>
        <v/>
      </c>
      <c r="N14" s="92" t="str">
        <f t="shared" si="5"/>
        <v/>
      </c>
      <c r="O14" s="92" t="str">
        <f t="shared" si="5"/>
        <v/>
      </c>
      <c r="P14" s="92" t="str">
        <f t="shared" si="5"/>
        <v/>
      </c>
      <c r="Q14" s="92" t="str">
        <f t="shared" si="5"/>
        <v/>
      </c>
      <c r="R14" s="92" t="str">
        <f t="shared" si="5"/>
        <v/>
      </c>
      <c r="S14" s="92" t="str">
        <f t="shared" si="5"/>
        <v/>
      </c>
    </row>
    <row r="15" spans="1:19" x14ac:dyDescent="0.25">
      <c r="A15" s="29" t="s">
        <v>0</v>
      </c>
      <c r="B15" s="92">
        <f t="shared" si="2"/>
        <v>0</v>
      </c>
      <c r="C15" s="92">
        <f t="shared" si="2"/>
        <v>-6.1583394395331115E-2</v>
      </c>
      <c r="D15" s="92">
        <f t="shared" si="2"/>
        <v>-2.3548389067779563E-2</v>
      </c>
      <c r="E15" s="92">
        <f t="shared" si="2"/>
        <v>-9.6227285054325984E-2</v>
      </c>
      <c r="F15" s="92">
        <f t="shared" si="2"/>
        <v>-8.3548323266524727E-2</v>
      </c>
      <c r="G15" s="92">
        <f t="shared" ref="G15:S15" si="6">IF(G6=0,"",-1+G6/$B6)</f>
        <v>-9.0051837288537051E-2</v>
      </c>
      <c r="H15" s="92">
        <f t="shared" si="6"/>
        <v>-0.21102180418580585</v>
      </c>
      <c r="I15" s="92">
        <f t="shared" si="6"/>
        <v>-0.22285662987593169</v>
      </c>
      <c r="J15" s="92">
        <f t="shared" si="6"/>
        <v>-0.27715958543329422</v>
      </c>
      <c r="K15" s="92" t="str">
        <f t="shared" si="6"/>
        <v/>
      </c>
      <c r="L15" s="92" t="str">
        <f t="shared" si="6"/>
        <v/>
      </c>
      <c r="M15" s="92" t="str">
        <f t="shared" si="6"/>
        <v/>
      </c>
      <c r="N15" s="92" t="str">
        <f t="shared" si="6"/>
        <v/>
      </c>
      <c r="O15" s="92" t="str">
        <f t="shared" si="6"/>
        <v/>
      </c>
      <c r="P15" s="92" t="str">
        <f t="shared" si="6"/>
        <v/>
      </c>
      <c r="Q15" s="92" t="str">
        <f t="shared" si="6"/>
        <v/>
      </c>
      <c r="R15" s="92" t="str">
        <f t="shared" si="6"/>
        <v/>
      </c>
      <c r="S15" s="92" t="str">
        <f t="shared" si="6"/>
        <v/>
      </c>
    </row>
    <row r="16" spans="1:19" ht="15.75" thickBot="1" x14ac:dyDescent="0.3">
      <c r="A16" s="89" t="s">
        <v>15</v>
      </c>
      <c r="B16" s="91">
        <f>IF(B7=0,"",-1+B7/$B7)</f>
        <v>0</v>
      </c>
      <c r="C16" s="91">
        <f>IF(C7=0,"",-1+C7/$B7)</f>
        <v>-8.7063296266344015E-2</v>
      </c>
      <c r="D16" s="91">
        <f>IF(D7=0,"",-1+D7/$B7)</f>
        <v>-0.11895221067361872</v>
      </c>
      <c r="E16" s="91">
        <f>IF(E7=0,"",-1+E7/$B7)</f>
        <v>-8.6017595265056035E-2</v>
      </c>
      <c r="F16" s="91">
        <f>IF(F7=0,"",-1+F7/$B7)</f>
        <v>-0.15352136890249257</v>
      </c>
      <c r="G16" s="91">
        <f t="shared" ref="G16:S16" si="7">IF(G7=0,"",-1+G7/$B7)</f>
        <v>-0.14958089804213559</v>
      </c>
      <c r="H16" s="91">
        <f t="shared" si="7"/>
        <v>-0.16805885650358621</v>
      </c>
      <c r="I16" s="91">
        <f t="shared" si="7"/>
        <v>-0.18012745868866964</v>
      </c>
      <c r="J16" s="91">
        <f t="shared" si="7"/>
        <v>-0.23248287529184175</v>
      </c>
      <c r="K16" s="91" t="str">
        <f t="shared" si="7"/>
        <v/>
      </c>
      <c r="L16" s="91" t="str">
        <f t="shared" si="7"/>
        <v/>
      </c>
      <c r="M16" s="91" t="str">
        <f t="shared" si="7"/>
        <v/>
      </c>
      <c r="N16" s="91" t="str">
        <f t="shared" si="7"/>
        <v/>
      </c>
      <c r="O16" s="91" t="str">
        <f t="shared" si="7"/>
        <v/>
      </c>
      <c r="P16" s="91" t="str">
        <f t="shared" si="7"/>
        <v/>
      </c>
      <c r="Q16" s="91" t="str">
        <f t="shared" si="7"/>
        <v/>
      </c>
      <c r="R16" s="91" t="str">
        <f t="shared" si="7"/>
        <v/>
      </c>
      <c r="S16" s="91" t="str">
        <f t="shared" si="7"/>
        <v/>
      </c>
    </row>
    <row r="18" spans="1:7" x14ac:dyDescent="0.25">
      <c r="A18" s="216"/>
      <c r="B18" s="217"/>
      <c r="C18" s="216"/>
      <c r="D18" s="216"/>
      <c r="E18" s="216"/>
      <c r="F18" s="216"/>
      <c r="G18" s="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J8" sqref="J8"/>
    </sheetView>
  </sheetViews>
  <sheetFormatPr defaultRowHeight="15" x14ac:dyDescent="0.25"/>
  <cols>
    <col min="1" max="1" width="28.85546875" customWidth="1"/>
  </cols>
  <sheetData>
    <row r="1" spans="1:19" ht="18.75" x14ac:dyDescent="0.3">
      <c r="A1" s="95" t="s">
        <v>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x14ac:dyDescent="0.25">
      <c r="A2" s="97"/>
      <c r="B2" s="133">
        <v>2008</v>
      </c>
      <c r="C2" s="133">
        <v>2009</v>
      </c>
      <c r="D2" s="133">
        <v>2010</v>
      </c>
      <c r="E2" s="133">
        <v>2011</v>
      </c>
      <c r="F2" s="133">
        <v>2012</v>
      </c>
      <c r="G2" s="133">
        <v>2013</v>
      </c>
      <c r="H2" s="133">
        <v>2014</v>
      </c>
      <c r="I2" s="133">
        <v>2015</v>
      </c>
      <c r="J2" s="133">
        <v>2016</v>
      </c>
      <c r="K2" s="133">
        <v>2017</v>
      </c>
      <c r="L2" s="133">
        <v>2018</v>
      </c>
      <c r="M2" s="133">
        <v>2019</v>
      </c>
      <c r="N2" s="133">
        <v>2020</v>
      </c>
      <c r="O2" s="133">
        <v>2021</v>
      </c>
      <c r="P2" s="133">
        <v>2022</v>
      </c>
      <c r="Q2" s="133">
        <v>2023</v>
      </c>
      <c r="R2" s="133">
        <v>2024</v>
      </c>
      <c r="S2" s="133">
        <v>2025</v>
      </c>
    </row>
    <row r="3" spans="1:19" x14ac:dyDescent="0.25">
      <c r="A3" s="64" t="s">
        <v>18</v>
      </c>
      <c r="B3" s="63">
        <f>+'Varme 2008-'!B11</f>
        <v>3268.3264519928812</v>
      </c>
      <c r="C3" s="63">
        <f>+'Varme 2008-'!C11</f>
        <v>2946.8340681409313</v>
      </c>
      <c r="D3" s="63">
        <f>+'Varme 2008-'!D11</f>
        <v>2630.6225342922639</v>
      </c>
      <c r="E3" s="63">
        <f>+'Varme 2008-'!E11</f>
        <v>2594.5794876875889</v>
      </c>
      <c r="F3" s="63">
        <f>+'Varme 2008-'!F11</f>
        <v>2396.7208503177517</v>
      </c>
      <c r="G3" s="63">
        <f>+'Varme 2008-'!G11</f>
        <v>2306.7174779862562</v>
      </c>
      <c r="H3" s="63">
        <f>+'Varme 2008-'!H11</f>
        <v>2226.3892332090522</v>
      </c>
      <c r="I3" s="63">
        <f>+'Varme 2008-'!I11</f>
        <v>2166.2535116118174</v>
      </c>
      <c r="J3" s="63">
        <f>+'Varme 2008-'!J11</f>
        <v>1993.9307988044341</v>
      </c>
      <c r="K3" s="63">
        <f>+'Varme 2008-'!K11</f>
        <v>0</v>
      </c>
      <c r="L3" s="63">
        <f>+'Varme 2008-'!L11</f>
        <v>0</v>
      </c>
      <c r="M3" s="63">
        <f>+'Varme 2008-'!M11</f>
        <v>0</v>
      </c>
      <c r="N3" s="63">
        <f>+'Varme 2008-'!N11</f>
        <v>0</v>
      </c>
      <c r="O3" s="63">
        <f>+'Varme 2008-'!O11</f>
        <v>0</v>
      </c>
      <c r="P3" s="63">
        <f>+'Varme 2008-'!P11</f>
        <v>0</v>
      </c>
      <c r="Q3" s="63">
        <f>+'Varme 2008-'!Q11</f>
        <v>0</v>
      </c>
      <c r="R3" s="63">
        <f>+'Varme 2008-'!R11</f>
        <v>0</v>
      </c>
      <c r="S3" s="63">
        <f>+'Varme 2008-'!S11</f>
        <v>0</v>
      </c>
    </row>
    <row r="4" spans="1:19" x14ac:dyDescent="0.25">
      <c r="A4" s="64" t="s">
        <v>12</v>
      </c>
      <c r="B4" s="63">
        <f>+'El 2008-'!B17</f>
        <v>3004.3322560000001</v>
      </c>
      <c r="C4" s="63">
        <f>+'El 2008-'!C17</f>
        <v>2961.8640715000001</v>
      </c>
      <c r="D4" s="63">
        <f>+'El 2008-'!D17</f>
        <v>3223.1869100000004</v>
      </c>
      <c r="E4" s="63">
        <f>+'El 2008-'!E17</f>
        <v>2450.5698420000003</v>
      </c>
      <c r="F4" s="63">
        <f>+'El 2008-'!F17</f>
        <v>1766.4000090000002</v>
      </c>
      <c r="G4" s="63">
        <f>+'El 2008-'!G17</f>
        <v>1990.8412420000002</v>
      </c>
      <c r="H4" s="63">
        <f>+'El 2008-'!H17</f>
        <v>1693.5566399999998</v>
      </c>
      <c r="I4" s="63">
        <f>+'El 2008-'!I17</f>
        <v>1054.495146</v>
      </c>
      <c r="J4" s="63">
        <f>+'El 2008-'!J17</f>
        <v>1270.7667990000002</v>
      </c>
      <c r="K4" s="63">
        <f>+'El 2008-'!K17</f>
        <v>0</v>
      </c>
      <c r="L4" s="63">
        <f>+'El 2008-'!L17</f>
        <v>0</v>
      </c>
      <c r="M4" s="63">
        <f>+'El 2008-'!M17</f>
        <v>0</v>
      </c>
      <c r="N4" s="63">
        <f>+'El 2008-'!N17</f>
        <v>0</v>
      </c>
      <c r="O4" s="63">
        <f>+'El 2008-'!O17</f>
        <v>0</v>
      </c>
      <c r="P4" s="63">
        <f>+'El 2008-'!P17</f>
        <v>0</v>
      </c>
      <c r="Q4" s="63">
        <f>+'El 2008-'!Q17</f>
        <v>0</v>
      </c>
      <c r="R4" s="63">
        <f>+'El 2008-'!R17</f>
        <v>0</v>
      </c>
      <c r="S4" s="63">
        <f>+'El 2008-'!S17</f>
        <v>0</v>
      </c>
    </row>
    <row r="5" spans="1:19" x14ac:dyDescent="0.25">
      <c r="A5" s="64" t="s">
        <v>16</v>
      </c>
      <c r="B5" s="63">
        <f>+'Kørsel 2008-'!B32</f>
        <v>1493.0264099999999</v>
      </c>
      <c r="C5" s="63">
        <f>+'Kørsel 2008-'!C32</f>
        <v>1462.849111</v>
      </c>
      <c r="D5" s="63">
        <f>+'Kørsel 2008-'!D32</f>
        <v>1592.9564400000004</v>
      </c>
      <c r="E5" s="63">
        <f>+'Kørsel 2008-'!E32</f>
        <v>1567.9259884999999</v>
      </c>
      <c r="F5" s="63">
        <f>+'Kørsel 2008-'!F32</f>
        <v>1574.3195780999999</v>
      </c>
      <c r="G5" s="63">
        <f>+'Kørsel 2008-'!G32</f>
        <v>1578.3646604999997</v>
      </c>
      <c r="H5" s="63">
        <f>+'Kørsel 2008-'!H32</f>
        <v>1581.8999540000002</v>
      </c>
      <c r="I5" s="63">
        <f>+'Kørsel 2008-'!I32</f>
        <v>1539.4828160000002</v>
      </c>
      <c r="J5" s="63">
        <f>+'Kørsel 2008-'!J32</f>
        <v>1476.9253899999999</v>
      </c>
      <c r="K5" s="63">
        <f>+'Kørsel 2008-'!K32</f>
        <v>0</v>
      </c>
      <c r="L5" s="63">
        <f>+'Kørsel 2008-'!L32</f>
        <v>0</v>
      </c>
      <c r="M5" s="63">
        <f>+'Kørsel 2008-'!M32</f>
        <v>0</v>
      </c>
      <c r="N5" s="63">
        <f>+'Kørsel 2008-'!N32</f>
        <v>0</v>
      </c>
      <c r="O5" s="63">
        <f>+'Kørsel 2008-'!O32</f>
        <v>0</v>
      </c>
      <c r="P5" s="63">
        <f>+'Kørsel 2008-'!P32</f>
        <v>0</v>
      </c>
      <c r="Q5" s="63">
        <f>+'Kørsel 2008-'!Q32</f>
        <v>0</v>
      </c>
      <c r="R5" s="63">
        <f>+'Kørsel 2008-'!R32</f>
        <v>0</v>
      </c>
      <c r="S5" s="63">
        <f>+'Kørsel 2008-'!S32</f>
        <v>0</v>
      </c>
    </row>
    <row r="6" spans="1:19" x14ac:dyDescent="0.25">
      <c r="A6" s="64" t="s">
        <v>0</v>
      </c>
      <c r="B6" s="63">
        <f>+'Gadebelysning 2008-'!B10</f>
        <v>987.21521600000005</v>
      </c>
      <c r="C6" s="63">
        <f>+'Gadebelysning 2008-'!C10</f>
        <v>938.39870999999994</v>
      </c>
      <c r="D6" s="63">
        <f>+'Gadebelysning 2008-'!D10</f>
        <v>932.80513300000007</v>
      </c>
      <c r="E6" s="63">
        <f>+'Gadebelysning 2008-'!E10</f>
        <v>726.85015199999998</v>
      </c>
      <c r="F6" s="63">
        <f>+'Gadebelysning 2008-'!F10</f>
        <v>590.80757999999992</v>
      </c>
      <c r="G6" s="63">
        <f>+'Gadebelysning 2008-'!G10</f>
        <v>729.88067100000001</v>
      </c>
      <c r="H6" s="63">
        <f>+'Gadebelysning 2008-'!H10</f>
        <v>510.30808000000002</v>
      </c>
      <c r="I6" s="63">
        <f>+'Gadebelysning 2008-'!I10</f>
        <v>333.99993000000001</v>
      </c>
      <c r="J6" s="63">
        <f>+'Gadebelysning 2008-'!J10</f>
        <v>373.716747</v>
      </c>
      <c r="K6" s="63">
        <f>+'Gadebelysning 2008-'!K10</f>
        <v>0</v>
      </c>
      <c r="L6" s="63">
        <f>+'Gadebelysning 2008-'!L10</f>
        <v>0</v>
      </c>
      <c r="M6" s="63">
        <f>+'Gadebelysning 2008-'!M10</f>
        <v>0</v>
      </c>
      <c r="N6" s="63">
        <f>+'Gadebelysning 2008-'!N10</f>
        <v>0</v>
      </c>
      <c r="O6" s="63">
        <f>+'Gadebelysning 2008-'!O10</f>
        <v>0</v>
      </c>
      <c r="P6" s="63">
        <f>+'Gadebelysning 2008-'!P10</f>
        <v>0</v>
      </c>
      <c r="Q6" s="63">
        <f>+'Gadebelysning 2008-'!Q10</f>
        <v>0</v>
      </c>
      <c r="R6" s="63">
        <f>+'Gadebelysning 2008-'!R10</f>
        <v>0</v>
      </c>
      <c r="S6" s="63">
        <f>+'Gadebelysning 2008-'!S10</f>
        <v>0</v>
      </c>
    </row>
    <row r="7" spans="1:19" ht="15.75" thickBot="1" x14ac:dyDescent="0.3">
      <c r="A7" s="98" t="s">
        <v>15</v>
      </c>
      <c r="B7" s="136">
        <f t="shared" ref="B7:S7" si="0">+SUM(B3:B6)</f>
        <v>8752.9003339928822</v>
      </c>
      <c r="C7" s="136">
        <f t="shared" si="0"/>
        <v>8309.9459606409309</v>
      </c>
      <c r="D7" s="136">
        <f t="shared" si="0"/>
        <v>8379.5710172922645</v>
      </c>
      <c r="E7" s="136">
        <f t="shared" si="0"/>
        <v>7339.9254701875889</v>
      </c>
      <c r="F7" s="136">
        <f t="shared" si="0"/>
        <v>6328.2480174177517</v>
      </c>
      <c r="G7" s="136">
        <f t="shared" si="0"/>
        <v>6605.804051486256</v>
      </c>
      <c r="H7" s="136">
        <f t="shared" si="0"/>
        <v>6012.1539072090518</v>
      </c>
      <c r="I7" s="136">
        <f t="shared" si="0"/>
        <v>5094.2314036118169</v>
      </c>
      <c r="J7" s="136">
        <f t="shared" si="0"/>
        <v>5115.3397348044346</v>
      </c>
      <c r="K7" s="136">
        <f t="shared" si="0"/>
        <v>0</v>
      </c>
      <c r="L7" s="136">
        <f t="shared" si="0"/>
        <v>0</v>
      </c>
      <c r="M7" s="136">
        <f t="shared" si="0"/>
        <v>0</v>
      </c>
      <c r="N7" s="136">
        <f t="shared" si="0"/>
        <v>0</v>
      </c>
      <c r="O7" s="136">
        <f t="shared" si="0"/>
        <v>0</v>
      </c>
      <c r="P7" s="136">
        <f t="shared" si="0"/>
        <v>0</v>
      </c>
      <c r="Q7" s="136">
        <f t="shared" si="0"/>
        <v>0</v>
      </c>
      <c r="R7" s="136">
        <f t="shared" si="0"/>
        <v>0</v>
      </c>
      <c r="S7" s="136">
        <f t="shared" si="0"/>
        <v>0</v>
      </c>
    </row>
    <row r="8" spans="1:19" ht="15.75" thickBot="1" x14ac:dyDescent="0.3">
      <c r="A8" s="106" t="s">
        <v>108</v>
      </c>
      <c r="B8" s="137">
        <f>+B7</f>
        <v>8752.9003339928822</v>
      </c>
      <c r="C8" s="137">
        <f>+B7*0.98</f>
        <v>8577.8423273130247</v>
      </c>
      <c r="D8" s="137">
        <f t="shared" ref="D8:J8" si="1">+C7*0.98</f>
        <v>8143.7470414281124</v>
      </c>
      <c r="E8" s="137">
        <f t="shared" si="1"/>
        <v>8211.9795969464194</v>
      </c>
      <c r="F8" s="137">
        <f t="shared" si="1"/>
        <v>7193.1269607838367</v>
      </c>
      <c r="G8" s="137">
        <f t="shared" si="1"/>
        <v>6201.6830570693965</v>
      </c>
      <c r="H8" s="137">
        <f t="shared" si="1"/>
        <v>6473.6879704565308</v>
      </c>
      <c r="I8" s="137">
        <f t="shared" si="1"/>
        <v>5891.910829064871</v>
      </c>
      <c r="J8" s="137">
        <f t="shared" si="1"/>
        <v>4992.3467755395804</v>
      </c>
      <c r="K8" s="137">
        <f t="shared" ref="K8:S8" si="2">+J8*0.98</f>
        <v>4892.4998400287886</v>
      </c>
      <c r="L8" s="137">
        <f t="shared" si="2"/>
        <v>4794.6498432282124</v>
      </c>
      <c r="M8" s="137">
        <f t="shared" si="2"/>
        <v>4698.756846363648</v>
      </c>
      <c r="N8" s="137">
        <f t="shared" si="2"/>
        <v>4604.7817094363754</v>
      </c>
      <c r="O8" s="137">
        <f t="shared" si="2"/>
        <v>4512.6860752476478</v>
      </c>
      <c r="P8" s="137">
        <f t="shared" si="2"/>
        <v>4422.4323537426944</v>
      </c>
      <c r="Q8" s="137">
        <f t="shared" si="2"/>
        <v>4333.9837066678401</v>
      </c>
      <c r="R8" s="137">
        <f t="shared" si="2"/>
        <v>4247.3040325344837</v>
      </c>
      <c r="S8" s="137">
        <f t="shared" si="2"/>
        <v>4162.3579518837942</v>
      </c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75" x14ac:dyDescent="0.3">
      <c r="A10" s="95" t="s">
        <v>72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x14ac:dyDescent="0.25">
      <c r="A11" s="96"/>
      <c r="B11" s="97">
        <v>2008</v>
      </c>
      <c r="C11" s="97">
        <v>2009</v>
      </c>
      <c r="D11" s="97">
        <v>2010</v>
      </c>
      <c r="E11" s="97">
        <v>2011</v>
      </c>
      <c r="F11" s="97">
        <v>2012</v>
      </c>
      <c r="G11" s="97">
        <v>2013</v>
      </c>
      <c r="H11" s="97">
        <v>2014</v>
      </c>
      <c r="I11" s="97">
        <v>2015</v>
      </c>
      <c r="J11" s="97">
        <v>2016</v>
      </c>
      <c r="K11" s="97">
        <v>2017</v>
      </c>
      <c r="L11" s="97">
        <v>2018</v>
      </c>
      <c r="M11" s="97">
        <v>2019</v>
      </c>
      <c r="N11" s="97">
        <v>2020</v>
      </c>
      <c r="O11" s="97">
        <v>2021</v>
      </c>
      <c r="P11" s="97">
        <v>2022</v>
      </c>
      <c r="Q11" s="97">
        <v>2023</v>
      </c>
      <c r="R11" s="97">
        <v>2024</v>
      </c>
      <c r="S11" s="97">
        <v>2025</v>
      </c>
    </row>
    <row r="12" spans="1:19" x14ac:dyDescent="0.25">
      <c r="A12" s="64" t="s">
        <v>18</v>
      </c>
      <c r="B12" s="81">
        <f t="shared" ref="B12:F15" si="3">-1+B3/$B3</f>
        <v>0</v>
      </c>
      <c r="C12" s="81">
        <f t="shared" si="3"/>
        <v>-9.8366056320939976E-2</v>
      </c>
      <c r="D12" s="81">
        <f t="shared" si="3"/>
        <v>-0.1951163468728081</v>
      </c>
      <c r="E12" s="81">
        <f t="shared" si="3"/>
        <v>-0.20614432927728843</v>
      </c>
      <c r="F12" s="81">
        <f t="shared" si="3"/>
        <v>-0.26668254058393182</v>
      </c>
      <c r="G12" s="81">
        <f t="shared" ref="G12:S12" si="4">IF(G3=0,"",-1+G3/$B3)</f>
        <v>-0.29422060131731276</v>
      </c>
      <c r="H12" s="81">
        <f t="shared" si="4"/>
        <v>-0.3187983924153297</v>
      </c>
      <c r="I12" s="81">
        <f t="shared" si="4"/>
        <v>-0.33719793801780984</v>
      </c>
      <c r="J12" s="81">
        <f t="shared" si="4"/>
        <v>-0.38992299940276065</v>
      </c>
      <c r="K12" s="81" t="str">
        <f t="shared" si="4"/>
        <v/>
      </c>
      <c r="L12" s="81" t="str">
        <f t="shared" si="4"/>
        <v/>
      </c>
      <c r="M12" s="81" t="str">
        <f t="shared" si="4"/>
        <v/>
      </c>
      <c r="N12" s="81" t="str">
        <f t="shared" si="4"/>
        <v/>
      </c>
      <c r="O12" s="81" t="str">
        <f t="shared" si="4"/>
        <v/>
      </c>
      <c r="P12" s="81" t="str">
        <f t="shared" si="4"/>
        <v/>
      </c>
      <c r="Q12" s="81" t="str">
        <f t="shared" si="4"/>
        <v/>
      </c>
      <c r="R12" s="81" t="str">
        <f t="shared" si="4"/>
        <v/>
      </c>
      <c r="S12" s="81" t="str">
        <f t="shared" si="4"/>
        <v/>
      </c>
    </row>
    <row r="13" spans="1:19" x14ac:dyDescent="0.25">
      <c r="A13" s="64" t="s">
        <v>12</v>
      </c>
      <c r="B13" s="81">
        <f t="shared" si="3"/>
        <v>0</v>
      </c>
      <c r="C13" s="81">
        <f t="shared" si="3"/>
        <v>-1.4135648417443192E-2</v>
      </c>
      <c r="D13" s="81">
        <f t="shared" si="3"/>
        <v>7.2846354980519168E-2</v>
      </c>
      <c r="E13" s="81">
        <f t="shared" si="3"/>
        <v>-0.18432129565365885</v>
      </c>
      <c r="F13" s="81">
        <f t="shared" si="3"/>
        <v>-0.41204904834600287</v>
      </c>
      <c r="G13" s="81">
        <f t="shared" ref="G13:S13" si="5">IF(G4=0,"",-1+G4/$B4)</f>
        <v>-0.33734318565329813</v>
      </c>
      <c r="H13" s="81">
        <f t="shared" si="5"/>
        <v>-0.43629515789481321</v>
      </c>
      <c r="I13" s="81">
        <f t="shared" si="5"/>
        <v>-0.64900847970658004</v>
      </c>
      <c r="J13" s="81">
        <f t="shared" si="5"/>
        <v>-0.57702188349436667</v>
      </c>
      <c r="K13" s="81" t="str">
        <f t="shared" si="5"/>
        <v/>
      </c>
      <c r="L13" s="81" t="str">
        <f t="shared" si="5"/>
        <v/>
      </c>
      <c r="M13" s="81" t="str">
        <f t="shared" si="5"/>
        <v/>
      </c>
      <c r="N13" s="81" t="str">
        <f t="shared" si="5"/>
        <v/>
      </c>
      <c r="O13" s="81" t="str">
        <f t="shared" si="5"/>
        <v/>
      </c>
      <c r="P13" s="81" t="str">
        <f t="shared" si="5"/>
        <v/>
      </c>
      <c r="Q13" s="81" t="str">
        <f t="shared" si="5"/>
        <v/>
      </c>
      <c r="R13" s="81" t="str">
        <f t="shared" si="5"/>
        <v/>
      </c>
      <c r="S13" s="81" t="str">
        <f t="shared" si="5"/>
        <v/>
      </c>
    </row>
    <row r="14" spans="1:19" x14ac:dyDescent="0.25">
      <c r="A14" s="64" t="s">
        <v>16</v>
      </c>
      <c r="B14" s="81">
        <f t="shared" si="3"/>
        <v>0</v>
      </c>
      <c r="C14" s="81">
        <f t="shared" si="3"/>
        <v>-2.0212166910028029E-2</v>
      </c>
      <c r="D14" s="81">
        <f t="shared" si="3"/>
        <v>6.6931187104721346E-2</v>
      </c>
      <c r="E14" s="81">
        <f t="shared" si="3"/>
        <v>5.0166278371458928E-2</v>
      </c>
      <c r="F14" s="81">
        <f t="shared" si="3"/>
        <v>5.4448580115873613E-2</v>
      </c>
      <c r="G14" s="81">
        <f t="shared" ref="G14:S14" si="6">IF(G5=0,"",-1+G5/$B5)</f>
        <v>5.7157897494927612E-2</v>
      </c>
      <c r="H14" s="81">
        <f t="shared" si="6"/>
        <v>5.9525768201247109E-2</v>
      </c>
      <c r="I14" s="81">
        <f t="shared" si="6"/>
        <v>3.111559560423327E-2</v>
      </c>
      <c r="J14" s="81">
        <f t="shared" si="6"/>
        <v>-1.0784149491367745E-2</v>
      </c>
      <c r="K14" s="81" t="str">
        <f t="shared" si="6"/>
        <v/>
      </c>
      <c r="L14" s="81" t="str">
        <f t="shared" si="6"/>
        <v/>
      </c>
      <c r="M14" s="81" t="str">
        <f t="shared" si="6"/>
        <v/>
      </c>
      <c r="N14" s="81" t="str">
        <f t="shared" si="6"/>
        <v/>
      </c>
      <c r="O14" s="81" t="str">
        <f t="shared" si="6"/>
        <v/>
      </c>
      <c r="P14" s="81" t="str">
        <f t="shared" si="6"/>
        <v/>
      </c>
      <c r="Q14" s="81" t="str">
        <f t="shared" si="6"/>
        <v/>
      </c>
      <c r="R14" s="81" t="str">
        <f t="shared" si="6"/>
        <v/>
      </c>
      <c r="S14" s="81" t="str">
        <f t="shared" si="6"/>
        <v/>
      </c>
    </row>
    <row r="15" spans="1:19" x14ac:dyDescent="0.25">
      <c r="A15" s="64" t="s">
        <v>0</v>
      </c>
      <c r="B15" s="81">
        <f t="shared" si="3"/>
        <v>0</v>
      </c>
      <c r="C15" s="81">
        <f t="shared" si="3"/>
        <v>-4.9448696909063949E-2</v>
      </c>
      <c r="D15" s="81">
        <f t="shared" si="3"/>
        <v>-5.5114712697053925E-2</v>
      </c>
      <c r="E15" s="81">
        <f t="shared" si="3"/>
        <v>-0.2637368830830501</v>
      </c>
      <c r="F15" s="81">
        <f t="shared" si="3"/>
        <v>-0.40154125420206255</v>
      </c>
      <c r="G15" s="81">
        <f t="shared" ref="G15:S15" si="7">IF(G6=0,"",-1+G6/$B6)</f>
        <v>-0.26066711779693641</v>
      </c>
      <c r="H15" s="81">
        <f t="shared" si="7"/>
        <v>-0.48308325101828653</v>
      </c>
      <c r="I15" s="81">
        <f t="shared" si="7"/>
        <v>-0.6616746535235738</v>
      </c>
      <c r="J15" s="81">
        <f t="shared" si="7"/>
        <v>-0.62144348978510888</v>
      </c>
      <c r="K15" s="81" t="str">
        <f t="shared" si="7"/>
        <v/>
      </c>
      <c r="L15" s="81" t="str">
        <f t="shared" si="7"/>
        <v/>
      </c>
      <c r="M15" s="81" t="str">
        <f t="shared" si="7"/>
        <v/>
      </c>
      <c r="N15" s="81" t="str">
        <f t="shared" si="7"/>
        <v/>
      </c>
      <c r="O15" s="81" t="str">
        <f t="shared" si="7"/>
        <v/>
      </c>
      <c r="P15" s="81" t="str">
        <f t="shared" si="7"/>
        <v/>
      </c>
      <c r="Q15" s="81" t="str">
        <f t="shared" si="7"/>
        <v/>
      </c>
      <c r="R15" s="81" t="str">
        <f t="shared" si="7"/>
        <v/>
      </c>
      <c r="S15" s="81" t="str">
        <f t="shared" si="7"/>
        <v/>
      </c>
    </row>
    <row r="16" spans="1:19" ht="15.75" thickBot="1" x14ac:dyDescent="0.3">
      <c r="A16" s="98" t="s">
        <v>15</v>
      </c>
      <c r="B16" s="128">
        <f>IF(B7=0,"",-1+B7/$B7)</f>
        <v>0</v>
      </c>
      <c r="C16" s="128">
        <f>IF(C7=0,"",-1+C7/$B7)</f>
        <v>-5.0606582555463131E-2</v>
      </c>
      <c r="D16" s="128">
        <f>IF(D7=0,"",-1+D7/$B7)</f>
        <v>-4.2652069880283139E-2</v>
      </c>
      <c r="E16" s="128">
        <f>IF(E7=0,"",-1+E7/$B7)</f>
        <v>-0.16142933312262742</v>
      </c>
      <c r="F16" s="128">
        <f>IF(F7=0,"",-1+F7/$B7)</f>
        <v>-0.27701130186056366</v>
      </c>
      <c r="G16" s="128">
        <f t="shared" ref="G16:S16" si="8">IF(G7=0,"",-1+G7/$B7)</f>
        <v>-0.24530112312237051</v>
      </c>
      <c r="H16" s="128">
        <f t="shared" si="8"/>
        <v>-0.31312437274532079</v>
      </c>
      <c r="I16" s="128">
        <f t="shared" si="8"/>
        <v>-0.41799504058925574</v>
      </c>
      <c r="J16" s="128">
        <f t="shared" si="8"/>
        <v>-0.41558345924054085</v>
      </c>
      <c r="K16" s="128" t="str">
        <f t="shared" si="8"/>
        <v/>
      </c>
      <c r="L16" s="128" t="str">
        <f t="shared" si="8"/>
        <v/>
      </c>
      <c r="M16" s="128" t="str">
        <f t="shared" si="8"/>
        <v/>
      </c>
      <c r="N16" s="128" t="str">
        <f t="shared" si="8"/>
        <v/>
      </c>
      <c r="O16" s="128" t="str">
        <f t="shared" si="8"/>
        <v/>
      </c>
      <c r="P16" s="128" t="str">
        <f t="shared" si="8"/>
        <v/>
      </c>
      <c r="Q16" s="128" t="str">
        <f t="shared" si="8"/>
        <v/>
      </c>
      <c r="R16" s="128" t="str">
        <f t="shared" si="8"/>
        <v/>
      </c>
      <c r="S16" s="128" t="str">
        <f t="shared" si="8"/>
        <v/>
      </c>
    </row>
    <row r="17" spans="1:19" ht="15.75" thickBot="1" x14ac:dyDescent="0.3">
      <c r="A17" s="106" t="s">
        <v>73</v>
      </c>
      <c r="B17" s="127">
        <f>1-1</f>
        <v>0</v>
      </c>
      <c r="C17" s="127">
        <f>1*0.98^1-1</f>
        <v>-2.0000000000000018E-2</v>
      </c>
      <c r="D17" s="127">
        <f>1*0.98^2-1</f>
        <v>-3.960000000000008E-2</v>
      </c>
      <c r="E17" s="127">
        <f>1*0.98^3-1</f>
        <v>-5.8808000000000082E-2</v>
      </c>
      <c r="F17" s="127">
        <f>1*0.98^4-1</f>
        <v>-7.7631840000000119E-2</v>
      </c>
      <c r="G17" s="127">
        <f>1*0.98^5-1</f>
        <v>-9.6079203200000185E-2</v>
      </c>
      <c r="H17" s="127">
        <f>1*0.98^6-1</f>
        <v>-0.1141576191360002</v>
      </c>
      <c r="I17" s="127">
        <f>1*0.98^7-1</f>
        <v>-0.13187446675328018</v>
      </c>
      <c r="J17" s="127">
        <f>1*0.98^8-1</f>
        <v>-0.14923697741821462</v>
      </c>
      <c r="K17" s="127">
        <f>1*0.98^9-1</f>
        <v>-0.16625223786985033</v>
      </c>
      <c r="L17" s="127">
        <f>1*0.98^10-1</f>
        <v>-0.18292719311245342</v>
      </c>
      <c r="M17" s="127">
        <f>1*0.98^11-1</f>
        <v>-0.19926864925020438</v>
      </c>
      <c r="N17" s="127">
        <f>1*0.98^12-1</f>
        <v>-0.21528327626520027</v>
      </c>
      <c r="O17" s="127">
        <f>1*0.98^13-1</f>
        <v>-0.23097761073989631</v>
      </c>
      <c r="P17" s="127">
        <f>1*0.98^14-1</f>
        <v>-0.2463580585250984</v>
      </c>
      <c r="Q17" s="127">
        <f>1*0.98^15-1</f>
        <v>-0.26143089735459646</v>
      </c>
      <c r="R17" s="127">
        <f>1*0.98^16-1</f>
        <v>-0.27620227940750453</v>
      </c>
      <c r="S17" s="127">
        <f>1*0.98^17-1</f>
        <v>-0.29067823381935443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opLeftCell="E1" workbookViewId="0">
      <selection activeCell="H11" sqref="H11"/>
    </sheetView>
  </sheetViews>
  <sheetFormatPr defaultRowHeight="15" x14ac:dyDescent="0.25"/>
  <cols>
    <col min="1" max="1" width="27.42578125" style="7" bestFit="1" customWidth="1"/>
    <col min="2" max="6" width="11.7109375" style="7" customWidth="1"/>
    <col min="7" max="23" width="11.7109375" style="10" customWidth="1"/>
    <col min="24" max="16384" width="9.140625" style="10"/>
  </cols>
  <sheetData>
    <row r="1" spans="1:20" ht="18.75" x14ac:dyDescent="0.3">
      <c r="A1" s="47" t="s">
        <v>44</v>
      </c>
    </row>
    <row r="2" spans="1:20" x14ac:dyDescent="0.25">
      <c r="A2" s="36"/>
    </row>
    <row r="3" spans="1:20" ht="30" x14ac:dyDescent="0.25">
      <c r="A3" s="32" t="s">
        <v>53</v>
      </c>
      <c r="B3" s="131" t="s">
        <v>97</v>
      </c>
      <c r="C3" s="131" t="s">
        <v>98</v>
      </c>
      <c r="D3" s="131" t="s">
        <v>99</v>
      </c>
      <c r="E3" s="131" t="s">
        <v>100</v>
      </c>
      <c r="F3" s="131" t="s">
        <v>101</v>
      </c>
      <c r="G3" s="142" t="s">
        <v>102</v>
      </c>
      <c r="H3" s="142" t="s">
        <v>103</v>
      </c>
      <c r="I3" s="142" t="s">
        <v>104</v>
      </c>
      <c r="J3" s="142" t="s">
        <v>105</v>
      </c>
      <c r="K3" s="142" t="s">
        <v>106</v>
      </c>
      <c r="L3" s="142" t="s">
        <v>107</v>
      </c>
      <c r="M3" s="142" t="s">
        <v>111</v>
      </c>
      <c r="N3" s="142" t="s">
        <v>112</v>
      </c>
      <c r="O3" s="142" t="s">
        <v>113</v>
      </c>
      <c r="P3" s="142" t="s">
        <v>114</v>
      </c>
      <c r="Q3" s="142" t="s">
        <v>115</v>
      </c>
      <c r="R3" s="142" t="s">
        <v>116</v>
      </c>
      <c r="S3" s="142" t="s">
        <v>117</v>
      </c>
    </row>
    <row r="4" spans="1:20" x14ac:dyDescent="0.25">
      <c r="A4" s="44" t="s">
        <v>23</v>
      </c>
      <c r="B4" s="45">
        <f>SUMIFS(B30:B100,C30:C100,"=Fj*")*B16*0.8+SUMIFS(B30:B100,C30:C100,"=Fj*")*0.2</f>
        <v>15301917.959033374</v>
      </c>
      <c r="C4" s="45">
        <f>SUMIFS(D30:D100,E30:E100,"=Fj*")*C16*0.8+SUMIFS(D30:D100,E30:E100,"=Fj*")*0.2</f>
        <v>13187316.017220862</v>
      </c>
      <c r="D4" s="45">
        <f>SUMIFS(F30:F100,G30:G100,"=Fj*")*D16*0.8+SUMIFS(F30:F100,G30:G100,"=Fj*")*0.2</f>
        <v>11492702.922636105</v>
      </c>
      <c r="E4" s="45">
        <f>SUMIFS(H30:H100,I30:I100,"=Fj*")*E16*0.8+SUMIFS(H30:H100,I30:I100,"=Fj*")*0.2</f>
        <v>14459787.294621294</v>
      </c>
      <c r="F4" s="45">
        <f>SUMIFS(J30:J100,K30:K100,"=Fj*")*F16*0.8+SUMIFS(J30:J100,K30:K100,"=Fj*")*0.2</f>
        <v>12683135.709389994</v>
      </c>
      <c r="G4" s="153">
        <f>SUMIFS(L30:L100,M30:M100,"=Fj*")*G16*0.8+SUMIFS(L30:L100,M30:M100,"=Fj*")*0.2</f>
        <v>13892809.839861594</v>
      </c>
      <c r="H4" s="157">
        <f>SUMIFS(N30:N100,O30:O100,"=Fj*")*H16*0.8+SUMIFS(N30:N100,O30:O100,"=Fj*")*0.2</f>
        <v>13318723.010730132</v>
      </c>
      <c r="I4" s="157">
        <f>SUMIFS(P30:P100,Q30:Q100,"=Fj*")*I16*0.8+SUMIFS(P30:P100,Q30:Q100,"=Fj*")*0.2</f>
        <v>13487780.206672521</v>
      </c>
      <c r="J4" s="157">
        <f>SUMIFS(R30:R100,S30:S100,"=Fj*")*J16*0.8+SUMIFS(R30:R100,S30:S100,"=Fj*")*0.2</f>
        <v>12247637.252573239</v>
      </c>
      <c r="K4" s="157">
        <f>SUMIFS(T30:T100,U30:U100,"=Fj*")*K16*0.8+SUMIFS(T30:T100,U30:U100,"=Fj*")*0.2</f>
        <v>0</v>
      </c>
      <c r="L4" s="157">
        <f>SUMIFS(V30:V100,W30:W100,"=Fj*")*L16*0.8+SUMIFS(V30:V100,W30:W100,"=Fj*")*0.2</f>
        <v>0</v>
      </c>
      <c r="M4" s="157">
        <f>SUMIFS(X30:X100,Y30:Y100,"=Fj*")*M16*0.8+SUMIFS(X30:X100,Y30:Y100,"=Fj*")*0.2</f>
        <v>0</v>
      </c>
      <c r="N4" s="157">
        <f>SUMIFS(Z30:Z100,AA30:AA100,"=Fj*")*N16*0.8+SUMIFS(Z30:Z100,AA30:AA100,"=Fj*")*0.2</f>
        <v>0</v>
      </c>
      <c r="O4" s="157">
        <f>SUMIFS(AB30:AB100,AC30:AC100,"=Fj*")*O16*0.8+SUMIFS(AB30:AB100,AC30:AC100,"=Fj*")*0.2</f>
        <v>0</v>
      </c>
      <c r="P4" s="157">
        <f>SUMIFS(AD30:AD100,AE30:AE100,"=Fj*")*P16*0.8+SUMIFS(AD30:AD100,AE30:AE100,"=Fj*")*0.2</f>
        <v>0</v>
      </c>
      <c r="Q4" s="157">
        <f>SUMIFS(AF30:AF100,AG30:AG100,"=Fj*")*Q16*0.8+SUMIFS(AF30:AF100,AG30:AG100,"=Fj*")*0.2</f>
        <v>0</v>
      </c>
      <c r="R4" s="157">
        <f>SUMIFS(AH30:AH100,AI30:AI100,"=Fj*")*R16*0.8+SUMIFS(AH30:AH100,AI30:AI100,"=Fj*")*0.2</f>
        <v>0</v>
      </c>
      <c r="S4" s="157">
        <f>SUMIFS(AJ30:AJ100,AK30:AK100,"=Fj*")*S16*0.8+SUMIFS(AJ30:AJ100,AK30:AK100,"=Fj*")*0.2</f>
        <v>0</v>
      </c>
      <c r="T4" s="165"/>
    </row>
    <row r="5" spans="1:20" x14ac:dyDescent="0.25">
      <c r="A5" s="44" t="s">
        <v>24</v>
      </c>
      <c r="B5" s="45">
        <f>SUMIFS(B30:B100,C30:C100,"=Ol*")*B16*0.8+SUMIFS(B30:B100,C30:C100,"=Ol*")*0.2</f>
        <v>4000080.2674338324</v>
      </c>
      <c r="C5" s="45">
        <f>SUMIFS(D30:D100,E30:E100,"=Ol*")*C16*0.8+SUMIFS(D30:D100,E30:E100,"=Ol*")*0.2</f>
        <v>3768294.7827091357</v>
      </c>
      <c r="D5" s="45">
        <f>SUMIFS(F30:F100,G30:G100,"=Ol*")*D16*0.8+SUMIFS(F30:F100,G30:G100,"=Ol*")*0.2</f>
        <v>3381649.6665902585</v>
      </c>
      <c r="E5" s="45">
        <f>SUMIFS(H30:H100,I30:I100,"=Ol*")*E16*0.8+SUMIFS(H30:H100,I30:I100,"=Ol*")*0.2</f>
        <v>2679373.4177094772</v>
      </c>
      <c r="F5" s="45">
        <f>SUMIFS(J30:J100,K30:K100,"=Ol*")*F16*0.8+SUMIFS(J30:J100,K30:K100,"=Ol*")*0.2</f>
        <v>2154445.6404386568</v>
      </c>
      <c r="G5" s="153">
        <f>SUMIFS(L30:L100,M30:M100,"=Ol*")*G16*0.8+SUMIFS(L30:L100,M30:M100,"=Ol*")*0.2</f>
        <v>1997862.6465051905</v>
      </c>
      <c r="H5" s="157">
        <f>SUMIFS(N30:N100,O30:O100,"=Ol*")*H16*0.8+SUMIFS(N30:N100,O30:O100,"=Ol*")*0.2</f>
        <v>2143335.1411052844</v>
      </c>
      <c r="I5" s="157">
        <f>SUMIFS(P30:P100,Q30:Q100,"=Ol*")*I16*0.8+SUMIFS(P30:P100,Q30:Q100,"=Ol*")*0.2</f>
        <v>2088503.9288849868</v>
      </c>
      <c r="J5" s="157">
        <f>SUMIFS(R30:R100,S30:S100,"=Ol*")*J16*0.8+SUMIFS(R30:R100,S30:S100,"=Ol*")*0.2</f>
        <v>1717213.9746634997</v>
      </c>
      <c r="K5" s="157">
        <f>SUMIFS(T30:T100,U30:U100,"=Ol*")*K16*0.8+SUMIFS(T30:T100,U30:U100,"=Ol*")*0.2</f>
        <v>0</v>
      </c>
      <c r="L5" s="157">
        <f>SUMIFS(V30:V100,W30:W100,"=Ol*")*L16*0.8+SUMIFS(V30:V100,W30:W100,"=Ol*")*0.2</f>
        <v>0</v>
      </c>
      <c r="M5" s="157">
        <f>SUMIFS(X30:X100,Y30:Y100,"=Ol*")*M16*0.8+SUMIFS(X30:X100,Y30:Y100,"=Ol*")*0.2</f>
        <v>0</v>
      </c>
      <c r="N5" s="157">
        <f>SUMIFS(Z30:Z100,AA30:AA100,"=Ol*")*N16*0.8+SUMIFS(Z30:Z100,AA30:AA100,"=Ol*")*0.2</f>
        <v>0</v>
      </c>
      <c r="O5" s="157">
        <f>SUMIFS(AB30:AB100,AC30:AC100,"=Ol*")*O16*0.8+SUMIFS(AB30:AB100,AC30:AC100,"=Ol*")*0.2</f>
        <v>0</v>
      </c>
      <c r="P5" s="157">
        <f>SUMIFS(AD30:AD100,AE30:AE100,"=Ol*")*P16*0.8+SUMIFS(AD30:AD100,AE30:AE100,"=Ol*")*0.2</f>
        <v>0</v>
      </c>
      <c r="Q5" s="157">
        <f>SUMIFS(AF30:AF100,AG30:AG100,"=Ol*")*Q16*0.8+SUMIFS(AF30:AF100,AG30:AG100,"=Ol*")*0.2</f>
        <v>0</v>
      </c>
      <c r="R5" s="157">
        <f>SUMIFS(AH30:AH100,AI30:AI100,"=Ol*")*R16*0.8+SUMIFS(AH30:AH100,AI30:AI100,"=Ol*")*0.2</f>
        <v>0</v>
      </c>
      <c r="S5" s="157">
        <f>SUMIFS(AJ30:AJ100,AK30:AK100,"=Ol*")*S16*0.8+SUMIFS(AJ30:AJ100,AK30:AK100,"=Ol*")*0.2</f>
        <v>0</v>
      </c>
      <c r="T5" s="165"/>
    </row>
    <row r="6" spans="1:20" x14ac:dyDescent="0.25">
      <c r="A6" s="44" t="s">
        <v>28</v>
      </c>
      <c r="B6" s="45">
        <f>SUMIFS(B30:B100,C30:C100,"=Na*")*0.8*B16+SUMIFS(B30:B100,C30:C100,"=Na*")*0.2</f>
        <v>7853817.5993862692</v>
      </c>
      <c r="C6" s="45">
        <f>SUMIFS(D30:D100,E30:E100,"=Na*")*0.8*C16+SUMIFS(D30:D100,E30:E100,"=Na*")*0.2</f>
        <v>7135368.0413720692</v>
      </c>
      <c r="D6" s="45">
        <f>SUMIFS(F30:F100,G30:G100,"=Na*")*0.8*D16+SUMIFS(F30:F100,G30:G100,"=Na*")*0.2</f>
        <v>6543152.0138681959</v>
      </c>
      <c r="E6" s="45">
        <f>SUMIFS(H30:H100,I30:I100,"=Na*")*0.8*E16+SUMIFS(H30:H100,I30:I100,"=Na*")*0.2</f>
        <v>6690053.1117453361</v>
      </c>
      <c r="F6" s="45">
        <f>SUMIFS(J30:J100,K30:K100,"=Na*")*0.8*F16+SUMIFS(J30:J100,K30:K100,"=Na*")*0.2</f>
        <v>6541761.0601782044</v>
      </c>
      <c r="G6" s="153">
        <f>SUMIFS(L30:L100,M30:M100,"=Na*")*0.8*G16+SUMIFS(L30:L100,M30:M100,"=Na*")*0.2</f>
        <v>6214795.361522492</v>
      </c>
      <c r="H6" s="157">
        <f>SUMIFS(N30:N100,O30:O100,"=Na*")*0.8*H16+SUMIFS(N30:N100,O30:O100,"=Na*")*0.2</f>
        <v>5744944.3759580469</v>
      </c>
      <c r="I6" s="157">
        <f>SUMIFS(P30:P100,Q30:Q100,"=Na*")*0.8*I16+SUMIFS(P30:P100,Q30:Q100,"=Na*")*0.2</f>
        <v>5562333.003687446</v>
      </c>
      <c r="J6" s="157">
        <f>SUMIFS(R30:R100,S30:S100,"=Na*")*0.8*J16+SUMIFS(R30:R100,S30:S100,"=Na*")*0.2</f>
        <v>5208635.1662707841</v>
      </c>
      <c r="K6" s="157">
        <f>SUMIFS(T30:T100,U30:U100,"=Na*")*0.8*K16+SUMIFS(T30:T100,U30:U100,"=Na*")*0.2</f>
        <v>0</v>
      </c>
      <c r="L6" s="157">
        <f>SUMIFS(V30:V100,W30:W100,"=Na*")*0.8*L16+SUMIFS(V30:V100,W30:W100,"=Na*")*0.2</f>
        <v>0</v>
      </c>
      <c r="M6" s="157">
        <f>SUMIFS(X30:X100,Y30:Y100,"=Na*")*0.8*M16+SUMIFS(X30:X100,Y30:Y100,"=Na*")*0.2</f>
        <v>0</v>
      </c>
      <c r="N6" s="157">
        <f>SUMIFS(Z30:Z100,AA30:AA100,"=Na*")*0.8*N16+SUMIFS(Z30:Z100,AA30:AA100,"=Na*")*0.2</f>
        <v>0</v>
      </c>
      <c r="O6" s="157">
        <f>SUMIFS(AB30:AB100,AC30:AC100,"=Na*")*0.8*O16+SUMIFS(AB30:AB100,AC30:AC100,"=Na*")*0.2</f>
        <v>0</v>
      </c>
      <c r="P6" s="157">
        <f>SUMIFS(AD30:AD100,AE30:AE100,"=Na*")*0.8*P16+SUMIFS(AD30:AD100,AE30:AE100,"=Na*")*0.2</f>
        <v>0</v>
      </c>
      <c r="Q6" s="157">
        <f>SUMIFS(AF30:AF100,AG30:AG100,"=Na*")*0.8*Q16+SUMIFS(AF30:AF100,AG30:AG100,"=Na*")*0.2</f>
        <v>0</v>
      </c>
      <c r="R6" s="157">
        <f>SUMIFS(AH30:AH100,AI30:AI100,"=Na*")*0.8*R16+SUMIFS(AH30:AH100,AI30:AI100,"=Na*")*0.2</f>
        <v>0</v>
      </c>
      <c r="S6" s="157">
        <f>SUMIFS(AJ30:AJ100,AK30:AK100,"=Na*")*0.8*S16+SUMIFS(AJ30:AJ100,AK30:AK100,"=Na*")*0.2</f>
        <v>0</v>
      </c>
      <c r="T6" s="165"/>
    </row>
    <row r="7" spans="1:20" x14ac:dyDescent="0.25">
      <c r="A7" s="44" t="s">
        <v>52</v>
      </c>
      <c r="B7" s="45">
        <f>SUMIFS(B30:B100,C30:C100,"=El*")*0.8*B16+SUMIFS(B30:B100,C30:C100,"=El*")*0.2</f>
        <v>687864.41925584967</v>
      </c>
      <c r="C7" s="45">
        <f>SUMIFS(D30:D100,E30:E100,"=El*")*0.8*C16+SUMIFS(D30:D100,E30:E100,"=El*")*0.2</f>
        <v>518832.38431921595</v>
      </c>
      <c r="D7" s="45">
        <f>SUMIFS(F30:F100,G30:G100,"=El*")*0.8*D16+SUMIFS(F30:F100,G30:G100,"=El*")*0.2</f>
        <v>404413.39633237827</v>
      </c>
      <c r="E7" s="45">
        <f>SUMIFS(H30:H100,I30:I100,"=El*")*0.8*E16+SUMIFS(H30:H100,I30:I100,"=El*")*0.2</f>
        <v>313507.92016099527</v>
      </c>
      <c r="F7" s="45">
        <f>SUMIFS(J30:J100,K30:K100,"=El*")*0.8*F16+SUMIFS(J30:J100,K30:K100,"=El*")*0.2</f>
        <v>450868.77957505145</v>
      </c>
      <c r="G7" s="153">
        <f>SUMIFS(L30:L100,M30:M100,"=El*")*0.8*G16+SUMIFS(L30:L100,M30:M100,"=El*")*0.2</f>
        <v>330988.50560553634</v>
      </c>
      <c r="H7" s="157">
        <f>SUMIFS(N30:N100,O30:O100,"=El*")*0.8*H16+SUMIFS(N30:N100,O30:O100,"=El*")*0.2</f>
        <v>389809.42315449775</v>
      </c>
      <c r="I7" s="157">
        <f>SUMIFS(P30:P100,Q30:Q100,"=El*")*0.8*I16+SUMIFS(P30:P100,Q30:Q100,"=El*")*0.2</f>
        <v>527233.65513608442</v>
      </c>
      <c r="J7" s="157">
        <f>SUMIFS(R30:R100,S30:S100,"=El*")*0.8*J16+SUMIFS(R30:R100,S30:S100,"=El*")*0.2</f>
        <v>568967.80285035633</v>
      </c>
      <c r="K7" s="157">
        <f>SUMIFS(T30:T100,U30:U100,"=El*")*0.8*K16+SUMIFS(T30:T100,U30:U100,"=El*")*0.2</f>
        <v>0</v>
      </c>
      <c r="L7" s="157">
        <f>SUMIFS(V30:V100,W30:W100,"=El*")*0.8*L16+SUMIFS(V30:V100,W30:W100,"=El*")*0.2</f>
        <v>0</v>
      </c>
      <c r="M7" s="157">
        <f>SUMIFS(X30:X100,Y30:Y100,"=El*")*0.8*M16+SUMIFS(X30:X100,Y30:Y100,"=El*")*0.2</f>
        <v>0</v>
      </c>
      <c r="N7" s="157">
        <f>SUMIFS(Z30:Z100,AA30:AA100,"=El*")*0.8*N16+SUMIFS(Z30:Z100,AA30:AA100,"=El*")*0.2</f>
        <v>0</v>
      </c>
      <c r="O7" s="157">
        <f>SUMIFS(AB30:AB100,AC30:AC100,"=El*")*0.8*O16+SUMIFS(AB30:AB100,AC30:AC100,"=El*")*0.2</f>
        <v>0</v>
      </c>
      <c r="P7" s="157">
        <f>SUMIFS(AD30:AD100,AE30:AE100,"=El*")*0.8*P16+SUMIFS(AD30:AD100,AE30:AE100,"=El*")*0.2</f>
        <v>0</v>
      </c>
      <c r="Q7" s="157">
        <f>SUMIFS(AF30:AF100,AG30:AG100,"=El*")*0.8*Q16+SUMIFS(AF30:AF100,AG30:AG100,"=El*")*0.2</f>
        <v>0</v>
      </c>
      <c r="R7" s="157">
        <f>SUMIFS(AH30:AH100,AI30:AI100,"=El*")*0.8*R16+SUMIFS(AH30:AH100,AI30:AI100,"=El*")*0.2</f>
        <v>0</v>
      </c>
      <c r="S7" s="157">
        <f>SUMIFS(AJ30:AJ100,AK30:AK100,"=El*")*0.8*S16+SUMIFS(AJ30:AJ100,AK30:AK100,"=El*")*0.2</f>
        <v>0</v>
      </c>
      <c r="T7" s="165"/>
    </row>
    <row r="8" spans="1:20" ht="15.75" thickBot="1" x14ac:dyDescent="0.3">
      <c r="A8" s="93" t="s">
        <v>15</v>
      </c>
      <c r="B8" s="94">
        <f t="shared" ref="B8:H8" si="0">+SUM(B4:B7)</f>
        <v>27843680.245109323</v>
      </c>
      <c r="C8" s="94">
        <f t="shared" si="0"/>
        <v>24609811.225621283</v>
      </c>
      <c r="D8" s="94">
        <f t="shared" si="0"/>
        <v>21821917.999426939</v>
      </c>
      <c r="E8" s="94">
        <f t="shared" si="0"/>
        <v>24142721.744237103</v>
      </c>
      <c r="F8" s="94">
        <f t="shared" si="0"/>
        <v>21830211.189581905</v>
      </c>
      <c r="G8" s="94">
        <f t="shared" si="0"/>
        <v>22436456.353494812</v>
      </c>
      <c r="H8" s="94">
        <f t="shared" si="0"/>
        <v>21596811.950947963</v>
      </c>
      <c r="I8" s="141">
        <f>+SUM(I4:I7)</f>
        <v>21665850.794381041</v>
      </c>
      <c r="J8" s="141">
        <f>+SUM(J4:J7)</f>
        <v>19742454.196357876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66"/>
    </row>
    <row r="9" spans="1:20" x14ac:dyDescent="0.25">
      <c r="F9" s="10"/>
      <c r="J9" s="236"/>
      <c r="M9" s="24"/>
      <c r="N9" s="24"/>
      <c r="O9" s="24"/>
      <c r="P9" s="24"/>
      <c r="Q9" s="24"/>
      <c r="R9" s="24"/>
      <c r="S9" s="24"/>
    </row>
    <row r="10" spans="1:20" s="5" customFormat="1" x14ac:dyDescent="0.25">
      <c r="A10" s="20" t="s">
        <v>50</v>
      </c>
      <c r="B10" s="132" t="s">
        <v>97</v>
      </c>
      <c r="C10" s="132" t="s">
        <v>98</v>
      </c>
      <c r="D10" s="132" t="s">
        <v>99</v>
      </c>
      <c r="E10" s="132" t="s">
        <v>100</v>
      </c>
      <c r="F10" s="132" t="s">
        <v>101</v>
      </c>
      <c r="G10" s="132" t="s">
        <v>102</v>
      </c>
      <c r="H10" s="132" t="s">
        <v>103</v>
      </c>
      <c r="I10" s="132" t="s">
        <v>104</v>
      </c>
      <c r="J10" s="132" t="s">
        <v>105</v>
      </c>
      <c r="K10" s="132" t="s">
        <v>106</v>
      </c>
      <c r="L10" s="132" t="s">
        <v>107</v>
      </c>
      <c r="M10" s="143" t="s">
        <v>111</v>
      </c>
      <c r="N10" s="143" t="s">
        <v>112</v>
      </c>
      <c r="O10" s="143" t="s">
        <v>113</v>
      </c>
      <c r="P10" s="143" t="s">
        <v>114</v>
      </c>
      <c r="Q10" s="143" t="s">
        <v>115</v>
      </c>
      <c r="R10" s="143" t="s">
        <v>116</v>
      </c>
      <c r="S10" s="143" t="s">
        <v>117</v>
      </c>
    </row>
    <row r="11" spans="1:20" x14ac:dyDescent="0.25">
      <c r="A11" s="25" t="s">
        <v>32</v>
      </c>
      <c r="B11" s="26">
        <f t="shared" ref="B11:G11" si="1">+(B4*B19+B5*B21+B6*B20+B7*B18)/1000000</f>
        <v>3268.3264519928812</v>
      </c>
      <c r="C11" s="26">
        <f t="shared" si="1"/>
        <v>2946.8340681409313</v>
      </c>
      <c r="D11" s="26">
        <f t="shared" si="1"/>
        <v>2630.6225342922639</v>
      </c>
      <c r="E11" s="26">
        <f t="shared" si="1"/>
        <v>2594.5794876875889</v>
      </c>
      <c r="F11" s="26">
        <f t="shared" si="1"/>
        <v>2396.7208503177517</v>
      </c>
      <c r="G11" s="26">
        <f t="shared" si="1"/>
        <v>2306.7174779862562</v>
      </c>
      <c r="H11" s="26">
        <f t="shared" ref="H11:L11" si="2">+(H4*H19+H5*H21+H6*H20+H7*H18)/1000000</f>
        <v>2226.3892332090522</v>
      </c>
      <c r="I11" s="26">
        <f t="shared" si="2"/>
        <v>2166.2535116118174</v>
      </c>
      <c r="J11" s="26">
        <f t="shared" si="2"/>
        <v>1993.9307988044341</v>
      </c>
      <c r="K11" s="26">
        <f t="shared" si="2"/>
        <v>0</v>
      </c>
      <c r="L11" s="26">
        <f t="shared" si="2"/>
        <v>0</v>
      </c>
      <c r="M11" s="26">
        <f t="shared" ref="M11:S11" si="3">+(M4*M19+M5*M21+M6*M20+M7*M18)/1000000</f>
        <v>0</v>
      </c>
      <c r="N11" s="26">
        <f t="shared" si="3"/>
        <v>0</v>
      </c>
      <c r="O11" s="26">
        <f t="shared" si="3"/>
        <v>0</v>
      </c>
      <c r="P11" s="26">
        <f t="shared" si="3"/>
        <v>0</v>
      </c>
      <c r="Q11" s="26">
        <f t="shared" si="3"/>
        <v>0</v>
      </c>
      <c r="R11" s="26">
        <f t="shared" si="3"/>
        <v>0</v>
      </c>
      <c r="S11" s="26">
        <f t="shared" si="3"/>
        <v>0</v>
      </c>
    </row>
    <row r="12" spans="1:20" x14ac:dyDescent="0.25">
      <c r="A12" s="102" t="s">
        <v>74</v>
      </c>
      <c r="B12" s="26">
        <f t="shared" ref="B12" si="4">+(B4*B19+B5*B21+B6*B20+B7*464)/1000000</f>
        <v>3268.3264519928812</v>
      </c>
      <c r="C12" s="26">
        <f>+(C4*B19+C5*C21+C6*C20+C7*B18)/1000000</f>
        <v>2943.7210738350159</v>
      </c>
      <c r="D12" s="26">
        <f>+(D4*C19+D5*D21+D6*D20+D7*C18)/1000000</f>
        <v>2639.1152156152439</v>
      </c>
      <c r="E12" s="26">
        <f>+(E4*D19+E5*E21+E6*E20+E7*D18)/1000000</f>
        <v>2483.8085069085041</v>
      </c>
      <c r="F12" s="26">
        <f>+(F4*E19+F5*F21+F6*F20+F7*E18)/1000000</f>
        <v>2430.5360087858808</v>
      </c>
      <c r="G12" s="26">
        <f t="shared" ref="G12:L12" si="5">+(G4*G19+G5*G21+G6*G20+G7*F18)/1000000</f>
        <v>2282.2243285714462</v>
      </c>
      <c r="H12" s="26">
        <f t="shared" si="5"/>
        <v>2254.8453210993302</v>
      </c>
      <c r="I12" s="26">
        <f t="shared" si="5"/>
        <v>2220.031344435698</v>
      </c>
      <c r="J12" s="26">
        <f t="shared" si="5"/>
        <v>1970.6031188875695</v>
      </c>
      <c r="K12" s="26">
        <f t="shared" si="5"/>
        <v>0</v>
      </c>
      <c r="L12" s="26">
        <f t="shared" si="5"/>
        <v>0</v>
      </c>
      <c r="M12" s="26">
        <f t="shared" ref="M12" si="6">+(M4*M19+M5*M21+M6*M20+M7*L18)/1000000</f>
        <v>0</v>
      </c>
      <c r="N12" s="26">
        <f t="shared" ref="N12" si="7">+(N4*N19+N5*N21+N6*N20+N7*M18)/1000000</f>
        <v>0</v>
      </c>
      <c r="O12" s="26">
        <f t="shared" ref="O12" si="8">+(O4*O19+O5*O21+O6*O20+O7*N18)/1000000</f>
        <v>0</v>
      </c>
      <c r="P12" s="26">
        <f t="shared" ref="P12" si="9">+(P4*P19+P5*P21+P6*P20+P7*O18)/1000000</f>
        <v>0</v>
      </c>
      <c r="Q12" s="26">
        <f t="shared" ref="Q12" si="10">+(Q4*Q19+Q5*Q21+Q6*Q20+Q7*P18)/1000000</f>
        <v>0</v>
      </c>
      <c r="R12" s="26">
        <f t="shared" ref="R12" si="11">+(R4*R19+R5*R21+R6*R20+R7*Q18)/1000000</f>
        <v>0</v>
      </c>
      <c r="S12" s="26">
        <f t="shared" ref="S12" si="12">+(S4*S19+S5*S21+S6*S20+S7*R18)/1000000</f>
        <v>0</v>
      </c>
    </row>
    <row r="13" spans="1:20" x14ac:dyDescent="0.25">
      <c r="J13" s="236"/>
      <c r="M13" s="24"/>
      <c r="N13" s="24"/>
      <c r="O13" s="24"/>
      <c r="P13" s="24"/>
      <c r="Q13" s="24"/>
      <c r="R13" s="24"/>
      <c r="S13" s="24"/>
    </row>
    <row r="14" spans="1:20" x14ac:dyDescent="0.25">
      <c r="A14" s="40" t="s">
        <v>34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39"/>
      <c r="N14" s="139"/>
      <c r="O14" s="139"/>
      <c r="P14" s="139"/>
      <c r="Q14" s="139"/>
      <c r="R14" s="139"/>
      <c r="S14" s="139"/>
    </row>
    <row r="15" spans="1:20" x14ac:dyDescent="0.25">
      <c r="A15" s="38" t="s">
        <v>34</v>
      </c>
      <c r="B15" s="37">
        <v>2607</v>
      </c>
      <c r="C15" s="37">
        <v>2857</v>
      </c>
      <c r="D15" s="38">
        <v>3490</v>
      </c>
      <c r="E15" s="38">
        <v>2733</v>
      </c>
      <c r="F15" s="38">
        <v>2918</v>
      </c>
      <c r="G15" s="42">
        <v>2890</v>
      </c>
      <c r="H15" s="209">
        <v>2479</v>
      </c>
      <c r="I15" s="209">
        <v>2278</v>
      </c>
      <c r="J15" s="209">
        <v>2526</v>
      </c>
      <c r="K15" s="209">
        <v>2906</v>
      </c>
      <c r="L15" s="209">
        <v>2906</v>
      </c>
      <c r="M15" s="209">
        <v>2906</v>
      </c>
      <c r="N15" s="209">
        <v>2906</v>
      </c>
      <c r="O15" s="209">
        <v>2906</v>
      </c>
      <c r="P15" s="209">
        <v>2906</v>
      </c>
      <c r="Q15" s="209">
        <v>2906</v>
      </c>
      <c r="R15" s="209">
        <v>2906</v>
      </c>
      <c r="S15" s="209">
        <v>2906</v>
      </c>
    </row>
    <row r="16" spans="1:20" x14ac:dyDescent="0.25">
      <c r="A16" s="38" t="s">
        <v>35</v>
      </c>
      <c r="B16" s="39">
        <f t="shared" ref="B16:G16" si="13">2906/B15</f>
        <v>1.1146912159570388</v>
      </c>
      <c r="C16" s="39">
        <f t="shared" si="13"/>
        <v>1.0171508575428772</v>
      </c>
      <c r="D16" s="39">
        <f t="shared" si="13"/>
        <v>0.83266475644699145</v>
      </c>
      <c r="E16" s="39">
        <f t="shared" si="13"/>
        <v>1.0633004024881083</v>
      </c>
      <c r="F16" s="39">
        <f t="shared" si="13"/>
        <v>0.99588759424263196</v>
      </c>
      <c r="G16" s="43">
        <f t="shared" si="13"/>
        <v>1.0055363321799309</v>
      </c>
      <c r="H16" s="43">
        <f t="shared" ref="H16:L16" si="14">2906/H15</f>
        <v>1.1722468737394109</v>
      </c>
      <c r="I16" s="43">
        <f t="shared" si="14"/>
        <v>1.2756804214223003</v>
      </c>
      <c r="J16" s="43">
        <f t="shared" si="14"/>
        <v>1.1504354711005542</v>
      </c>
      <c r="K16" s="43">
        <f t="shared" si="14"/>
        <v>1</v>
      </c>
      <c r="L16" s="43">
        <f t="shared" si="14"/>
        <v>1</v>
      </c>
      <c r="M16" s="140">
        <f t="shared" ref="M16:S16" si="15">2906/M15</f>
        <v>1</v>
      </c>
      <c r="N16" s="140">
        <f t="shared" si="15"/>
        <v>1</v>
      </c>
      <c r="O16" s="140">
        <f t="shared" si="15"/>
        <v>1</v>
      </c>
      <c r="P16" s="140">
        <f t="shared" si="15"/>
        <v>1</v>
      </c>
      <c r="Q16" s="140">
        <f t="shared" si="15"/>
        <v>1</v>
      </c>
      <c r="R16" s="140">
        <f t="shared" si="15"/>
        <v>1</v>
      </c>
      <c r="S16" s="140">
        <f t="shared" si="15"/>
        <v>1</v>
      </c>
    </row>
    <row r="17" spans="1:37" s="5" customFormat="1" x14ac:dyDescent="0.25">
      <c r="A17" s="40" t="s">
        <v>37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39"/>
      <c r="N17" s="139"/>
      <c r="O17" s="139"/>
      <c r="P17" s="139"/>
      <c r="Q17" s="139"/>
      <c r="R17" s="139"/>
      <c r="S17" s="139"/>
    </row>
    <row r="18" spans="1:37" s="4" customFormat="1" x14ac:dyDescent="0.25">
      <c r="A18" s="38" t="s">
        <v>124</v>
      </c>
      <c r="B18" s="37">
        <v>464</v>
      </c>
      <c r="C18" s="37">
        <v>470</v>
      </c>
      <c r="D18" s="37">
        <v>449</v>
      </c>
      <c r="E18" s="37">
        <v>378</v>
      </c>
      <c r="F18" s="37">
        <v>303</v>
      </c>
      <c r="G18" s="37">
        <v>377</v>
      </c>
      <c r="H18" s="198">
        <v>304</v>
      </c>
      <c r="I18" s="198">
        <v>202</v>
      </c>
      <c r="J18" s="198">
        <v>243</v>
      </c>
      <c r="K18" s="198"/>
      <c r="L18" s="198"/>
      <c r="M18" s="198"/>
      <c r="N18" s="198"/>
      <c r="O18" s="198"/>
      <c r="P18" s="198"/>
      <c r="Q18" s="198"/>
      <c r="R18" s="198"/>
      <c r="S18" s="198"/>
    </row>
    <row r="19" spans="1:37" s="4" customFormat="1" x14ac:dyDescent="0.25">
      <c r="A19" s="138" t="s">
        <v>118</v>
      </c>
      <c r="B19" s="38">
        <v>16.7</v>
      </c>
      <c r="C19" s="138">
        <v>16.7</v>
      </c>
      <c r="D19" s="138">
        <v>16.7</v>
      </c>
      <c r="E19" s="138">
        <v>25.9</v>
      </c>
      <c r="F19" s="138">
        <v>25.9</v>
      </c>
      <c r="G19" s="38">
        <v>25.9</v>
      </c>
      <c r="H19" s="138">
        <v>25.9</v>
      </c>
      <c r="I19" s="138">
        <v>25.9</v>
      </c>
      <c r="J19" s="138">
        <v>25.9</v>
      </c>
      <c r="K19" s="138">
        <v>25.9</v>
      </c>
      <c r="L19" s="138">
        <v>25.9</v>
      </c>
      <c r="M19" s="138">
        <v>25.9</v>
      </c>
      <c r="N19" s="138">
        <v>25.9</v>
      </c>
      <c r="O19" s="138">
        <v>25.9</v>
      </c>
      <c r="P19" s="138">
        <v>25.9</v>
      </c>
      <c r="Q19" s="138">
        <v>25.9</v>
      </c>
      <c r="R19" s="138">
        <v>25.9</v>
      </c>
      <c r="S19" s="138">
        <v>25.9</v>
      </c>
    </row>
    <row r="20" spans="1:37" s="4" customFormat="1" x14ac:dyDescent="0.25">
      <c r="A20" s="38" t="s">
        <v>109</v>
      </c>
      <c r="B20" s="38">
        <v>208</v>
      </c>
      <c r="C20" s="38">
        <v>208</v>
      </c>
      <c r="D20" s="38">
        <v>208</v>
      </c>
      <c r="E20" s="38">
        <v>208</v>
      </c>
      <c r="F20" s="38">
        <v>208</v>
      </c>
      <c r="G20" s="38">
        <v>208</v>
      </c>
      <c r="H20" s="38">
        <v>208</v>
      </c>
      <c r="I20" s="38">
        <v>208</v>
      </c>
      <c r="J20" s="38">
        <v>208</v>
      </c>
      <c r="K20" s="38">
        <v>208</v>
      </c>
      <c r="L20" s="38">
        <v>208</v>
      </c>
      <c r="M20" s="138">
        <v>208</v>
      </c>
      <c r="N20" s="138">
        <v>208</v>
      </c>
      <c r="O20" s="138">
        <v>208</v>
      </c>
      <c r="P20" s="138">
        <v>208</v>
      </c>
      <c r="Q20" s="138">
        <v>208</v>
      </c>
      <c r="R20" s="138">
        <v>208</v>
      </c>
      <c r="S20" s="138">
        <v>208</v>
      </c>
    </row>
    <row r="21" spans="1:37" s="4" customFormat="1" x14ac:dyDescent="0.25">
      <c r="A21" s="38" t="s">
        <v>110</v>
      </c>
      <c r="B21" s="38">
        <v>265</v>
      </c>
      <c r="C21" s="38">
        <v>265</v>
      </c>
      <c r="D21" s="38">
        <v>265</v>
      </c>
      <c r="E21" s="38">
        <v>265</v>
      </c>
      <c r="F21" s="38">
        <v>265</v>
      </c>
      <c r="G21" s="38">
        <v>265</v>
      </c>
      <c r="H21" s="38">
        <v>265</v>
      </c>
      <c r="I21" s="38">
        <v>265</v>
      </c>
      <c r="J21" s="38">
        <v>265</v>
      </c>
      <c r="K21" s="38">
        <v>265</v>
      </c>
      <c r="L21" s="38">
        <v>265</v>
      </c>
      <c r="M21" s="138">
        <v>265</v>
      </c>
      <c r="N21" s="138">
        <v>265</v>
      </c>
      <c r="O21" s="138">
        <v>265</v>
      </c>
      <c r="P21" s="138">
        <v>265</v>
      </c>
      <c r="Q21" s="138">
        <v>265</v>
      </c>
      <c r="R21" s="138">
        <v>265</v>
      </c>
      <c r="S21" s="138">
        <v>265</v>
      </c>
    </row>
    <row r="22" spans="1:37" s="4" customFormat="1" x14ac:dyDescent="0.25">
      <c r="A22" s="7"/>
      <c r="B22" s="7"/>
      <c r="C22" s="7"/>
      <c r="D22" s="7"/>
      <c r="E22" s="7"/>
      <c r="F22" s="7"/>
      <c r="G22" s="7"/>
    </row>
    <row r="23" spans="1:37" s="4" customFormat="1" x14ac:dyDescent="0.25">
      <c r="A23" s="7"/>
      <c r="B23" s="7"/>
      <c r="C23" s="7"/>
      <c r="D23" s="7"/>
      <c r="E23" s="7"/>
      <c r="F23" s="7"/>
      <c r="G23" s="7"/>
    </row>
    <row r="24" spans="1:37" s="4" customFormat="1" x14ac:dyDescent="0.25">
      <c r="A24" s="7"/>
      <c r="B24" s="7"/>
      <c r="C24" s="7"/>
      <c r="D24" s="7"/>
      <c r="E24" s="7"/>
      <c r="F24" s="7"/>
      <c r="G24" s="7"/>
    </row>
    <row r="25" spans="1:37" s="24" customFormat="1" x14ac:dyDescent="0.25">
      <c r="B25" s="253">
        <v>2008</v>
      </c>
      <c r="C25" s="254"/>
      <c r="D25" s="255">
        <v>2009</v>
      </c>
      <c r="E25" s="254"/>
      <c r="F25" s="255">
        <v>2010</v>
      </c>
      <c r="G25" s="254"/>
      <c r="H25" s="255">
        <v>2011</v>
      </c>
      <c r="I25" s="254"/>
      <c r="J25" s="255">
        <v>2012</v>
      </c>
      <c r="K25" s="258"/>
      <c r="L25" s="256">
        <v>2013</v>
      </c>
      <c r="M25" s="257"/>
      <c r="N25" s="256">
        <v>2014</v>
      </c>
      <c r="O25" s="257"/>
      <c r="P25" s="259">
        <v>2015</v>
      </c>
      <c r="Q25" s="257"/>
      <c r="R25" s="259">
        <v>2016</v>
      </c>
      <c r="S25" s="257"/>
      <c r="T25" s="259">
        <v>2017</v>
      </c>
      <c r="U25" s="257"/>
      <c r="V25" s="259">
        <v>2018</v>
      </c>
      <c r="W25" s="257"/>
      <c r="X25" s="259">
        <v>2019</v>
      </c>
      <c r="Y25" s="257"/>
      <c r="Z25" s="259">
        <v>2020</v>
      </c>
      <c r="AA25" s="257"/>
      <c r="AB25" s="259">
        <v>2021</v>
      </c>
      <c r="AC25" s="257"/>
      <c r="AD25" s="259">
        <v>2022</v>
      </c>
      <c r="AE25" s="257"/>
      <c r="AF25" s="259">
        <v>2023</v>
      </c>
      <c r="AG25" s="257"/>
      <c r="AH25" s="259">
        <v>2024</v>
      </c>
      <c r="AI25" s="257"/>
      <c r="AJ25" s="259">
        <v>2025</v>
      </c>
      <c r="AK25" s="257"/>
    </row>
    <row r="26" spans="1:37" s="24" customFormat="1" ht="25.5" x14ac:dyDescent="0.25">
      <c r="B26" s="88" t="s">
        <v>45</v>
      </c>
      <c r="C26" s="107" t="s">
        <v>21</v>
      </c>
      <c r="D26" s="115" t="s">
        <v>45</v>
      </c>
      <c r="E26" s="107" t="s">
        <v>21</v>
      </c>
      <c r="F26" s="115" t="s">
        <v>45</v>
      </c>
      <c r="G26" s="107" t="s">
        <v>21</v>
      </c>
      <c r="H26" s="115" t="s">
        <v>45</v>
      </c>
      <c r="I26" s="107" t="s">
        <v>21</v>
      </c>
      <c r="J26" s="115" t="s">
        <v>45</v>
      </c>
      <c r="K26" s="107" t="s">
        <v>21</v>
      </c>
      <c r="L26" s="115" t="s">
        <v>45</v>
      </c>
      <c r="M26" s="107" t="s">
        <v>21</v>
      </c>
      <c r="N26" s="115" t="s">
        <v>45</v>
      </c>
      <c r="O26" s="107" t="s">
        <v>21</v>
      </c>
      <c r="P26" s="88" t="s">
        <v>45</v>
      </c>
      <c r="Q26" s="107" t="s">
        <v>21</v>
      </c>
      <c r="R26" s="88" t="s">
        <v>45</v>
      </c>
      <c r="S26" s="107" t="s">
        <v>21</v>
      </c>
      <c r="T26" s="88" t="s">
        <v>45</v>
      </c>
      <c r="U26" s="107" t="s">
        <v>21</v>
      </c>
      <c r="V26" s="88" t="s">
        <v>45</v>
      </c>
      <c r="W26" s="107" t="s">
        <v>21</v>
      </c>
      <c r="X26" s="148" t="s">
        <v>45</v>
      </c>
      <c r="Y26" s="149" t="s">
        <v>21</v>
      </c>
      <c r="Z26" s="148" t="s">
        <v>45</v>
      </c>
      <c r="AA26" s="149" t="s">
        <v>21</v>
      </c>
      <c r="AB26" s="148" t="s">
        <v>45</v>
      </c>
      <c r="AC26" s="149" t="s">
        <v>21</v>
      </c>
      <c r="AD26" s="148" t="s">
        <v>45</v>
      </c>
      <c r="AE26" s="149" t="s">
        <v>21</v>
      </c>
      <c r="AF26" s="148" t="s">
        <v>45</v>
      </c>
      <c r="AG26" s="149" t="s">
        <v>21</v>
      </c>
      <c r="AH26" s="148" t="s">
        <v>45</v>
      </c>
      <c r="AI26" s="149" t="s">
        <v>21</v>
      </c>
      <c r="AJ26" s="148" t="s">
        <v>45</v>
      </c>
      <c r="AK26" s="149" t="s">
        <v>21</v>
      </c>
    </row>
    <row r="27" spans="1:37" s="24" customFormat="1" x14ac:dyDescent="0.25">
      <c r="B27" s="82"/>
      <c r="C27" s="108"/>
      <c r="D27" s="116"/>
      <c r="E27" s="108"/>
      <c r="F27" s="116"/>
      <c r="G27" s="108"/>
      <c r="H27" s="116"/>
      <c r="I27" s="108"/>
      <c r="J27" s="116"/>
      <c r="K27" s="108"/>
      <c r="L27" s="116"/>
      <c r="M27" s="108"/>
      <c r="N27" s="116"/>
      <c r="O27" s="108"/>
      <c r="P27" s="82"/>
      <c r="Q27" s="108"/>
      <c r="R27" s="82"/>
      <c r="S27" s="108"/>
      <c r="T27" s="82"/>
      <c r="U27" s="108"/>
      <c r="V27" s="82"/>
      <c r="W27" s="108"/>
      <c r="X27" s="146"/>
      <c r="Y27" s="150"/>
      <c r="Z27" s="146"/>
      <c r="AA27" s="150"/>
      <c r="AB27" s="146"/>
      <c r="AC27" s="150"/>
      <c r="AD27" s="146"/>
      <c r="AE27" s="150"/>
      <c r="AF27" s="146"/>
      <c r="AG27" s="150"/>
      <c r="AH27" s="146"/>
      <c r="AI27" s="150"/>
      <c r="AJ27" s="146"/>
      <c r="AK27" s="150"/>
    </row>
    <row r="28" spans="1:37" s="24" customFormat="1" x14ac:dyDescent="0.25">
      <c r="B28" s="54" t="s">
        <v>22</v>
      </c>
      <c r="C28" s="109"/>
      <c r="D28" s="117" t="s">
        <v>22</v>
      </c>
      <c r="E28" s="109"/>
      <c r="F28" s="117" t="s">
        <v>22</v>
      </c>
      <c r="G28" s="109"/>
      <c r="H28" s="117" t="s">
        <v>22</v>
      </c>
      <c r="I28" s="109"/>
      <c r="J28" s="117" t="s">
        <v>22</v>
      </c>
      <c r="K28" s="109"/>
      <c r="L28" s="117" t="s">
        <v>22</v>
      </c>
      <c r="M28" s="109"/>
      <c r="N28" s="117" t="s">
        <v>22</v>
      </c>
      <c r="O28" s="109"/>
      <c r="P28" s="54" t="s">
        <v>22</v>
      </c>
      <c r="Q28" s="109"/>
      <c r="R28" s="54" t="s">
        <v>22</v>
      </c>
      <c r="S28" s="109"/>
      <c r="T28" s="54" t="s">
        <v>22</v>
      </c>
      <c r="U28" s="109"/>
      <c r="V28" s="54" t="s">
        <v>22</v>
      </c>
      <c r="W28" s="109"/>
      <c r="X28" s="144" t="s">
        <v>22</v>
      </c>
      <c r="Y28" s="151"/>
      <c r="Z28" s="144" t="s">
        <v>22</v>
      </c>
      <c r="AA28" s="151"/>
      <c r="AB28" s="144" t="s">
        <v>22</v>
      </c>
      <c r="AC28" s="151"/>
      <c r="AD28" s="144" t="s">
        <v>22</v>
      </c>
      <c r="AE28" s="151"/>
      <c r="AF28" s="144" t="s">
        <v>22</v>
      </c>
      <c r="AG28" s="151"/>
      <c r="AH28" s="144" t="s">
        <v>22</v>
      </c>
      <c r="AI28" s="151"/>
      <c r="AJ28" s="144" t="s">
        <v>22</v>
      </c>
      <c r="AK28" s="151"/>
    </row>
    <row r="29" spans="1:37" s="24" customFormat="1" x14ac:dyDescent="0.25">
      <c r="B29" s="55"/>
      <c r="C29" s="109"/>
      <c r="D29" s="118"/>
      <c r="E29" s="109"/>
      <c r="F29" s="118"/>
      <c r="G29" s="109"/>
      <c r="H29" s="118"/>
      <c r="I29" s="109"/>
      <c r="J29" s="118"/>
      <c r="K29" s="109"/>
      <c r="L29" s="118"/>
      <c r="M29" s="109"/>
      <c r="N29" s="118"/>
      <c r="O29" s="109"/>
      <c r="P29" s="55"/>
      <c r="Q29" s="109"/>
      <c r="R29" s="55"/>
      <c r="S29" s="109"/>
      <c r="T29" s="55"/>
      <c r="U29" s="109"/>
      <c r="V29" s="55"/>
      <c r="W29" s="109"/>
      <c r="X29" s="145"/>
      <c r="Y29" s="151"/>
      <c r="Z29" s="145"/>
      <c r="AA29" s="151"/>
      <c r="AB29" s="145"/>
      <c r="AC29" s="151"/>
      <c r="AD29" s="145"/>
      <c r="AE29" s="151"/>
      <c r="AF29" s="145"/>
      <c r="AG29" s="151"/>
      <c r="AH29" s="145"/>
      <c r="AI29" s="151"/>
      <c r="AJ29" s="145"/>
      <c r="AK29" s="151"/>
    </row>
    <row r="30" spans="1:37" s="24" customFormat="1" x14ac:dyDescent="0.25">
      <c r="B30" s="83">
        <v>1079934</v>
      </c>
      <c r="C30" s="110" t="s">
        <v>23</v>
      </c>
      <c r="D30" s="119">
        <v>1102780</v>
      </c>
      <c r="E30" s="110" t="s">
        <v>23</v>
      </c>
      <c r="F30" s="119">
        <v>1155000</v>
      </c>
      <c r="G30" s="110" t="s">
        <v>23</v>
      </c>
      <c r="H30" s="124">
        <v>1273000</v>
      </c>
      <c r="I30" s="110" t="s">
        <v>23</v>
      </c>
      <c r="J30" s="124">
        <v>1140000</v>
      </c>
      <c r="K30" s="110" t="s">
        <v>23</v>
      </c>
      <c r="L30" s="170">
        <v>1105441</v>
      </c>
      <c r="M30" s="171" t="s">
        <v>23</v>
      </c>
      <c r="N30" s="219">
        <v>859018</v>
      </c>
      <c r="O30" s="220" t="s">
        <v>23</v>
      </c>
      <c r="P30" s="172">
        <v>895252</v>
      </c>
      <c r="Q30" s="171" t="s">
        <v>23</v>
      </c>
      <c r="R30" s="172">
        <v>928655</v>
      </c>
      <c r="S30" s="171" t="s">
        <v>23</v>
      </c>
      <c r="T30" s="172"/>
      <c r="U30" s="171" t="s">
        <v>23</v>
      </c>
      <c r="V30" s="172"/>
      <c r="W30" s="171" t="s">
        <v>23</v>
      </c>
      <c r="X30" s="173"/>
      <c r="Y30" s="171" t="s">
        <v>23</v>
      </c>
      <c r="Z30" s="173"/>
      <c r="AA30" s="171" t="s">
        <v>23</v>
      </c>
      <c r="AB30" s="173"/>
      <c r="AC30" s="171" t="s">
        <v>23</v>
      </c>
      <c r="AD30" s="173"/>
      <c r="AE30" s="171" t="s">
        <v>23</v>
      </c>
      <c r="AF30" s="173"/>
      <c r="AG30" s="171" t="s">
        <v>23</v>
      </c>
      <c r="AH30" s="173"/>
      <c r="AI30" s="171" t="s">
        <v>23</v>
      </c>
      <c r="AJ30" s="173"/>
      <c r="AK30" s="171" t="s">
        <v>23</v>
      </c>
    </row>
    <row r="31" spans="1:37" s="24" customFormat="1" x14ac:dyDescent="0.25">
      <c r="B31" s="83">
        <v>231120</v>
      </c>
      <c r="C31" s="110" t="s">
        <v>24</v>
      </c>
      <c r="D31" s="119">
        <v>201210</v>
      </c>
      <c r="E31" s="110" t="s">
        <v>24</v>
      </c>
      <c r="F31" s="119">
        <v>250110</v>
      </c>
      <c r="G31" s="110" t="s">
        <v>24</v>
      </c>
      <c r="H31" s="125">
        <v>139570</v>
      </c>
      <c r="I31" s="110" t="s">
        <v>24</v>
      </c>
      <c r="J31" s="125">
        <v>23980</v>
      </c>
      <c r="K31" s="110" t="s">
        <v>24</v>
      </c>
      <c r="L31" s="174">
        <v>58523</v>
      </c>
      <c r="M31" s="171" t="s">
        <v>24</v>
      </c>
      <c r="N31" s="221">
        <v>81660</v>
      </c>
      <c r="O31" s="220" t="s">
        <v>24</v>
      </c>
      <c r="P31" s="175">
        <v>69999</v>
      </c>
      <c r="Q31" s="171" t="s">
        <v>24</v>
      </c>
      <c r="R31" s="175">
        <v>51900</v>
      </c>
      <c r="S31" s="171" t="s">
        <v>24</v>
      </c>
      <c r="T31" s="175"/>
      <c r="U31" s="171" t="s">
        <v>24</v>
      </c>
      <c r="V31" s="175"/>
      <c r="W31" s="171" t="s">
        <v>24</v>
      </c>
      <c r="X31" s="176"/>
      <c r="Y31" s="171" t="s">
        <v>24</v>
      </c>
      <c r="Z31" s="176"/>
      <c r="AA31" s="171" t="s">
        <v>24</v>
      </c>
      <c r="AB31" s="176"/>
      <c r="AC31" s="171" t="s">
        <v>24</v>
      </c>
      <c r="AD31" s="176"/>
      <c r="AE31" s="171" t="s">
        <v>24</v>
      </c>
      <c r="AF31" s="176"/>
      <c r="AG31" s="171" t="s">
        <v>24</v>
      </c>
      <c r="AH31" s="176"/>
      <c r="AI31" s="171" t="s">
        <v>24</v>
      </c>
      <c r="AJ31" s="176"/>
      <c r="AK31" s="171" t="s">
        <v>24</v>
      </c>
    </row>
    <row r="32" spans="1:37" s="24" customFormat="1" x14ac:dyDescent="0.25">
      <c r="B32" s="84">
        <f>SUM(B30:B31)</f>
        <v>1311054</v>
      </c>
      <c r="C32" s="111"/>
      <c r="D32" s="120">
        <f>SUM(D30:D31)</f>
        <v>1303990</v>
      </c>
      <c r="E32" s="111"/>
      <c r="F32" s="120">
        <f>SUM(F30:F31)</f>
        <v>1405110</v>
      </c>
      <c r="G32" s="111"/>
      <c r="H32" s="120">
        <f>SUM(H30:H31)</f>
        <v>1412570</v>
      </c>
      <c r="I32" s="111"/>
      <c r="J32" s="125">
        <v>72590</v>
      </c>
      <c r="K32" s="110" t="s">
        <v>25</v>
      </c>
      <c r="L32" s="174">
        <v>68459</v>
      </c>
      <c r="M32" s="171" t="s">
        <v>25</v>
      </c>
      <c r="N32" s="221">
        <v>60520</v>
      </c>
      <c r="O32" s="220" t="s">
        <v>25</v>
      </c>
      <c r="P32" s="175">
        <v>54797</v>
      </c>
      <c r="Q32" s="171" t="s">
        <v>25</v>
      </c>
      <c r="R32" s="175">
        <v>38825</v>
      </c>
      <c r="S32" s="171" t="s">
        <v>25</v>
      </c>
      <c r="T32" s="175"/>
      <c r="U32" s="171" t="s">
        <v>25</v>
      </c>
      <c r="V32" s="175"/>
      <c r="W32" s="171" t="s">
        <v>25</v>
      </c>
      <c r="X32" s="176"/>
      <c r="Y32" s="171" t="s">
        <v>25</v>
      </c>
      <c r="Z32" s="176"/>
      <c r="AA32" s="171" t="s">
        <v>25</v>
      </c>
      <c r="AB32" s="176"/>
      <c r="AC32" s="171" t="s">
        <v>25</v>
      </c>
      <c r="AD32" s="176"/>
      <c r="AE32" s="171" t="s">
        <v>25</v>
      </c>
      <c r="AF32" s="176"/>
      <c r="AG32" s="171" t="s">
        <v>25</v>
      </c>
      <c r="AH32" s="176"/>
      <c r="AI32" s="171" t="s">
        <v>25</v>
      </c>
      <c r="AJ32" s="176"/>
      <c r="AK32" s="171" t="s">
        <v>25</v>
      </c>
    </row>
    <row r="33" spans="2:37" s="24" customFormat="1" x14ac:dyDescent="0.25">
      <c r="B33" s="84"/>
      <c r="C33" s="111"/>
      <c r="D33" s="120"/>
      <c r="E33" s="111"/>
      <c r="F33" s="120"/>
      <c r="G33" s="111"/>
      <c r="H33" s="120"/>
      <c r="I33" s="111"/>
      <c r="J33" s="120">
        <f>SUM(J30:J32)</f>
        <v>1236570</v>
      </c>
      <c r="K33" s="111"/>
      <c r="L33" s="177">
        <v>1232423</v>
      </c>
      <c r="M33" s="178"/>
      <c r="N33" s="222">
        <v>1001198</v>
      </c>
      <c r="O33" s="223"/>
      <c r="P33" s="179">
        <f>+SUM(P30:P32)</f>
        <v>1020048</v>
      </c>
      <c r="Q33" s="178"/>
      <c r="R33" s="179">
        <f>SUM(R30:R32)</f>
        <v>1019380</v>
      </c>
      <c r="S33" s="178"/>
      <c r="T33" s="179"/>
      <c r="U33" s="178"/>
      <c r="V33" s="179"/>
      <c r="W33" s="178"/>
      <c r="X33" s="179"/>
      <c r="Y33" s="178"/>
      <c r="Z33" s="179"/>
      <c r="AA33" s="178"/>
      <c r="AB33" s="179"/>
      <c r="AC33" s="178"/>
      <c r="AD33" s="179"/>
      <c r="AE33" s="178"/>
      <c r="AF33" s="179"/>
      <c r="AG33" s="178"/>
      <c r="AH33" s="179"/>
      <c r="AI33" s="178"/>
      <c r="AJ33" s="179"/>
      <c r="AK33" s="178"/>
    </row>
    <row r="34" spans="2:37" s="24" customFormat="1" x14ac:dyDescent="0.25">
      <c r="B34" s="55"/>
      <c r="C34" s="109"/>
      <c r="D34" s="118"/>
      <c r="E34" s="109"/>
      <c r="F34" s="118"/>
      <c r="G34" s="109"/>
      <c r="H34" s="118"/>
      <c r="I34" s="109"/>
      <c r="J34" s="118"/>
      <c r="K34" s="109"/>
      <c r="L34" s="180"/>
      <c r="M34" s="181"/>
      <c r="N34" s="224"/>
      <c r="O34" s="225"/>
      <c r="P34" s="182"/>
      <c r="Q34" s="181"/>
      <c r="R34" s="182"/>
      <c r="S34" s="181"/>
      <c r="T34" s="182"/>
      <c r="U34" s="181"/>
      <c r="V34" s="182"/>
      <c r="W34" s="181"/>
      <c r="X34" s="182"/>
      <c r="Y34" s="181"/>
      <c r="Z34" s="182"/>
      <c r="AA34" s="181"/>
      <c r="AB34" s="182"/>
      <c r="AC34" s="181"/>
      <c r="AD34" s="182"/>
      <c r="AE34" s="181"/>
      <c r="AF34" s="182"/>
      <c r="AG34" s="181"/>
      <c r="AH34" s="182"/>
      <c r="AI34" s="181"/>
      <c r="AJ34" s="182"/>
      <c r="AK34" s="181"/>
    </row>
    <row r="35" spans="2:37" s="24" customFormat="1" x14ac:dyDescent="0.25">
      <c r="B35" s="54" t="s">
        <v>26</v>
      </c>
      <c r="C35" s="109"/>
      <c r="D35" s="117" t="s">
        <v>26</v>
      </c>
      <c r="E35" s="109"/>
      <c r="F35" s="117" t="s">
        <v>26</v>
      </c>
      <c r="G35" s="109"/>
      <c r="H35" s="117" t="s">
        <v>26</v>
      </c>
      <c r="I35" s="109"/>
      <c r="J35" s="117" t="s">
        <v>26</v>
      </c>
      <c r="K35" s="109"/>
      <c r="L35" s="183" t="s">
        <v>26</v>
      </c>
      <c r="M35" s="181"/>
      <c r="N35" s="226" t="s">
        <v>26</v>
      </c>
      <c r="O35" s="225"/>
      <c r="P35" s="184" t="s">
        <v>26</v>
      </c>
      <c r="Q35" s="181"/>
      <c r="R35" s="184" t="s">
        <v>26</v>
      </c>
      <c r="S35" s="181"/>
      <c r="T35" s="184" t="s">
        <v>26</v>
      </c>
      <c r="U35" s="181"/>
      <c r="V35" s="184" t="s">
        <v>26</v>
      </c>
      <c r="W35" s="181"/>
      <c r="X35" s="184" t="s">
        <v>26</v>
      </c>
      <c r="Y35" s="181"/>
      <c r="Z35" s="184" t="s">
        <v>26</v>
      </c>
      <c r="AA35" s="181"/>
      <c r="AB35" s="184" t="s">
        <v>26</v>
      </c>
      <c r="AC35" s="181"/>
      <c r="AD35" s="184" t="s">
        <v>26</v>
      </c>
      <c r="AE35" s="181"/>
      <c r="AF35" s="184" t="s">
        <v>26</v>
      </c>
      <c r="AG35" s="181"/>
      <c r="AH35" s="184" t="s">
        <v>26</v>
      </c>
      <c r="AI35" s="181"/>
      <c r="AJ35" s="184" t="s">
        <v>26</v>
      </c>
      <c r="AK35" s="181"/>
    </row>
    <row r="36" spans="2:37" s="24" customFormat="1" x14ac:dyDescent="0.25">
      <c r="B36" s="55"/>
      <c r="C36" s="109"/>
      <c r="D36" s="118"/>
      <c r="E36" s="109"/>
      <c r="F36" s="118"/>
      <c r="G36" s="109"/>
      <c r="H36" s="118"/>
      <c r="I36" s="109"/>
      <c r="J36" s="118"/>
      <c r="K36" s="109"/>
      <c r="L36" s="180"/>
      <c r="M36" s="181"/>
      <c r="N36" s="224"/>
      <c r="O36" s="225"/>
      <c r="P36" s="182"/>
      <c r="Q36" s="181"/>
      <c r="R36" s="182"/>
      <c r="S36" s="181"/>
      <c r="T36" s="182"/>
      <c r="U36" s="181"/>
      <c r="V36" s="182"/>
      <c r="W36" s="181"/>
      <c r="X36" s="182"/>
      <c r="Y36" s="181"/>
      <c r="Z36" s="182"/>
      <c r="AA36" s="181"/>
      <c r="AB36" s="182"/>
      <c r="AC36" s="181"/>
      <c r="AD36" s="182"/>
      <c r="AE36" s="181"/>
      <c r="AF36" s="182"/>
      <c r="AG36" s="181"/>
      <c r="AH36" s="182"/>
      <c r="AI36" s="181"/>
      <c r="AJ36" s="182"/>
      <c r="AK36" s="181"/>
    </row>
    <row r="37" spans="2:37" s="24" customFormat="1" x14ac:dyDescent="0.25">
      <c r="B37" s="83">
        <v>15940</v>
      </c>
      <c r="C37" s="110" t="s">
        <v>27</v>
      </c>
      <c r="D37" s="119">
        <v>15940</v>
      </c>
      <c r="E37" s="110" t="s">
        <v>27</v>
      </c>
      <c r="F37" s="119">
        <v>11423</v>
      </c>
      <c r="G37" s="110" t="s">
        <v>27</v>
      </c>
      <c r="H37" s="119">
        <v>6483</v>
      </c>
      <c r="I37" s="110" t="s">
        <v>27</v>
      </c>
      <c r="J37" s="119">
        <v>61915</v>
      </c>
      <c r="K37" s="110" t="s">
        <v>27</v>
      </c>
      <c r="L37" s="185"/>
      <c r="M37" s="171" t="s">
        <v>27</v>
      </c>
      <c r="N37" s="227"/>
      <c r="O37" s="220" t="s">
        <v>27</v>
      </c>
      <c r="P37" s="186"/>
      <c r="Q37" s="171" t="s">
        <v>27</v>
      </c>
      <c r="R37" s="186">
        <v>83427</v>
      </c>
      <c r="S37" s="171" t="s">
        <v>27</v>
      </c>
      <c r="T37" s="186"/>
      <c r="U37" s="171" t="s">
        <v>27</v>
      </c>
      <c r="V37" s="186"/>
      <c r="W37" s="171" t="s">
        <v>27</v>
      </c>
      <c r="X37" s="186"/>
      <c r="Y37" s="171" t="s">
        <v>27</v>
      </c>
      <c r="Z37" s="186"/>
      <c r="AA37" s="171" t="s">
        <v>27</v>
      </c>
      <c r="AB37" s="186"/>
      <c r="AC37" s="171" t="s">
        <v>27</v>
      </c>
      <c r="AD37" s="186"/>
      <c r="AE37" s="171" t="s">
        <v>27</v>
      </c>
      <c r="AF37" s="186"/>
      <c r="AG37" s="171" t="s">
        <v>27</v>
      </c>
      <c r="AH37" s="186"/>
      <c r="AI37" s="171" t="s">
        <v>27</v>
      </c>
      <c r="AJ37" s="186"/>
      <c r="AK37" s="171" t="s">
        <v>27</v>
      </c>
    </row>
    <row r="38" spans="2:37" s="24" customFormat="1" x14ac:dyDescent="0.25">
      <c r="B38" s="83">
        <v>307655</v>
      </c>
      <c r="C38" s="110" t="s">
        <v>24</v>
      </c>
      <c r="D38" s="119">
        <v>604557</v>
      </c>
      <c r="E38" s="110" t="s">
        <v>24</v>
      </c>
      <c r="F38" s="119">
        <v>738063</v>
      </c>
      <c r="G38" s="110" t="s">
        <v>24</v>
      </c>
      <c r="H38" s="119">
        <v>581570</v>
      </c>
      <c r="I38" s="110" t="s">
        <v>24</v>
      </c>
      <c r="J38" s="119">
        <v>654020</v>
      </c>
      <c r="K38" s="110" t="s">
        <v>24</v>
      </c>
      <c r="L38" s="185">
        <v>588410</v>
      </c>
      <c r="M38" s="171" t="s">
        <v>24</v>
      </c>
      <c r="N38" s="227">
        <v>205540</v>
      </c>
      <c r="O38" s="220" t="s">
        <v>24</v>
      </c>
      <c r="P38" s="186">
        <v>105600</v>
      </c>
      <c r="Q38" s="171" t="s">
        <v>24</v>
      </c>
      <c r="R38" s="186">
        <v>53973</v>
      </c>
      <c r="S38" s="171" t="s">
        <v>24</v>
      </c>
      <c r="T38" s="186"/>
      <c r="U38" s="171" t="s">
        <v>24</v>
      </c>
      <c r="V38" s="186"/>
      <c r="W38" s="171" t="s">
        <v>24</v>
      </c>
      <c r="X38" s="186"/>
      <c r="Y38" s="171" t="s">
        <v>24</v>
      </c>
      <c r="Z38" s="186"/>
      <c r="AA38" s="171" t="s">
        <v>24</v>
      </c>
      <c r="AB38" s="186"/>
      <c r="AC38" s="171" t="s">
        <v>24</v>
      </c>
      <c r="AD38" s="186"/>
      <c r="AE38" s="171" t="s">
        <v>24</v>
      </c>
      <c r="AF38" s="186"/>
      <c r="AG38" s="171" t="s">
        <v>24</v>
      </c>
      <c r="AH38" s="186"/>
      <c r="AI38" s="171" t="s">
        <v>24</v>
      </c>
      <c r="AJ38" s="186"/>
      <c r="AK38" s="171" t="s">
        <v>24</v>
      </c>
    </row>
    <row r="39" spans="2:37" s="24" customFormat="1" x14ac:dyDescent="0.25">
      <c r="B39" s="83">
        <v>660002</v>
      </c>
      <c r="C39" s="110" t="s">
        <v>28</v>
      </c>
      <c r="D39" s="119">
        <v>599622</v>
      </c>
      <c r="E39" s="110" t="s">
        <v>28</v>
      </c>
      <c r="F39" s="119">
        <v>689379</v>
      </c>
      <c r="G39" s="110" t="s">
        <v>28</v>
      </c>
      <c r="H39" s="119">
        <v>638431</v>
      </c>
      <c r="I39" s="110" t="s">
        <v>28</v>
      </c>
      <c r="J39" s="119">
        <v>820450</v>
      </c>
      <c r="K39" s="110" t="s">
        <v>28</v>
      </c>
      <c r="L39" s="185">
        <v>896224</v>
      </c>
      <c r="M39" s="171" t="s">
        <v>28</v>
      </c>
      <c r="N39" s="227">
        <v>484527</v>
      </c>
      <c r="O39" s="220" t="s">
        <v>28</v>
      </c>
      <c r="P39" s="186">
        <v>453912</v>
      </c>
      <c r="Q39" s="171" t="s">
        <v>28</v>
      </c>
      <c r="R39" s="186">
        <v>553224</v>
      </c>
      <c r="S39" s="171" t="s">
        <v>28</v>
      </c>
      <c r="T39" s="186"/>
      <c r="U39" s="171" t="s">
        <v>28</v>
      </c>
      <c r="V39" s="186"/>
      <c r="W39" s="171" t="s">
        <v>28</v>
      </c>
      <c r="X39" s="186"/>
      <c r="Y39" s="171" t="s">
        <v>28</v>
      </c>
      <c r="Z39" s="186"/>
      <c r="AA39" s="171" t="s">
        <v>28</v>
      </c>
      <c r="AB39" s="186"/>
      <c r="AC39" s="171" t="s">
        <v>28</v>
      </c>
      <c r="AD39" s="186"/>
      <c r="AE39" s="171" t="s">
        <v>28</v>
      </c>
      <c r="AF39" s="186"/>
      <c r="AG39" s="171" t="s">
        <v>28</v>
      </c>
      <c r="AH39" s="186"/>
      <c r="AI39" s="171" t="s">
        <v>28</v>
      </c>
      <c r="AJ39" s="186"/>
      <c r="AK39" s="171" t="s">
        <v>28</v>
      </c>
    </row>
    <row r="40" spans="2:37" s="24" customFormat="1" x14ac:dyDescent="0.25">
      <c r="B40" s="83">
        <v>737695</v>
      </c>
      <c r="C40" s="110" t="s">
        <v>23</v>
      </c>
      <c r="D40" s="119">
        <v>715409</v>
      </c>
      <c r="E40" s="110" t="s">
        <v>23</v>
      </c>
      <c r="F40" s="119">
        <v>785000</v>
      </c>
      <c r="G40" s="110" t="s">
        <v>23</v>
      </c>
      <c r="H40" s="119">
        <v>433000</v>
      </c>
      <c r="I40" s="110" t="s">
        <v>23</v>
      </c>
      <c r="J40" s="119">
        <v>456000</v>
      </c>
      <c r="K40" s="110" t="s">
        <v>23</v>
      </c>
      <c r="L40" s="185">
        <v>509689</v>
      </c>
      <c r="M40" s="171" t="s">
        <v>23</v>
      </c>
      <c r="N40" s="227">
        <v>457205</v>
      </c>
      <c r="O40" s="220" t="s">
        <v>23</v>
      </c>
      <c r="P40" s="186">
        <v>280963</v>
      </c>
      <c r="Q40" s="171" t="s">
        <v>23</v>
      </c>
      <c r="R40" s="186">
        <v>344932</v>
      </c>
      <c r="S40" s="171" t="s">
        <v>23</v>
      </c>
      <c r="T40" s="186"/>
      <c r="U40" s="171" t="s">
        <v>23</v>
      </c>
      <c r="V40" s="186"/>
      <c r="W40" s="171" t="s">
        <v>23</v>
      </c>
      <c r="X40" s="186"/>
      <c r="Y40" s="171" t="s">
        <v>23</v>
      </c>
      <c r="Z40" s="186"/>
      <c r="AA40" s="171" t="s">
        <v>23</v>
      </c>
      <c r="AB40" s="186"/>
      <c r="AC40" s="171" t="s">
        <v>23</v>
      </c>
      <c r="AD40" s="186"/>
      <c r="AE40" s="171" t="s">
        <v>23</v>
      </c>
      <c r="AF40" s="186"/>
      <c r="AG40" s="171" t="s">
        <v>23</v>
      </c>
      <c r="AH40" s="186"/>
      <c r="AI40" s="171" t="s">
        <v>23</v>
      </c>
      <c r="AJ40" s="186"/>
      <c r="AK40" s="171" t="s">
        <v>23</v>
      </c>
    </row>
    <row r="41" spans="2:37" s="24" customFormat="1" x14ac:dyDescent="0.25">
      <c r="B41" s="84">
        <f>SUM(B37:B40)</f>
        <v>1721292</v>
      </c>
      <c r="C41" s="111"/>
      <c r="D41" s="120">
        <f>SUM(D37:D40)</f>
        <v>1935528</v>
      </c>
      <c r="E41" s="111"/>
      <c r="F41" s="120">
        <f>SUM(F37:F40)</f>
        <v>2223865</v>
      </c>
      <c r="G41" s="111"/>
      <c r="H41" s="120">
        <f>SUM(H37:H40)</f>
        <v>1659484</v>
      </c>
      <c r="I41" s="111"/>
      <c r="J41" s="120">
        <f>SUM(J37:J40)</f>
        <v>1992385</v>
      </c>
      <c r="K41" s="111"/>
      <c r="L41" s="177">
        <v>1994323</v>
      </c>
      <c r="M41" s="178"/>
      <c r="N41" s="222">
        <v>1147272</v>
      </c>
      <c r="O41" s="223"/>
      <c r="P41" s="179">
        <f>+SUM(P38:P40)</f>
        <v>840475</v>
      </c>
      <c r="Q41" s="178"/>
      <c r="R41" s="179">
        <f>SUM(R37:R40)</f>
        <v>1035556</v>
      </c>
      <c r="S41" s="178"/>
      <c r="T41" s="179"/>
      <c r="U41" s="178"/>
      <c r="V41" s="179"/>
      <c r="W41" s="178"/>
      <c r="X41" s="179"/>
      <c r="Y41" s="178"/>
      <c r="Z41" s="179"/>
      <c r="AA41" s="178"/>
      <c r="AB41" s="179"/>
      <c r="AC41" s="178"/>
      <c r="AD41" s="179"/>
      <c r="AE41" s="178"/>
      <c r="AF41" s="179"/>
      <c r="AG41" s="178"/>
      <c r="AH41" s="179"/>
      <c r="AI41" s="178"/>
      <c r="AJ41" s="179"/>
      <c r="AK41" s="178"/>
    </row>
    <row r="42" spans="2:37" s="24" customFormat="1" x14ac:dyDescent="0.25">
      <c r="B42" s="55"/>
      <c r="C42" s="109"/>
      <c r="D42" s="118"/>
      <c r="E42" s="109"/>
      <c r="F42" s="118"/>
      <c r="G42" s="109"/>
      <c r="H42" s="118"/>
      <c r="I42" s="109"/>
      <c r="J42" s="118"/>
      <c r="K42" s="109"/>
      <c r="L42" s="180"/>
      <c r="M42" s="181"/>
      <c r="N42" s="224"/>
      <c r="O42" s="225"/>
      <c r="P42" s="182"/>
      <c r="Q42" s="181"/>
      <c r="R42" s="182"/>
      <c r="S42" s="181"/>
      <c r="T42" s="182"/>
      <c r="U42" s="181"/>
      <c r="V42" s="182"/>
      <c r="W42" s="181"/>
      <c r="X42" s="182"/>
      <c r="Y42" s="181"/>
      <c r="Z42" s="182"/>
      <c r="AA42" s="181"/>
      <c r="AB42" s="182"/>
      <c r="AC42" s="181"/>
      <c r="AD42" s="182"/>
      <c r="AE42" s="181"/>
      <c r="AF42" s="182"/>
      <c r="AG42" s="181"/>
      <c r="AH42" s="182"/>
      <c r="AI42" s="181"/>
      <c r="AJ42" s="182"/>
      <c r="AK42" s="181"/>
    </row>
    <row r="43" spans="2:37" s="24" customFormat="1" x14ac:dyDescent="0.25">
      <c r="B43" s="54" t="s">
        <v>29</v>
      </c>
      <c r="C43" s="109"/>
      <c r="D43" s="117" t="s">
        <v>29</v>
      </c>
      <c r="E43" s="109"/>
      <c r="F43" s="117" t="s">
        <v>29</v>
      </c>
      <c r="G43" s="109"/>
      <c r="H43" s="117" t="s">
        <v>29</v>
      </c>
      <c r="I43" s="109"/>
      <c r="J43" s="117" t="s">
        <v>29</v>
      </c>
      <c r="K43" s="109"/>
      <c r="L43" s="183" t="s">
        <v>29</v>
      </c>
      <c r="M43" s="181"/>
      <c r="N43" s="226" t="s">
        <v>29</v>
      </c>
      <c r="O43" s="225"/>
      <c r="P43" s="184" t="s">
        <v>29</v>
      </c>
      <c r="Q43" s="181"/>
      <c r="R43" s="184" t="s">
        <v>29</v>
      </c>
      <c r="S43" s="181"/>
      <c r="T43" s="184" t="s">
        <v>29</v>
      </c>
      <c r="U43" s="181"/>
      <c r="V43" s="184" t="s">
        <v>29</v>
      </c>
      <c r="W43" s="181"/>
      <c r="X43" s="184" t="s">
        <v>29</v>
      </c>
      <c r="Y43" s="181"/>
      <c r="Z43" s="184" t="s">
        <v>29</v>
      </c>
      <c r="AA43" s="181"/>
      <c r="AB43" s="184" t="s">
        <v>29</v>
      </c>
      <c r="AC43" s="181"/>
      <c r="AD43" s="184" t="s">
        <v>29</v>
      </c>
      <c r="AE43" s="181"/>
      <c r="AF43" s="184" t="s">
        <v>29</v>
      </c>
      <c r="AG43" s="181"/>
      <c r="AH43" s="184" t="s">
        <v>29</v>
      </c>
      <c r="AI43" s="181"/>
      <c r="AJ43" s="184" t="s">
        <v>29</v>
      </c>
      <c r="AK43" s="181"/>
    </row>
    <row r="44" spans="2:37" s="24" customFormat="1" x14ac:dyDescent="0.25">
      <c r="B44" s="55"/>
      <c r="C44" s="109"/>
      <c r="D44" s="118"/>
      <c r="E44" s="109"/>
      <c r="F44" s="118"/>
      <c r="G44" s="109"/>
      <c r="H44" s="118"/>
      <c r="I44" s="109"/>
      <c r="J44" s="118"/>
      <c r="K44" s="109"/>
      <c r="L44" s="180"/>
      <c r="M44" s="181"/>
      <c r="N44" s="224"/>
      <c r="O44" s="225"/>
      <c r="P44" s="182"/>
      <c r="Q44" s="181"/>
      <c r="R44" s="182">
        <v>46124</v>
      </c>
      <c r="S44" s="181" t="s">
        <v>25</v>
      </c>
      <c r="T44" s="182"/>
      <c r="U44" s="181"/>
      <c r="V44" s="182"/>
      <c r="W44" s="181"/>
      <c r="X44" s="182"/>
      <c r="Y44" s="181"/>
      <c r="Z44" s="182"/>
      <c r="AA44" s="181"/>
      <c r="AB44" s="182"/>
      <c r="AC44" s="181"/>
      <c r="AD44" s="182"/>
      <c r="AE44" s="181"/>
      <c r="AF44" s="182"/>
      <c r="AG44" s="181"/>
      <c r="AH44" s="182"/>
      <c r="AI44" s="181"/>
      <c r="AJ44" s="182"/>
      <c r="AK44" s="181"/>
    </row>
    <row r="45" spans="2:37" s="24" customFormat="1" x14ac:dyDescent="0.25">
      <c r="B45" s="83">
        <v>39920</v>
      </c>
      <c r="C45" s="110" t="s">
        <v>24</v>
      </c>
      <c r="D45" s="119">
        <v>39920</v>
      </c>
      <c r="E45" s="110" t="s">
        <v>24</v>
      </c>
      <c r="F45" s="119">
        <v>39920</v>
      </c>
      <c r="G45" s="110" t="s">
        <v>24</v>
      </c>
      <c r="H45" s="119">
        <v>39920</v>
      </c>
      <c r="I45" s="110" t="s">
        <v>24</v>
      </c>
      <c r="J45" s="119">
        <v>39920</v>
      </c>
      <c r="K45" s="110" t="s">
        <v>24</v>
      </c>
      <c r="L45" s="185">
        <v>39920</v>
      </c>
      <c r="M45" s="171" t="s">
        <v>24</v>
      </c>
      <c r="N45" s="227">
        <v>39920</v>
      </c>
      <c r="O45" s="220" t="s">
        <v>24</v>
      </c>
      <c r="P45" s="186">
        <v>35000</v>
      </c>
      <c r="Q45" s="171" t="s">
        <v>24</v>
      </c>
      <c r="R45" s="186">
        <v>35000</v>
      </c>
      <c r="S45" s="171" t="s">
        <v>24</v>
      </c>
      <c r="T45" s="186"/>
      <c r="U45" s="171" t="s">
        <v>24</v>
      </c>
      <c r="V45" s="186"/>
      <c r="W45" s="171" t="s">
        <v>24</v>
      </c>
      <c r="X45" s="186"/>
      <c r="Y45" s="171" t="s">
        <v>24</v>
      </c>
      <c r="Z45" s="186"/>
      <c r="AA45" s="171" t="s">
        <v>24</v>
      </c>
      <c r="AB45" s="186"/>
      <c r="AC45" s="171" t="s">
        <v>24</v>
      </c>
      <c r="AD45" s="186"/>
      <c r="AE45" s="171" t="s">
        <v>24</v>
      </c>
      <c r="AF45" s="186"/>
      <c r="AG45" s="171" t="s">
        <v>24</v>
      </c>
      <c r="AH45" s="186"/>
      <c r="AI45" s="171" t="s">
        <v>24</v>
      </c>
      <c r="AJ45" s="186"/>
      <c r="AK45" s="171" t="s">
        <v>24</v>
      </c>
    </row>
    <row r="46" spans="2:37" s="24" customFormat="1" x14ac:dyDescent="0.25">
      <c r="B46" s="83">
        <v>217322</v>
      </c>
      <c r="C46" s="110" t="s">
        <v>28</v>
      </c>
      <c r="D46" s="119">
        <v>217322</v>
      </c>
      <c r="E46" s="110" t="s">
        <v>28</v>
      </c>
      <c r="F46" s="119">
        <v>249836</v>
      </c>
      <c r="G46" s="110" t="s">
        <v>28</v>
      </c>
      <c r="H46" s="119">
        <v>230267</v>
      </c>
      <c r="I46" s="110" t="s">
        <v>28</v>
      </c>
      <c r="J46" s="119">
        <v>250424</v>
      </c>
      <c r="K46" s="110" t="s">
        <v>28</v>
      </c>
      <c r="L46" s="185">
        <v>214581</v>
      </c>
      <c r="M46" s="171" t="s">
        <v>28</v>
      </c>
      <c r="N46" s="227">
        <v>198690</v>
      </c>
      <c r="O46" s="220" t="s">
        <v>28</v>
      </c>
      <c r="P46" s="186">
        <v>149479</v>
      </c>
      <c r="Q46" s="171" t="s">
        <v>28</v>
      </c>
      <c r="R46" s="186">
        <v>86648</v>
      </c>
      <c r="S46" s="171" t="s">
        <v>28</v>
      </c>
      <c r="T46" s="186"/>
      <c r="U46" s="171" t="s">
        <v>28</v>
      </c>
      <c r="V46" s="186"/>
      <c r="W46" s="171" t="s">
        <v>28</v>
      </c>
      <c r="X46" s="186"/>
      <c r="Y46" s="171" t="s">
        <v>28</v>
      </c>
      <c r="Z46" s="186"/>
      <c r="AA46" s="171" t="s">
        <v>28</v>
      </c>
      <c r="AB46" s="186"/>
      <c r="AC46" s="171" t="s">
        <v>28</v>
      </c>
      <c r="AD46" s="186"/>
      <c r="AE46" s="171" t="s">
        <v>28</v>
      </c>
      <c r="AF46" s="186"/>
      <c r="AG46" s="171" t="s">
        <v>28</v>
      </c>
      <c r="AH46" s="186"/>
      <c r="AI46" s="171" t="s">
        <v>28</v>
      </c>
      <c r="AJ46" s="186"/>
      <c r="AK46" s="171" t="s">
        <v>28</v>
      </c>
    </row>
    <row r="47" spans="2:37" s="24" customFormat="1" x14ac:dyDescent="0.25">
      <c r="B47" s="83">
        <v>421820</v>
      </c>
      <c r="C47" s="110" t="s">
        <v>23</v>
      </c>
      <c r="D47" s="119">
        <v>252267</v>
      </c>
      <c r="E47" s="110" t="s">
        <v>23</v>
      </c>
      <c r="F47" s="119">
        <v>454000</v>
      </c>
      <c r="G47" s="110" t="s">
        <v>23</v>
      </c>
      <c r="H47" s="119">
        <v>440000</v>
      </c>
      <c r="I47" s="110" t="s">
        <v>23</v>
      </c>
      <c r="J47" s="119">
        <v>379000</v>
      </c>
      <c r="K47" s="110" t="s">
        <v>23</v>
      </c>
      <c r="L47" s="185">
        <v>1442554</v>
      </c>
      <c r="M47" s="171" t="s">
        <v>23</v>
      </c>
      <c r="N47" s="227">
        <v>217598</v>
      </c>
      <c r="O47" s="220" t="s">
        <v>23</v>
      </c>
      <c r="P47" s="186">
        <v>247424</v>
      </c>
      <c r="Q47" s="171" t="s">
        <v>23</v>
      </c>
      <c r="R47" s="186">
        <v>256584</v>
      </c>
      <c r="S47" s="171" t="s">
        <v>23</v>
      </c>
      <c r="T47" s="186"/>
      <c r="U47" s="171" t="s">
        <v>23</v>
      </c>
      <c r="V47" s="186"/>
      <c r="W47" s="171" t="s">
        <v>23</v>
      </c>
      <c r="X47" s="186"/>
      <c r="Y47" s="171" t="s">
        <v>23</v>
      </c>
      <c r="Z47" s="186"/>
      <c r="AA47" s="171" t="s">
        <v>23</v>
      </c>
      <c r="AB47" s="186"/>
      <c r="AC47" s="171" t="s">
        <v>23</v>
      </c>
      <c r="AD47" s="186"/>
      <c r="AE47" s="171" t="s">
        <v>23</v>
      </c>
      <c r="AF47" s="186"/>
      <c r="AG47" s="171" t="s">
        <v>23</v>
      </c>
      <c r="AH47" s="186"/>
      <c r="AI47" s="171" t="s">
        <v>23</v>
      </c>
      <c r="AJ47" s="186"/>
      <c r="AK47" s="171" t="s">
        <v>23</v>
      </c>
    </row>
    <row r="48" spans="2:37" s="24" customFormat="1" x14ac:dyDescent="0.25">
      <c r="B48" s="84">
        <f>SUM(B45:B47)</f>
        <v>679062</v>
      </c>
      <c r="C48" s="111"/>
      <c r="D48" s="120">
        <f>SUM(D45:D47)</f>
        <v>509509</v>
      </c>
      <c r="E48" s="111"/>
      <c r="F48" s="120">
        <f>SUM(F45:F47)</f>
        <v>743756</v>
      </c>
      <c r="G48" s="111"/>
      <c r="H48" s="120">
        <f>SUM(H45:H47)</f>
        <v>710187</v>
      </c>
      <c r="I48" s="111"/>
      <c r="J48" s="120">
        <f>SUM(J45:J47)</f>
        <v>669344</v>
      </c>
      <c r="K48" s="111"/>
      <c r="L48" s="177">
        <v>1697055</v>
      </c>
      <c r="M48" s="178"/>
      <c r="N48" s="222">
        <v>456208</v>
      </c>
      <c r="O48" s="223"/>
      <c r="P48" s="179">
        <f>+SUM(P45:P47)</f>
        <v>431903</v>
      </c>
      <c r="Q48" s="178"/>
      <c r="R48" s="179">
        <f>SUM(R44:R47)</f>
        <v>424356</v>
      </c>
      <c r="S48" s="178"/>
      <c r="T48" s="179"/>
      <c r="U48" s="178"/>
      <c r="V48" s="179"/>
      <c r="W48" s="178"/>
      <c r="X48" s="179"/>
      <c r="Y48" s="178"/>
      <c r="Z48" s="179"/>
      <c r="AA48" s="178"/>
      <c r="AB48" s="179"/>
      <c r="AC48" s="178"/>
      <c r="AD48" s="179"/>
      <c r="AE48" s="178"/>
      <c r="AF48" s="179"/>
      <c r="AG48" s="178"/>
      <c r="AH48" s="179"/>
      <c r="AI48" s="178"/>
      <c r="AJ48" s="179"/>
      <c r="AK48" s="178"/>
    </row>
    <row r="49" spans="2:37" s="24" customFormat="1" x14ac:dyDescent="0.25">
      <c r="B49" s="55"/>
      <c r="C49" s="109"/>
      <c r="D49" s="118"/>
      <c r="E49" s="109"/>
      <c r="F49" s="118"/>
      <c r="G49" s="109"/>
      <c r="H49" s="118"/>
      <c r="I49" s="109"/>
      <c r="J49" s="118"/>
      <c r="K49" s="109"/>
      <c r="L49" s="180"/>
      <c r="M49" s="181"/>
      <c r="N49" s="224"/>
      <c r="O49" s="225"/>
      <c r="P49" s="182"/>
      <c r="Q49" s="181"/>
      <c r="R49" s="182"/>
      <c r="S49" s="181"/>
      <c r="T49" s="182"/>
      <c r="U49" s="181"/>
      <c r="V49" s="182"/>
      <c r="W49" s="181"/>
      <c r="X49" s="182"/>
      <c r="Y49" s="181"/>
      <c r="Z49" s="182"/>
      <c r="AA49" s="181"/>
      <c r="AB49" s="182"/>
      <c r="AC49" s="181"/>
      <c r="AD49" s="182"/>
      <c r="AE49" s="181"/>
      <c r="AF49" s="182"/>
      <c r="AG49" s="181"/>
      <c r="AH49" s="182"/>
      <c r="AI49" s="181"/>
      <c r="AJ49" s="182"/>
      <c r="AK49" s="181"/>
    </row>
    <row r="50" spans="2:37" s="24" customFormat="1" x14ac:dyDescent="0.25">
      <c r="B50" s="55"/>
      <c r="C50" s="109"/>
      <c r="D50" s="118"/>
      <c r="E50" s="109"/>
      <c r="F50" s="118"/>
      <c r="G50" s="109"/>
      <c r="H50" s="118"/>
      <c r="I50" s="109"/>
      <c r="J50" s="118"/>
      <c r="K50" s="109"/>
      <c r="L50" s="180"/>
      <c r="M50" s="181"/>
      <c r="N50" s="224"/>
      <c r="O50" s="225"/>
      <c r="P50" s="182"/>
      <c r="Q50" s="181"/>
      <c r="R50" s="182"/>
      <c r="S50" s="181"/>
      <c r="T50" s="182"/>
      <c r="U50" s="181"/>
      <c r="V50" s="182"/>
      <c r="W50" s="181"/>
      <c r="X50" s="182"/>
      <c r="Y50" s="181"/>
      <c r="Z50" s="182"/>
      <c r="AA50" s="181"/>
      <c r="AB50" s="182"/>
      <c r="AC50" s="181"/>
      <c r="AD50" s="182"/>
      <c r="AE50" s="181"/>
      <c r="AF50" s="182"/>
      <c r="AG50" s="181"/>
      <c r="AH50" s="182"/>
      <c r="AI50" s="181"/>
      <c r="AJ50" s="182"/>
      <c r="AK50" s="181"/>
    </row>
    <row r="51" spans="2:37" s="24" customFormat="1" x14ac:dyDescent="0.25">
      <c r="B51" s="85" t="s">
        <v>8</v>
      </c>
      <c r="C51" s="109"/>
      <c r="D51" s="121" t="s">
        <v>8</v>
      </c>
      <c r="E51" s="109"/>
      <c r="F51" s="121" t="s">
        <v>8</v>
      </c>
      <c r="G51" s="109"/>
      <c r="H51" s="121" t="s">
        <v>8</v>
      </c>
      <c r="I51" s="109"/>
      <c r="J51" s="121" t="s">
        <v>8</v>
      </c>
      <c r="K51" s="109"/>
      <c r="L51" s="187" t="s">
        <v>8</v>
      </c>
      <c r="M51" s="181"/>
      <c r="N51" s="228" t="s">
        <v>8</v>
      </c>
      <c r="O51" s="225"/>
      <c r="P51" s="188" t="s">
        <v>8</v>
      </c>
      <c r="Q51" s="181"/>
      <c r="R51" s="188" t="s">
        <v>8</v>
      </c>
      <c r="S51" s="181"/>
      <c r="T51" s="188" t="s">
        <v>8</v>
      </c>
      <c r="U51" s="181"/>
      <c r="V51" s="188" t="s">
        <v>8</v>
      </c>
      <c r="W51" s="181"/>
      <c r="X51" s="188" t="s">
        <v>8</v>
      </c>
      <c r="Y51" s="181"/>
      <c r="Z51" s="188" t="s">
        <v>8</v>
      </c>
      <c r="AA51" s="181"/>
      <c r="AB51" s="188" t="s">
        <v>8</v>
      </c>
      <c r="AC51" s="181"/>
      <c r="AD51" s="188" t="s">
        <v>8</v>
      </c>
      <c r="AE51" s="181"/>
      <c r="AF51" s="188" t="s">
        <v>8</v>
      </c>
      <c r="AG51" s="181"/>
      <c r="AH51" s="188" t="s">
        <v>8</v>
      </c>
      <c r="AI51" s="181"/>
      <c r="AJ51" s="188" t="s">
        <v>8</v>
      </c>
      <c r="AK51" s="181"/>
    </row>
    <row r="52" spans="2:37" s="24" customFormat="1" x14ac:dyDescent="0.25">
      <c r="B52" s="55"/>
      <c r="C52" s="109"/>
      <c r="D52" s="118"/>
      <c r="E52" s="109"/>
      <c r="F52" s="118"/>
      <c r="G52" s="109"/>
      <c r="H52" s="118"/>
      <c r="I52" s="109"/>
      <c r="J52" s="118"/>
      <c r="K52" s="109"/>
      <c r="L52" s="180"/>
      <c r="M52" s="181"/>
      <c r="N52" s="224"/>
      <c r="O52" s="225"/>
      <c r="P52" s="182"/>
      <c r="Q52" s="181"/>
      <c r="R52" s="182"/>
      <c r="S52" s="181"/>
      <c r="T52" s="182"/>
      <c r="U52" s="181"/>
      <c r="V52" s="182"/>
      <c r="W52" s="181"/>
      <c r="X52" s="182"/>
      <c r="Y52" s="181"/>
      <c r="Z52" s="182"/>
      <c r="AA52" s="181"/>
      <c r="AB52" s="182"/>
      <c r="AC52" s="181"/>
      <c r="AD52" s="182"/>
      <c r="AE52" s="181"/>
      <c r="AF52" s="182"/>
      <c r="AG52" s="181"/>
      <c r="AH52" s="182"/>
      <c r="AI52" s="181"/>
      <c r="AJ52" s="182"/>
      <c r="AK52" s="181"/>
    </row>
    <row r="53" spans="2:37" s="24" customFormat="1" x14ac:dyDescent="0.25">
      <c r="B53" s="83">
        <v>307171</v>
      </c>
      <c r="C53" s="110" t="s">
        <v>27</v>
      </c>
      <c r="D53" s="119">
        <v>225084</v>
      </c>
      <c r="E53" s="110" t="s">
        <v>27</v>
      </c>
      <c r="F53" s="119">
        <v>161746</v>
      </c>
      <c r="G53" s="110" t="s">
        <v>27</v>
      </c>
      <c r="H53" s="119">
        <v>125299</v>
      </c>
      <c r="I53" s="110" t="s">
        <v>27</v>
      </c>
      <c r="J53" s="119">
        <v>123617</v>
      </c>
      <c r="K53" s="110" t="s">
        <v>27</v>
      </c>
      <c r="L53" s="185">
        <v>94455</v>
      </c>
      <c r="M53" s="171" t="s">
        <v>27</v>
      </c>
      <c r="N53" s="227">
        <v>90285</v>
      </c>
      <c r="O53" s="220" t="s">
        <v>27</v>
      </c>
      <c r="P53" s="186">
        <v>90285</v>
      </c>
      <c r="Q53" s="171" t="s">
        <v>27</v>
      </c>
      <c r="R53" s="186">
        <v>89503</v>
      </c>
      <c r="S53" s="171" t="s">
        <v>27</v>
      </c>
      <c r="T53" s="186"/>
      <c r="U53" s="171" t="s">
        <v>27</v>
      </c>
      <c r="V53" s="186"/>
      <c r="W53" s="171" t="s">
        <v>27</v>
      </c>
      <c r="X53" s="186"/>
      <c r="Y53" s="171" t="s">
        <v>27</v>
      </c>
      <c r="Z53" s="186"/>
      <c r="AA53" s="171" t="s">
        <v>27</v>
      </c>
      <c r="AB53" s="186"/>
      <c r="AC53" s="171" t="s">
        <v>27</v>
      </c>
      <c r="AD53" s="186"/>
      <c r="AE53" s="171" t="s">
        <v>27</v>
      </c>
      <c r="AF53" s="186"/>
      <c r="AG53" s="171" t="s">
        <v>27</v>
      </c>
      <c r="AH53" s="186"/>
      <c r="AI53" s="171" t="s">
        <v>27</v>
      </c>
      <c r="AJ53" s="186"/>
      <c r="AK53" s="171" t="s">
        <v>27</v>
      </c>
    </row>
    <row r="54" spans="2:37" s="24" customFormat="1" x14ac:dyDescent="0.25">
      <c r="B54" s="83">
        <v>541320</v>
      </c>
      <c r="C54" s="110" t="s">
        <v>24</v>
      </c>
      <c r="D54" s="119">
        <v>455440</v>
      </c>
      <c r="E54" s="110" t="s">
        <v>24</v>
      </c>
      <c r="F54" s="119">
        <v>456180</v>
      </c>
      <c r="G54" s="110" t="s">
        <v>24</v>
      </c>
      <c r="H54" s="119">
        <v>421790</v>
      </c>
      <c r="I54" s="110" t="s">
        <v>24</v>
      </c>
      <c r="J54" s="119">
        <v>54120</v>
      </c>
      <c r="K54" s="110" t="s">
        <v>24</v>
      </c>
      <c r="L54" s="185">
        <v>54120</v>
      </c>
      <c r="M54" s="171" t="s">
        <v>24</v>
      </c>
      <c r="N54" s="227">
        <v>54120</v>
      </c>
      <c r="O54" s="220" t="s">
        <v>24</v>
      </c>
      <c r="P54" s="186">
        <v>54120</v>
      </c>
      <c r="Q54" s="171" t="s">
        <v>24</v>
      </c>
      <c r="R54" s="186"/>
      <c r="S54" s="171" t="s">
        <v>24</v>
      </c>
      <c r="T54" s="186"/>
      <c r="U54" s="171" t="s">
        <v>24</v>
      </c>
      <c r="V54" s="186"/>
      <c r="W54" s="171" t="s">
        <v>24</v>
      </c>
      <c r="X54" s="186"/>
      <c r="Y54" s="171" t="s">
        <v>24</v>
      </c>
      <c r="Z54" s="186"/>
      <c r="AA54" s="171" t="s">
        <v>24</v>
      </c>
      <c r="AB54" s="186"/>
      <c r="AC54" s="171" t="s">
        <v>24</v>
      </c>
      <c r="AD54" s="186"/>
      <c r="AE54" s="171" t="s">
        <v>24</v>
      </c>
      <c r="AF54" s="186"/>
      <c r="AG54" s="171" t="s">
        <v>24</v>
      </c>
      <c r="AH54" s="186"/>
      <c r="AI54" s="171" t="s">
        <v>24</v>
      </c>
      <c r="AJ54" s="186"/>
      <c r="AK54" s="171" t="s">
        <v>24</v>
      </c>
    </row>
    <row r="55" spans="2:37" s="24" customFormat="1" x14ac:dyDescent="0.25">
      <c r="B55" s="83">
        <v>702022</v>
      </c>
      <c r="C55" s="110" t="s">
        <v>28</v>
      </c>
      <c r="D55" s="119">
        <v>683029</v>
      </c>
      <c r="E55" s="110" t="s">
        <v>28</v>
      </c>
      <c r="F55" s="119">
        <v>654772</v>
      </c>
      <c r="G55" s="110" t="s">
        <v>28</v>
      </c>
      <c r="H55" s="119">
        <v>611129</v>
      </c>
      <c r="I55" s="110" t="s">
        <v>28</v>
      </c>
      <c r="J55" s="119">
        <v>577666</v>
      </c>
      <c r="K55" s="110" t="s">
        <v>28</v>
      </c>
      <c r="L55" s="185">
        <v>247295</v>
      </c>
      <c r="M55" s="171" t="s">
        <v>28</v>
      </c>
      <c r="N55" s="227">
        <v>536918</v>
      </c>
      <c r="O55" s="220" t="s">
        <v>28</v>
      </c>
      <c r="P55" s="186">
        <v>448877</v>
      </c>
      <c r="Q55" s="171" t="s">
        <v>28</v>
      </c>
      <c r="R55" s="186">
        <v>460123</v>
      </c>
      <c r="S55" s="171" t="s">
        <v>28</v>
      </c>
      <c r="T55" s="186"/>
      <c r="U55" s="171" t="s">
        <v>28</v>
      </c>
      <c r="V55" s="186"/>
      <c r="W55" s="171" t="s">
        <v>28</v>
      </c>
      <c r="X55" s="186"/>
      <c r="Y55" s="171" t="s">
        <v>28</v>
      </c>
      <c r="Z55" s="186"/>
      <c r="AA55" s="171" t="s">
        <v>28</v>
      </c>
      <c r="AB55" s="186"/>
      <c r="AC55" s="171" t="s">
        <v>28</v>
      </c>
      <c r="AD55" s="186"/>
      <c r="AE55" s="171" t="s">
        <v>28</v>
      </c>
      <c r="AF55" s="186"/>
      <c r="AG55" s="171" t="s">
        <v>28</v>
      </c>
      <c r="AH55" s="186"/>
      <c r="AI55" s="171" t="s">
        <v>28</v>
      </c>
      <c r="AJ55" s="186"/>
      <c r="AK55" s="171" t="s">
        <v>28</v>
      </c>
    </row>
    <row r="56" spans="2:37" s="24" customFormat="1" x14ac:dyDescent="0.25">
      <c r="B56" s="83">
        <v>1576050</v>
      </c>
      <c r="C56" s="110" t="s">
        <v>23</v>
      </c>
      <c r="D56" s="119">
        <v>1445738</v>
      </c>
      <c r="E56" s="110" t="s">
        <v>23</v>
      </c>
      <c r="F56" s="119">
        <v>1390000</v>
      </c>
      <c r="G56" s="110" t="s">
        <v>23</v>
      </c>
      <c r="H56" s="119">
        <v>1619000</v>
      </c>
      <c r="I56" s="110" t="s">
        <v>23</v>
      </c>
      <c r="J56" s="119">
        <v>1470000</v>
      </c>
      <c r="K56" s="110" t="s">
        <v>23</v>
      </c>
      <c r="L56" s="185">
        <v>1453779</v>
      </c>
      <c r="M56" s="171" t="s">
        <v>23</v>
      </c>
      <c r="N56" s="227">
        <v>1218561</v>
      </c>
      <c r="O56" s="220" t="s">
        <v>23</v>
      </c>
      <c r="P56" s="186">
        <v>1191160</v>
      </c>
      <c r="Q56" s="171" t="s">
        <v>23</v>
      </c>
      <c r="R56" s="186">
        <v>1214639</v>
      </c>
      <c r="S56" s="171" t="s">
        <v>23</v>
      </c>
      <c r="T56" s="186"/>
      <c r="U56" s="171" t="s">
        <v>23</v>
      </c>
      <c r="V56" s="186"/>
      <c r="W56" s="171" t="s">
        <v>23</v>
      </c>
      <c r="X56" s="186"/>
      <c r="Y56" s="171" t="s">
        <v>23</v>
      </c>
      <c r="Z56" s="186"/>
      <c r="AA56" s="171" t="s">
        <v>23</v>
      </c>
      <c r="AB56" s="186"/>
      <c r="AC56" s="171" t="s">
        <v>23</v>
      </c>
      <c r="AD56" s="186"/>
      <c r="AE56" s="171" t="s">
        <v>23</v>
      </c>
      <c r="AF56" s="186"/>
      <c r="AG56" s="171" t="s">
        <v>23</v>
      </c>
      <c r="AH56" s="186"/>
      <c r="AI56" s="171" t="s">
        <v>23</v>
      </c>
      <c r="AJ56" s="186"/>
      <c r="AK56" s="171" t="s">
        <v>23</v>
      </c>
    </row>
    <row r="57" spans="2:37" s="24" customFormat="1" x14ac:dyDescent="0.25">
      <c r="B57" s="84">
        <f>SUM(B53:B56)</f>
        <v>3126563</v>
      </c>
      <c r="C57" s="111"/>
      <c r="D57" s="120">
        <f>SUM(D53:D56)</f>
        <v>2809291</v>
      </c>
      <c r="E57" s="111"/>
      <c r="F57" s="120">
        <f>SUM(F53:F56)</f>
        <v>2662698</v>
      </c>
      <c r="G57" s="111"/>
      <c r="H57" s="120">
        <f>SUM(H53:H56)</f>
        <v>2777218</v>
      </c>
      <c r="I57" s="111"/>
      <c r="J57" s="120">
        <f>SUM(J53:J56)</f>
        <v>2225403</v>
      </c>
      <c r="K57" s="111"/>
      <c r="L57" s="177">
        <v>1849649</v>
      </c>
      <c r="M57" s="178"/>
      <c r="N57" s="222">
        <v>1899884</v>
      </c>
      <c r="O57" s="223"/>
      <c r="P57" s="179">
        <f>+SUM(P53:P56)</f>
        <v>1784442</v>
      </c>
      <c r="Q57" s="178"/>
      <c r="R57" s="179">
        <f>SUM(R53:R56)</f>
        <v>1764265</v>
      </c>
      <c r="S57" s="178"/>
      <c r="T57" s="179"/>
      <c r="U57" s="178"/>
      <c r="V57" s="179"/>
      <c r="W57" s="178"/>
      <c r="X57" s="179"/>
      <c r="Y57" s="178"/>
      <c r="Z57" s="179"/>
      <c r="AA57" s="178"/>
      <c r="AB57" s="179"/>
      <c r="AC57" s="178"/>
      <c r="AD57" s="179"/>
      <c r="AE57" s="178"/>
      <c r="AF57" s="179"/>
      <c r="AG57" s="178"/>
      <c r="AH57" s="179"/>
      <c r="AI57" s="178"/>
      <c r="AJ57" s="179"/>
      <c r="AK57" s="178"/>
    </row>
    <row r="58" spans="2:37" s="24" customFormat="1" x14ac:dyDescent="0.25">
      <c r="B58" s="55"/>
      <c r="C58" s="109"/>
      <c r="D58" s="118"/>
      <c r="E58" s="109"/>
      <c r="F58" s="118"/>
      <c r="G58" s="109"/>
      <c r="H58" s="118"/>
      <c r="I58" s="109"/>
      <c r="J58" s="118"/>
      <c r="K58" s="109"/>
      <c r="L58" s="180"/>
      <c r="M58" s="181"/>
      <c r="N58" s="224"/>
      <c r="O58" s="225"/>
      <c r="P58" s="182"/>
      <c r="Q58" s="181"/>
      <c r="R58" s="182"/>
      <c r="S58" s="181"/>
      <c r="T58" s="182"/>
      <c r="U58" s="181"/>
      <c r="V58" s="182"/>
      <c r="W58" s="181"/>
      <c r="X58" s="182"/>
      <c r="Y58" s="181"/>
      <c r="Z58" s="182"/>
      <c r="AA58" s="181"/>
      <c r="AB58" s="182"/>
      <c r="AC58" s="181"/>
      <c r="AD58" s="182"/>
      <c r="AE58" s="181"/>
      <c r="AF58" s="182"/>
      <c r="AG58" s="181"/>
      <c r="AH58" s="182"/>
      <c r="AI58" s="181"/>
      <c r="AJ58" s="182"/>
      <c r="AK58" s="181"/>
    </row>
    <row r="59" spans="2:37" s="24" customFormat="1" x14ac:dyDescent="0.25">
      <c r="B59" s="54" t="s">
        <v>2</v>
      </c>
      <c r="C59" s="109"/>
      <c r="D59" s="117" t="s">
        <v>2</v>
      </c>
      <c r="E59" s="109"/>
      <c r="F59" s="117" t="s">
        <v>2</v>
      </c>
      <c r="G59" s="109"/>
      <c r="H59" s="117" t="s">
        <v>2</v>
      </c>
      <c r="I59" s="109"/>
      <c r="J59" s="117" t="s">
        <v>2</v>
      </c>
      <c r="K59" s="109"/>
      <c r="L59" s="183" t="s">
        <v>2</v>
      </c>
      <c r="M59" s="181"/>
      <c r="N59" s="226" t="s">
        <v>2</v>
      </c>
      <c r="O59" s="225"/>
      <c r="P59" s="184" t="s">
        <v>2</v>
      </c>
      <c r="Q59" s="181"/>
      <c r="R59" s="184" t="s">
        <v>2</v>
      </c>
      <c r="S59" s="181"/>
      <c r="T59" s="184" t="s">
        <v>2</v>
      </c>
      <c r="U59" s="181"/>
      <c r="V59" s="184" t="s">
        <v>2</v>
      </c>
      <c r="W59" s="181"/>
      <c r="X59" s="184" t="s">
        <v>2</v>
      </c>
      <c r="Y59" s="181"/>
      <c r="Z59" s="184" t="s">
        <v>2</v>
      </c>
      <c r="AA59" s="181"/>
      <c r="AB59" s="184" t="s">
        <v>2</v>
      </c>
      <c r="AC59" s="181"/>
      <c r="AD59" s="184" t="s">
        <v>2</v>
      </c>
      <c r="AE59" s="181"/>
      <c r="AF59" s="184" t="s">
        <v>2</v>
      </c>
      <c r="AG59" s="181"/>
      <c r="AH59" s="184" t="s">
        <v>2</v>
      </c>
      <c r="AI59" s="181"/>
      <c r="AJ59" s="184" t="s">
        <v>2</v>
      </c>
      <c r="AK59" s="181"/>
    </row>
    <row r="60" spans="2:37" s="24" customFormat="1" x14ac:dyDescent="0.25">
      <c r="B60" s="55"/>
      <c r="C60" s="109"/>
      <c r="D60" s="118"/>
      <c r="E60" s="109"/>
      <c r="F60" s="118"/>
      <c r="G60" s="109"/>
      <c r="H60" s="118"/>
      <c r="I60" s="109"/>
      <c r="J60" s="118"/>
      <c r="K60" s="109"/>
      <c r="L60" s="180"/>
      <c r="M60" s="181"/>
      <c r="N60" s="224"/>
      <c r="O60" s="225"/>
      <c r="P60" s="182"/>
      <c r="Q60" s="181"/>
      <c r="R60" s="182"/>
      <c r="S60" s="181"/>
      <c r="T60" s="182"/>
      <c r="U60" s="181"/>
      <c r="V60" s="182"/>
      <c r="W60" s="181"/>
      <c r="X60" s="182"/>
      <c r="Y60" s="181"/>
      <c r="Z60" s="182"/>
      <c r="AA60" s="181"/>
      <c r="AB60" s="182"/>
      <c r="AC60" s="181"/>
      <c r="AD60" s="182"/>
      <c r="AE60" s="181"/>
      <c r="AF60" s="182"/>
      <c r="AG60" s="181"/>
      <c r="AH60" s="182"/>
      <c r="AI60" s="181"/>
      <c r="AJ60" s="182"/>
      <c r="AK60" s="181"/>
    </row>
    <row r="61" spans="2:37" s="24" customFormat="1" x14ac:dyDescent="0.25">
      <c r="B61" s="83">
        <v>1192042</v>
      </c>
      <c r="C61" s="110" t="s">
        <v>24</v>
      </c>
      <c r="D61" s="119">
        <v>1204045</v>
      </c>
      <c r="E61" s="110" t="s">
        <v>24</v>
      </c>
      <c r="F61" s="119">
        <v>1113530</v>
      </c>
      <c r="G61" s="110" t="s">
        <v>24</v>
      </c>
      <c r="H61" s="119">
        <v>769220</v>
      </c>
      <c r="I61" s="110" t="s">
        <v>24</v>
      </c>
      <c r="J61" s="119">
        <v>830158</v>
      </c>
      <c r="K61" s="110" t="s">
        <v>24</v>
      </c>
      <c r="L61" s="185">
        <v>709275</v>
      </c>
      <c r="M61" s="171" t="s">
        <v>24</v>
      </c>
      <c r="N61" s="227">
        <v>1108459</v>
      </c>
      <c r="O61" s="220" t="s">
        <v>24</v>
      </c>
      <c r="P61" s="186">
        <v>1124011</v>
      </c>
      <c r="Q61" s="171" t="s">
        <v>24</v>
      </c>
      <c r="R61" s="186">
        <v>1179236</v>
      </c>
      <c r="S61" s="171" t="s">
        <v>24</v>
      </c>
      <c r="T61" s="186"/>
      <c r="U61" s="171" t="s">
        <v>24</v>
      </c>
      <c r="V61" s="186"/>
      <c r="W61" s="171" t="s">
        <v>24</v>
      </c>
      <c r="X61" s="186"/>
      <c r="Y61" s="171" t="s">
        <v>24</v>
      </c>
      <c r="Z61" s="186"/>
      <c r="AA61" s="171" t="s">
        <v>24</v>
      </c>
      <c r="AB61" s="186"/>
      <c r="AC61" s="171" t="s">
        <v>24</v>
      </c>
      <c r="AD61" s="186"/>
      <c r="AE61" s="171" t="s">
        <v>24</v>
      </c>
      <c r="AF61" s="186"/>
      <c r="AG61" s="171" t="s">
        <v>24</v>
      </c>
      <c r="AH61" s="186"/>
      <c r="AI61" s="171" t="s">
        <v>24</v>
      </c>
      <c r="AJ61" s="186"/>
      <c r="AK61" s="171" t="s">
        <v>24</v>
      </c>
    </row>
    <row r="62" spans="2:37" s="24" customFormat="1" x14ac:dyDescent="0.25">
      <c r="B62" s="83">
        <v>3579377</v>
      </c>
      <c r="C62" s="110" t="s">
        <v>28</v>
      </c>
      <c r="D62" s="119">
        <v>3580367</v>
      </c>
      <c r="E62" s="110" t="s">
        <v>28</v>
      </c>
      <c r="F62" s="119">
        <v>4024480</v>
      </c>
      <c r="G62" s="110" t="s">
        <v>28</v>
      </c>
      <c r="H62" s="119">
        <v>3381316</v>
      </c>
      <c r="I62" s="110" t="s">
        <v>28</v>
      </c>
      <c r="J62" s="119">
        <v>3351455</v>
      </c>
      <c r="K62" s="110" t="s">
        <v>28</v>
      </c>
      <c r="L62" s="185">
        <v>3393409</v>
      </c>
      <c r="M62" s="171" t="s">
        <v>28</v>
      </c>
      <c r="N62" s="227">
        <v>2620546</v>
      </c>
      <c r="O62" s="220" t="s">
        <v>28</v>
      </c>
      <c r="P62" s="186">
        <v>2460364</v>
      </c>
      <c r="Q62" s="171" t="s">
        <v>28</v>
      </c>
      <c r="R62" s="186">
        <v>2598340</v>
      </c>
      <c r="S62" s="171" t="s">
        <v>28</v>
      </c>
      <c r="T62" s="186"/>
      <c r="U62" s="171" t="s">
        <v>28</v>
      </c>
      <c r="V62" s="186"/>
      <c r="W62" s="171" t="s">
        <v>28</v>
      </c>
      <c r="X62" s="186"/>
      <c r="Y62" s="171" t="s">
        <v>28</v>
      </c>
      <c r="Z62" s="186"/>
      <c r="AA62" s="171" t="s">
        <v>28</v>
      </c>
      <c r="AB62" s="186"/>
      <c r="AC62" s="171" t="s">
        <v>28</v>
      </c>
      <c r="AD62" s="186"/>
      <c r="AE62" s="171" t="s">
        <v>28</v>
      </c>
      <c r="AF62" s="186"/>
      <c r="AG62" s="171" t="s">
        <v>28</v>
      </c>
      <c r="AH62" s="186"/>
      <c r="AI62" s="171" t="s">
        <v>28</v>
      </c>
      <c r="AJ62" s="186"/>
      <c r="AK62" s="171" t="s">
        <v>28</v>
      </c>
    </row>
    <row r="63" spans="2:37" s="24" customFormat="1" x14ac:dyDescent="0.25">
      <c r="B63" s="83">
        <v>4645960</v>
      </c>
      <c r="C63" s="110" t="s">
        <v>23</v>
      </c>
      <c r="D63" s="119">
        <v>4206941</v>
      </c>
      <c r="E63" s="110" t="s">
        <v>23</v>
      </c>
      <c r="F63" s="119">
        <v>4456000</v>
      </c>
      <c r="G63" s="110" t="s">
        <v>23</v>
      </c>
      <c r="H63" s="119">
        <v>4832060</v>
      </c>
      <c r="I63" s="110" t="s">
        <v>23</v>
      </c>
      <c r="J63" s="119">
        <v>4560000</v>
      </c>
      <c r="K63" s="110" t="s">
        <v>23</v>
      </c>
      <c r="L63" s="185">
        <v>4626940</v>
      </c>
      <c r="M63" s="171" t="s">
        <v>23</v>
      </c>
      <c r="N63" s="227">
        <v>3784071</v>
      </c>
      <c r="O63" s="220" t="s">
        <v>23</v>
      </c>
      <c r="P63" s="186">
        <v>4033018</v>
      </c>
      <c r="Q63" s="171" t="s">
        <v>23</v>
      </c>
      <c r="R63" s="186">
        <v>4204389</v>
      </c>
      <c r="S63" s="171" t="s">
        <v>23</v>
      </c>
      <c r="T63" s="186"/>
      <c r="U63" s="171" t="s">
        <v>23</v>
      </c>
      <c r="V63" s="186"/>
      <c r="W63" s="171" t="s">
        <v>23</v>
      </c>
      <c r="X63" s="186"/>
      <c r="Y63" s="171" t="s">
        <v>23</v>
      </c>
      <c r="Z63" s="186"/>
      <c r="AA63" s="171" t="s">
        <v>23</v>
      </c>
      <c r="AB63" s="186"/>
      <c r="AC63" s="171" t="s">
        <v>23</v>
      </c>
      <c r="AD63" s="186"/>
      <c r="AE63" s="171" t="s">
        <v>23</v>
      </c>
      <c r="AF63" s="186"/>
      <c r="AG63" s="171" t="s">
        <v>23</v>
      </c>
      <c r="AH63" s="186"/>
      <c r="AI63" s="171" t="s">
        <v>23</v>
      </c>
      <c r="AJ63" s="186"/>
      <c r="AK63" s="171" t="s">
        <v>23</v>
      </c>
    </row>
    <row r="64" spans="2:37" s="24" customFormat="1" x14ac:dyDescent="0.25">
      <c r="B64" s="84">
        <f>SUM(B61:B63)</f>
        <v>9417379</v>
      </c>
      <c r="C64" s="111"/>
      <c r="D64" s="120">
        <f>SUM(D61:D63)</f>
        <v>8991353</v>
      </c>
      <c r="E64" s="111"/>
      <c r="F64" s="120">
        <f>SUM(F61:F63)</f>
        <v>9594010</v>
      </c>
      <c r="G64" s="111"/>
      <c r="H64" s="120">
        <f>SUM(H61:H63)</f>
        <v>8982596</v>
      </c>
      <c r="I64" s="111"/>
      <c r="J64" s="120">
        <f>SUM(J61:J63)</f>
        <v>8741613</v>
      </c>
      <c r="K64" s="111"/>
      <c r="L64" s="177">
        <v>8729624</v>
      </c>
      <c r="M64" s="178"/>
      <c r="N64" s="227">
        <v>15000</v>
      </c>
      <c r="O64" s="220" t="s">
        <v>25</v>
      </c>
      <c r="P64" s="186">
        <v>110089</v>
      </c>
      <c r="Q64" s="220" t="s">
        <v>25</v>
      </c>
      <c r="R64" s="186">
        <v>123484</v>
      </c>
      <c r="S64" s="220" t="s">
        <v>25</v>
      </c>
      <c r="T64" s="179"/>
      <c r="U64" s="178"/>
      <c r="V64" s="179"/>
      <c r="W64" s="178"/>
      <c r="X64" s="179"/>
      <c r="Y64" s="178"/>
      <c r="Z64" s="179"/>
      <c r="AA64" s="178"/>
      <c r="AB64" s="179"/>
      <c r="AC64" s="178"/>
      <c r="AD64" s="179"/>
      <c r="AE64" s="178"/>
      <c r="AF64" s="179"/>
      <c r="AG64" s="178"/>
      <c r="AH64" s="179"/>
      <c r="AI64" s="178"/>
      <c r="AJ64" s="179"/>
      <c r="AK64" s="178"/>
    </row>
    <row r="65" spans="2:37" s="24" customFormat="1" x14ac:dyDescent="0.25">
      <c r="B65" s="55"/>
      <c r="C65" s="109"/>
      <c r="D65" s="118"/>
      <c r="E65" s="109"/>
      <c r="F65" s="118"/>
      <c r="G65" s="109"/>
      <c r="H65" s="118"/>
      <c r="I65" s="109"/>
      <c r="J65" s="118"/>
      <c r="K65" s="109"/>
      <c r="L65" s="180"/>
      <c r="M65" s="181"/>
      <c r="N65" s="226">
        <v>7528076</v>
      </c>
      <c r="O65" s="225"/>
      <c r="P65" s="179">
        <f>+SUM(P61:P64)</f>
        <v>7727482</v>
      </c>
      <c r="Q65" s="181"/>
      <c r="R65" s="179">
        <f>SUM(R61:R64)</f>
        <v>8105449</v>
      </c>
      <c r="S65" s="181"/>
      <c r="T65" s="182"/>
      <c r="U65" s="181"/>
      <c r="V65" s="182"/>
      <c r="W65" s="181"/>
      <c r="X65" s="182"/>
      <c r="Y65" s="181"/>
      <c r="Z65" s="182"/>
      <c r="AA65" s="181"/>
      <c r="AB65" s="182"/>
      <c r="AC65" s="181"/>
      <c r="AD65" s="182"/>
      <c r="AE65" s="181"/>
      <c r="AF65" s="182"/>
      <c r="AG65" s="181"/>
      <c r="AH65" s="182"/>
      <c r="AI65" s="181"/>
      <c r="AJ65" s="182"/>
      <c r="AK65" s="181"/>
    </row>
    <row r="66" spans="2:37" s="24" customFormat="1" x14ac:dyDescent="0.25">
      <c r="B66" s="55"/>
      <c r="C66" s="109"/>
      <c r="D66" s="118"/>
      <c r="E66" s="109"/>
      <c r="F66" s="118"/>
      <c r="G66" s="109"/>
      <c r="H66" s="118"/>
      <c r="I66" s="109"/>
      <c r="J66" s="118"/>
      <c r="K66" s="109"/>
      <c r="L66" s="180"/>
      <c r="M66" s="181"/>
      <c r="N66" s="224"/>
      <c r="O66" s="225"/>
      <c r="P66" s="182"/>
      <c r="Q66" s="181"/>
      <c r="R66" s="182"/>
      <c r="S66" s="181"/>
      <c r="T66" s="182"/>
      <c r="U66" s="181"/>
      <c r="V66" s="182"/>
      <c r="W66" s="181"/>
      <c r="X66" s="182"/>
      <c r="Y66" s="181"/>
      <c r="Z66" s="182"/>
      <c r="AA66" s="181"/>
      <c r="AB66" s="182"/>
      <c r="AC66" s="181"/>
      <c r="AD66" s="182"/>
      <c r="AE66" s="181"/>
      <c r="AF66" s="182"/>
      <c r="AG66" s="181"/>
      <c r="AH66" s="182"/>
      <c r="AI66" s="181"/>
      <c r="AJ66" s="182"/>
      <c r="AK66" s="181"/>
    </row>
    <row r="67" spans="2:37" s="24" customFormat="1" x14ac:dyDescent="0.25">
      <c r="B67" s="85" t="s">
        <v>7</v>
      </c>
      <c r="C67" s="109"/>
      <c r="D67" s="121" t="s">
        <v>7</v>
      </c>
      <c r="E67" s="109"/>
      <c r="F67" s="121" t="s">
        <v>7</v>
      </c>
      <c r="G67" s="109"/>
      <c r="H67" s="121" t="s">
        <v>7</v>
      </c>
      <c r="I67" s="109"/>
      <c r="J67" s="121" t="s">
        <v>7</v>
      </c>
      <c r="K67" s="109"/>
      <c r="L67" s="187" t="s">
        <v>7</v>
      </c>
      <c r="M67" s="181"/>
      <c r="N67" s="228" t="s">
        <v>7</v>
      </c>
      <c r="O67" s="225"/>
      <c r="P67" s="188" t="s">
        <v>7</v>
      </c>
      <c r="Q67" s="181"/>
      <c r="R67" s="188" t="s">
        <v>7</v>
      </c>
      <c r="S67" s="181"/>
      <c r="T67" s="188" t="s">
        <v>7</v>
      </c>
      <c r="U67" s="181"/>
      <c r="V67" s="188" t="s">
        <v>7</v>
      </c>
      <c r="W67" s="181"/>
      <c r="X67" s="188" t="s">
        <v>7</v>
      </c>
      <c r="Y67" s="181"/>
      <c r="Z67" s="188" t="s">
        <v>7</v>
      </c>
      <c r="AA67" s="181"/>
      <c r="AB67" s="188" t="s">
        <v>7</v>
      </c>
      <c r="AC67" s="181"/>
      <c r="AD67" s="188" t="s">
        <v>7</v>
      </c>
      <c r="AE67" s="181"/>
      <c r="AF67" s="188" t="s">
        <v>7</v>
      </c>
      <c r="AG67" s="181"/>
      <c r="AH67" s="188" t="s">
        <v>7</v>
      </c>
      <c r="AI67" s="181"/>
      <c r="AJ67" s="188" t="s">
        <v>7</v>
      </c>
      <c r="AK67" s="181"/>
    </row>
    <row r="68" spans="2:37" s="24" customFormat="1" x14ac:dyDescent="0.25">
      <c r="B68" s="55"/>
      <c r="C68" s="109"/>
      <c r="D68" s="118"/>
      <c r="E68" s="109"/>
      <c r="F68" s="118"/>
      <c r="G68" s="109"/>
      <c r="H68" s="118"/>
      <c r="I68" s="109"/>
      <c r="J68" s="118"/>
      <c r="K68" s="109"/>
      <c r="L68" s="180"/>
      <c r="M68" s="181"/>
      <c r="N68" s="224"/>
      <c r="O68" s="225"/>
      <c r="P68" s="182"/>
      <c r="Q68" s="181"/>
      <c r="R68" s="182"/>
      <c r="S68" s="181"/>
      <c r="T68" s="182"/>
      <c r="U68" s="181"/>
      <c r="V68" s="182"/>
      <c r="W68" s="181"/>
      <c r="X68" s="182"/>
      <c r="Y68" s="181"/>
      <c r="Z68" s="182"/>
      <c r="AA68" s="181"/>
      <c r="AB68" s="182"/>
      <c r="AC68" s="181"/>
      <c r="AD68" s="182"/>
      <c r="AE68" s="181"/>
      <c r="AF68" s="182"/>
      <c r="AG68" s="181"/>
      <c r="AH68" s="182"/>
      <c r="AI68" s="181"/>
      <c r="AJ68" s="182"/>
      <c r="AK68" s="181"/>
    </row>
    <row r="69" spans="2:37" s="24" customFormat="1" x14ac:dyDescent="0.25">
      <c r="B69" s="83">
        <v>512360</v>
      </c>
      <c r="C69" s="110" t="s">
        <v>24</v>
      </c>
      <c r="D69" s="119">
        <v>503900</v>
      </c>
      <c r="E69" s="110" t="s">
        <v>24</v>
      </c>
      <c r="F69" s="119">
        <v>479100</v>
      </c>
      <c r="G69" s="110" t="s">
        <v>24</v>
      </c>
      <c r="H69" s="119">
        <v>306644</v>
      </c>
      <c r="I69" s="110" t="s">
        <v>24</v>
      </c>
      <c r="J69" s="118">
        <v>27620</v>
      </c>
      <c r="K69" s="110" t="s">
        <v>27</v>
      </c>
      <c r="L69" s="180"/>
      <c r="M69" s="171" t="s">
        <v>27</v>
      </c>
      <c r="N69" s="224">
        <v>27620</v>
      </c>
      <c r="O69" s="220" t="s">
        <v>27</v>
      </c>
      <c r="P69" s="182">
        <v>27620</v>
      </c>
      <c r="Q69" s="171" t="s">
        <v>27</v>
      </c>
      <c r="R69" s="182">
        <v>103406</v>
      </c>
      <c r="S69" s="171" t="s">
        <v>27</v>
      </c>
      <c r="T69" s="182"/>
      <c r="U69" s="171" t="s">
        <v>27</v>
      </c>
      <c r="V69" s="182"/>
      <c r="W69" s="171" t="s">
        <v>27</v>
      </c>
      <c r="X69" s="182"/>
      <c r="Y69" s="171" t="s">
        <v>27</v>
      </c>
      <c r="Z69" s="182"/>
      <c r="AA69" s="171" t="s">
        <v>27</v>
      </c>
      <c r="AB69" s="182"/>
      <c r="AC69" s="171" t="s">
        <v>27</v>
      </c>
      <c r="AD69" s="182"/>
      <c r="AE69" s="171" t="s">
        <v>27</v>
      </c>
      <c r="AF69" s="182"/>
      <c r="AG69" s="171" t="s">
        <v>27</v>
      </c>
      <c r="AH69" s="182"/>
      <c r="AI69" s="171" t="s">
        <v>27</v>
      </c>
      <c r="AJ69" s="182"/>
      <c r="AK69" s="171" t="s">
        <v>27</v>
      </c>
    </row>
    <row r="70" spans="2:37" s="24" customFormat="1" x14ac:dyDescent="0.25">
      <c r="B70" s="83">
        <v>647915</v>
      </c>
      <c r="C70" s="110" t="s">
        <v>28</v>
      </c>
      <c r="D70" s="119">
        <v>616271</v>
      </c>
      <c r="E70" s="110" t="s">
        <v>28</v>
      </c>
      <c r="F70" s="119">
        <v>599789</v>
      </c>
      <c r="G70" s="110" t="s">
        <v>28</v>
      </c>
      <c r="H70" s="119">
        <v>546871</v>
      </c>
      <c r="I70" s="110" t="s">
        <v>28</v>
      </c>
      <c r="J70" s="119">
        <v>281250</v>
      </c>
      <c r="K70" s="110" t="s">
        <v>24</v>
      </c>
      <c r="L70" s="185">
        <v>281250</v>
      </c>
      <c r="M70" s="171" t="s">
        <v>24</v>
      </c>
      <c r="N70" s="227">
        <v>151190</v>
      </c>
      <c r="O70" s="220" t="s">
        <v>24</v>
      </c>
      <c r="P70" s="186">
        <v>120000</v>
      </c>
      <c r="Q70" s="171" t="s">
        <v>24</v>
      </c>
      <c r="R70" s="186"/>
      <c r="S70" s="171" t="s">
        <v>24</v>
      </c>
      <c r="T70" s="186"/>
      <c r="U70" s="171" t="s">
        <v>24</v>
      </c>
      <c r="V70" s="186"/>
      <c r="W70" s="171" t="s">
        <v>24</v>
      </c>
      <c r="X70" s="186"/>
      <c r="Y70" s="171" t="s">
        <v>24</v>
      </c>
      <c r="Z70" s="186"/>
      <c r="AA70" s="171" t="s">
        <v>24</v>
      </c>
      <c r="AB70" s="186"/>
      <c r="AC70" s="171" t="s">
        <v>24</v>
      </c>
      <c r="AD70" s="186"/>
      <c r="AE70" s="171" t="s">
        <v>24</v>
      </c>
      <c r="AF70" s="186"/>
      <c r="AG70" s="171" t="s">
        <v>24</v>
      </c>
      <c r="AH70" s="186"/>
      <c r="AI70" s="171" t="s">
        <v>24</v>
      </c>
      <c r="AJ70" s="186"/>
      <c r="AK70" s="171" t="s">
        <v>24</v>
      </c>
    </row>
    <row r="71" spans="2:37" s="24" customFormat="1" x14ac:dyDescent="0.25">
      <c r="B71" s="83">
        <v>811347</v>
      </c>
      <c r="C71" s="110" t="s">
        <v>23</v>
      </c>
      <c r="D71" s="119">
        <v>776596</v>
      </c>
      <c r="E71" s="110" t="s">
        <v>23</v>
      </c>
      <c r="F71" s="119">
        <v>854000</v>
      </c>
      <c r="G71" s="110" t="s">
        <v>23</v>
      </c>
      <c r="H71" s="119">
        <v>832080</v>
      </c>
      <c r="I71" s="110" t="s">
        <v>23</v>
      </c>
      <c r="J71" s="119">
        <v>543455</v>
      </c>
      <c r="K71" s="110" t="s">
        <v>28</v>
      </c>
      <c r="L71" s="185">
        <v>452020</v>
      </c>
      <c r="M71" s="171" t="s">
        <v>28</v>
      </c>
      <c r="N71" s="227">
        <v>368669</v>
      </c>
      <c r="O71" s="220" t="s">
        <v>28</v>
      </c>
      <c r="P71" s="186">
        <v>171393</v>
      </c>
      <c r="Q71" s="171" t="s">
        <v>28</v>
      </c>
      <c r="R71" s="186">
        <v>117799</v>
      </c>
      <c r="S71" s="171" t="s">
        <v>28</v>
      </c>
      <c r="T71" s="186"/>
      <c r="U71" s="171" t="s">
        <v>28</v>
      </c>
      <c r="V71" s="186"/>
      <c r="W71" s="171" t="s">
        <v>28</v>
      </c>
      <c r="X71" s="186"/>
      <c r="Y71" s="171" t="s">
        <v>28</v>
      </c>
      <c r="Z71" s="186"/>
      <c r="AA71" s="171" t="s">
        <v>28</v>
      </c>
      <c r="AB71" s="186"/>
      <c r="AC71" s="171" t="s">
        <v>28</v>
      </c>
      <c r="AD71" s="186"/>
      <c r="AE71" s="171" t="s">
        <v>28</v>
      </c>
      <c r="AF71" s="186"/>
      <c r="AG71" s="171" t="s">
        <v>28</v>
      </c>
      <c r="AH71" s="186"/>
      <c r="AI71" s="171" t="s">
        <v>28</v>
      </c>
      <c r="AJ71" s="186"/>
      <c r="AK71" s="171" t="s">
        <v>28</v>
      </c>
    </row>
    <row r="72" spans="2:37" s="24" customFormat="1" x14ac:dyDescent="0.25">
      <c r="B72" s="84">
        <f>SUM(B69:B71)</f>
        <v>1971622</v>
      </c>
      <c r="C72" s="111"/>
      <c r="D72" s="120">
        <f>SUM(D69:D71)</f>
        <v>1896767</v>
      </c>
      <c r="E72" s="111"/>
      <c r="F72" s="120">
        <f>SUM(F69:F71)</f>
        <v>1932889</v>
      </c>
      <c r="G72" s="111"/>
      <c r="H72" s="120">
        <f>SUM(H69:H71)</f>
        <v>1685595</v>
      </c>
      <c r="I72" s="111"/>
      <c r="J72" s="119">
        <v>796000</v>
      </c>
      <c r="K72" s="110" t="s">
        <v>23</v>
      </c>
      <c r="L72" s="185">
        <v>796000</v>
      </c>
      <c r="M72" s="171" t="s">
        <v>23</v>
      </c>
      <c r="N72" s="227">
        <v>1226600</v>
      </c>
      <c r="O72" s="220" t="s">
        <v>23</v>
      </c>
      <c r="P72" s="186">
        <v>522110</v>
      </c>
      <c r="Q72" s="171" t="s">
        <v>23</v>
      </c>
      <c r="R72" s="186">
        <v>522176</v>
      </c>
      <c r="S72" s="171" t="s">
        <v>23</v>
      </c>
      <c r="T72" s="186"/>
      <c r="U72" s="171" t="s">
        <v>23</v>
      </c>
      <c r="V72" s="186"/>
      <c r="W72" s="171" t="s">
        <v>23</v>
      </c>
      <c r="X72" s="186"/>
      <c r="Y72" s="171" t="s">
        <v>23</v>
      </c>
      <c r="Z72" s="186"/>
      <c r="AA72" s="171" t="s">
        <v>23</v>
      </c>
      <c r="AB72" s="186"/>
      <c r="AC72" s="171" t="s">
        <v>23</v>
      </c>
      <c r="AD72" s="186"/>
      <c r="AE72" s="171" t="s">
        <v>23</v>
      </c>
      <c r="AF72" s="186"/>
      <c r="AG72" s="171" t="s">
        <v>23</v>
      </c>
      <c r="AH72" s="186"/>
      <c r="AI72" s="171" t="s">
        <v>23</v>
      </c>
      <c r="AJ72" s="186"/>
      <c r="AK72" s="171" t="s">
        <v>23</v>
      </c>
    </row>
    <row r="73" spans="2:37" s="24" customFormat="1" x14ac:dyDescent="0.25">
      <c r="B73" s="55"/>
      <c r="C73" s="109"/>
      <c r="D73" s="118"/>
      <c r="E73" s="109"/>
      <c r="F73" s="118"/>
      <c r="G73" s="109"/>
      <c r="H73" s="126"/>
      <c r="I73" s="109"/>
      <c r="J73" s="120">
        <f>SUM(J69:J72)</f>
        <v>1648325</v>
      </c>
      <c r="K73" s="111"/>
      <c r="L73" s="177">
        <v>1529270</v>
      </c>
      <c r="M73" s="178"/>
      <c r="N73" s="222">
        <v>1774079</v>
      </c>
      <c r="O73" s="223"/>
      <c r="P73" s="179">
        <f>+SUM(P69:P72)</f>
        <v>841123</v>
      </c>
      <c r="Q73" s="178"/>
      <c r="R73" s="179">
        <f>SUM(R69:R72)</f>
        <v>743381</v>
      </c>
      <c r="S73" s="178"/>
      <c r="T73" s="179"/>
      <c r="U73" s="178"/>
      <c r="V73" s="179"/>
      <c r="W73" s="178"/>
      <c r="X73" s="179"/>
      <c r="Y73" s="178"/>
      <c r="Z73" s="179"/>
      <c r="AA73" s="178"/>
      <c r="AB73" s="179"/>
      <c r="AC73" s="178"/>
      <c r="AD73" s="179"/>
      <c r="AE73" s="178"/>
      <c r="AF73" s="179"/>
      <c r="AG73" s="178"/>
      <c r="AH73" s="179"/>
      <c r="AI73" s="178"/>
      <c r="AJ73" s="179"/>
      <c r="AK73" s="178"/>
    </row>
    <row r="74" spans="2:37" s="24" customFormat="1" x14ac:dyDescent="0.25">
      <c r="B74" s="55"/>
      <c r="C74" s="109"/>
      <c r="D74" s="118"/>
      <c r="E74" s="109"/>
      <c r="F74" s="118"/>
      <c r="G74" s="109"/>
      <c r="H74" s="118"/>
      <c r="I74" s="109"/>
      <c r="J74" s="126"/>
      <c r="K74" s="109"/>
      <c r="L74" s="189"/>
      <c r="M74" s="181"/>
      <c r="N74" s="229"/>
      <c r="O74" s="225"/>
      <c r="P74" s="190"/>
      <c r="Q74" s="181"/>
      <c r="R74" s="190"/>
      <c r="S74" s="181"/>
      <c r="T74" s="190"/>
      <c r="U74" s="181"/>
      <c r="V74" s="190"/>
      <c r="W74" s="181"/>
      <c r="X74" s="190"/>
      <c r="Y74" s="181"/>
      <c r="Z74" s="190"/>
      <c r="AA74" s="181"/>
      <c r="AB74" s="190"/>
      <c r="AC74" s="181"/>
      <c r="AD74" s="190"/>
      <c r="AE74" s="181"/>
      <c r="AF74" s="190"/>
      <c r="AG74" s="181"/>
      <c r="AH74" s="190"/>
      <c r="AI74" s="181"/>
      <c r="AJ74" s="190"/>
      <c r="AK74" s="181"/>
    </row>
    <row r="75" spans="2:37" s="24" customFormat="1" x14ac:dyDescent="0.25">
      <c r="B75" s="85" t="s">
        <v>5</v>
      </c>
      <c r="C75" s="109"/>
      <c r="D75" s="121" t="s">
        <v>5</v>
      </c>
      <c r="E75" s="109"/>
      <c r="F75" s="121" t="s">
        <v>5</v>
      </c>
      <c r="G75" s="109"/>
      <c r="H75" s="121" t="s">
        <v>5</v>
      </c>
      <c r="I75" s="109"/>
      <c r="J75" s="121" t="s">
        <v>5</v>
      </c>
      <c r="K75" s="109"/>
      <c r="L75" s="187" t="s">
        <v>5</v>
      </c>
      <c r="M75" s="181"/>
      <c r="N75" s="228" t="s">
        <v>5</v>
      </c>
      <c r="O75" s="225"/>
      <c r="P75" s="188" t="s">
        <v>5</v>
      </c>
      <c r="Q75" s="181"/>
      <c r="R75" s="188" t="s">
        <v>5</v>
      </c>
      <c r="S75" s="181"/>
      <c r="T75" s="188" t="s">
        <v>5</v>
      </c>
      <c r="U75" s="181"/>
      <c r="V75" s="188" t="s">
        <v>5</v>
      </c>
      <c r="W75" s="181"/>
      <c r="X75" s="188" t="s">
        <v>5</v>
      </c>
      <c r="Y75" s="181"/>
      <c r="Z75" s="188" t="s">
        <v>5</v>
      </c>
      <c r="AA75" s="181"/>
      <c r="AB75" s="188" t="s">
        <v>5</v>
      </c>
      <c r="AC75" s="181"/>
      <c r="AD75" s="188" t="s">
        <v>5</v>
      </c>
      <c r="AE75" s="181"/>
      <c r="AF75" s="188" t="s">
        <v>5</v>
      </c>
      <c r="AG75" s="181"/>
      <c r="AH75" s="188" t="s">
        <v>5</v>
      </c>
      <c r="AI75" s="181"/>
      <c r="AJ75" s="188" t="s">
        <v>5</v>
      </c>
      <c r="AK75" s="181"/>
    </row>
    <row r="76" spans="2:37" s="24" customFormat="1" x14ac:dyDescent="0.25">
      <c r="B76" s="55"/>
      <c r="C76" s="109"/>
      <c r="D76" s="118"/>
      <c r="E76" s="109"/>
      <c r="F76" s="118"/>
      <c r="G76" s="109"/>
      <c r="H76" s="118"/>
      <c r="I76" s="109"/>
      <c r="J76" s="118"/>
      <c r="K76" s="109"/>
      <c r="L76" s="180"/>
      <c r="M76" s="181"/>
      <c r="N76" s="224"/>
      <c r="O76" s="225"/>
      <c r="P76" s="182"/>
      <c r="Q76" s="181"/>
      <c r="R76" s="182"/>
      <c r="S76" s="181"/>
      <c r="T76" s="182"/>
      <c r="U76" s="181"/>
      <c r="V76" s="182"/>
      <c r="W76" s="181"/>
      <c r="X76" s="182"/>
      <c r="Y76" s="181"/>
      <c r="Z76" s="182"/>
      <c r="AA76" s="181"/>
      <c r="AB76" s="182"/>
      <c r="AC76" s="181"/>
      <c r="AD76" s="182"/>
      <c r="AE76" s="181"/>
      <c r="AF76" s="182"/>
      <c r="AG76" s="181"/>
      <c r="AH76" s="182"/>
      <c r="AI76" s="181"/>
      <c r="AJ76" s="182"/>
      <c r="AK76" s="181"/>
    </row>
    <row r="77" spans="2:37" s="24" customFormat="1" x14ac:dyDescent="0.25">
      <c r="B77" s="83">
        <v>35899</v>
      </c>
      <c r="C77" s="110" t="s">
        <v>28</v>
      </c>
      <c r="D77" s="119">
        <v>35899</v>
      </c>
      <c r="E77" s="110" t="s">
        <v>28</v>
      </c>
      <c r="F77" s="119">
        <v>35899</v>
      </c>
      <c r="G77" s="110" t="s">
        <v>28</v>
      </c>
      <c r="H77" s="119">
        <v>16459</v>
      </c>
      <c r="I77" s="110" t="s">
        <v>28</v>
      </c>
      <c r="J77" s="119">
        <v>17069</v>
      </c>
      <c r="K77" s="110" t="s">
        <v>28</v>
      </c>
      <c r="L77" s="185">
        <v>16459</v>
      </c>
      <c r="M77" s="171" t="s">
        <v>28</v>
      </c>
      <c r="N77" s="227">
        <v>16459</v>
      </c>
      <c r="O77" s="220" t="s">
        <v>28</v>
      </c>
      <c r="P77" s="186">
        <v>16459</v>
      </c>
      <c r="Q77" s="171" t="s">
        <v>28</v>
      </c>
      <c r="R77" s="186">
        <v>19251</v>
      </c>
      <c r="S77" s="171" t="s">
        <v>28</v>
      </c>
      <c r="T77" s="186"/>
      <c r="U77" s="171" t="s">
        <v>28</v>
      </c>
      <c r="V77" s="186"/>
      <c r="W77" s="171" t="s">
        <v>28</v>
      </c>
      <c r="X77" s="186"/>
      <c r="Y77" s="171" t="s">
        <v>28</v>
      </c>
      <c r="Z77" s="186"/>
      <c r="AA77" s="171" t="s">
        <v>28</v>
      </c>
      <c r="AB77" s="186"/>
      <c r="AC77" s="171" t="s">
        <v>28</v>
      </c>
      <c r="AD77" s="186"/>
      <c r="AE77" s="171" t="s">
        <v>28</v>
      </c>
      <c r="AF77" s="186"/>
      <c r="AG77" s="171" t="s">
        <v>28</v>
      </c>
      <c r="AH77" s="186"/>
      <c r="AI77" s="171" t="s">
        <v>28</v>
      </c>
      <c r="AJ77" s="186"/>
      <c r="AK77" s="171" t="s">
        <v>28</v>
      </c>
    </row>
    <row r="78" spans="2:37" s="24" customFormat="1" x14ac:dyDescent="0.25">
      <c r="B78" s="83">
        <v>1568280</v>
      </c>
      <c r="C78" s="110" t="s">
        <v>23</v>
      </c>
      <c r="D78" s="119">
        <v>1324912</v>
      </c>
      <c r="E78" s="110" t="s">
        <v>23</v>
      </c>
      <c r="F78" s="119">
        <v>1532000</v>
      </c>
      <c r="G78" s="110" t="s">
        <v>23</v>
      </c>
      <c r="H78" s="119">
        <v>1441358</v>
      </c>
      <c r="I78" s="110" t="s">
        <v>23</v>
      </c>
      <c r="J78" s="119">
        <v>1460000</v>
      </c>
      <c r="K78" s="110" t="s">
        <v>23</v>
      </c>
      <c r="L78" s="185">
        <v>1593300</v>
      </c>
      <c r="M78" s="171" t="s">
        <v>23</v>
      </c>
      <c r="N78" s="227">
        <v>1448000</v>
      </c>
      <c r="O78" s="220" t="s">
        <v>23</v>
      </c>
      <c r="P78" s="186">
        <v>1539840</v>
      </c>
      <c r="Q78" s="171" t="s">
        <v>23</v>
      </c>
      <c r="R78" s="186">
        <v>1227807</v>
      </c>
      <c r="S78" s="171" t="s">
        <v>23</v>
      </c>
      <c r="T78" s="186"/>
      <c r="U78" s="171" t="s">
        <v>23</v>
      </c>
      <c r="V78" s="186"/>
      <c r="W78" s="171" t="s">
        <v>23</v>
      </c>
      <c r="X78" s="186"/>
      <c r="Y78" s="171" t="s">
        <v>23</v>
      </c>
      <c r="Z78" s="186"/>
      <c r="AA78" s="171" t="s">
        <v>23</v>
      </c>
      <c r="AB78" s="186"/>
      <c r="AC78" s="171" t="s">
        <v>23</v>
      </c>
      <c r="AD78" s="186"/>
      <c r="AE78" s="171" t="s">
        <v>23</v>
      </c>
      <c r="AF78" s="186"/>
      <c r="AG78" s="171" t="s">
        <v>23</v>
      </c>
      <c r="AH78" s="186"/>
      <c r="AI78" s="171" t="s">
        <v>23</v>
      </c>
      <c r="AJ78" s="186"/>
      <c r="AK78" s="171" t="s">
        <v>23</v>
      </c>
    </row>
    <row r="79" spans="2:37" s="24" customFormat="1" x14ac:dyDescent="0.25">
      <c r="B79" s="84">
        <f>SUM(B77:B78)</f>
        <v>1604179</v>
      </c>
      <c r="C79" s="111"/>
      <c r="D79" s="120">
        <f>SUM(D77:D78)</f>
        <v>1360811</v>
      </c>
      <c r="E79" s="111"/>
      <c r="F79" s="120">
        <f>SUM(F77:F78)</f>
        <v>1567899</v>
      </c>
      <c r="G79" s="111"/>
      <c r="H79" s="120">
        <f>SUM(H77:H78)</f>
        <v>1457817</v>
      </c>
      <c r="I79" s="111"/>
      <c r="J79" s="120">
        <f>SUM(J77:J78)</f>
        <v>1477069</v>
      </c>
      <c r="K79" s="111"/>
      <c r="L79" s="177">
        <v>1609759</v>
      </c>
      <c r="M79" s="178"/>
      <c r="N79" s="222">
        <v>1464459</v>
      </c>
      <c r="O79" s="223"/>
      <c r="P79" s="179">
        <f>+SUM(P77:P78)</f>
        <v>1556299</v>
      </c>
      <c r="Q79" s="178"/>
      <c r="R79" s="179">
        <f>SUM(R77:R78)</f>
        <v>1247058</v>
      </c>
      <c r="S79" s="178"/>
      <c r="T79" s="179"/>
      <c r="U79" s="178"/>
      <c r="V79" s="179"/>
      <c r="W79" s="178"/>
      <c r="X79" s="179"/>
      <c r="Y79" s="178"/>
      <c r="Z79" s="179"/>
      <c r="AA79" s="178"/>
      <c r="AB79" s="179"/>
      <c r="AC79" s="178"/>
      <c r="AD79" s="179"/>
      <c r="AE79" s="178"/>
      <c r="AF79" s="179"/>
      <c r="AG79" s="178"/>
      <c r="AH79" s="179"/>
      <c r="AI79" s="178"/>
      <c r="AJ79" s="179"/>
      <c r="AK79" s="178"/>
    </row>
    <row r="80" spans="2:37" s="24" customFormat="1" x14ac:dyDescent="0.25">
      <c r="B80" s="55"/>
      <c r="C80" s="109"/>
      <c r="D80" s="118"/>
      <c r="E80" s="109"/>
      <c r="F80" s="118"/>
      <c r="G80" s="109"/>
      <c r="H80" s="118"/>
      <c r="I80" s="109"/>
      <c r="J80" s="118"/>
      <c r="K80" s="109"/>
      <c r="L80" s="180"/>
      <c r="M80" s="181"/>
      <c r="N80" s="224"/>
      <c r="O80" s="225"/>
      <c r="P80" s="182"/>
      <c r="Q80" s="181"/>
      <c r="R80" s="182"/>
      <c r="S80" s="181"/>
      <c r="T80" s="182"/>
      <c r="U80" s="181"/>
      <c r="V80" s="182"/>
      <c r="W80" s="181"/>
      <c r="X80" s="182"/>
      <c r="Y80" s="181"/>
      <c r="Z80" s="182"/>
      <c r="AA80" s="181"/>
      <c r="AB80" s="182"/>
      <c r="AC80" s="181"/>
      <c r="AD80" s="182"/>
      <c r="AE80" s="181"/>
      <c r="AF80" s="182"/>
      <c r="AG80" s="181"/>
      <c r="AH80" s="182"/>
      <c r="AI80" s="181"/>
      <c r="AJ80" s="182"/>
      <c r="AK80" s="181"/>
    </row>
    <row r="81" spans="2:37" s="24" customFormat="1" x14ac:dyDescent="0.25">
      <c r="B81" s="85" t="s">
        <v>9</v>
      </c>
      <c r="C81" s="112"/>
      <c r="D81" s="121" t="s">
        <v>9</v>
      </c>
      <c r="E81" s="112"/>
      <c r="F81" s="121" t="s">
        <v>9</v>
      </c>
      <c r="G81" s="112"/>
      <c r="H81" s="121" t="s">
        <v>9</v>
      </c>
      <c r="I81" s="112"/>
      <c r="J81" s="121" t="s">
        <v>9</v>
      </c>
      <c r="K81" s="112"/>
      <c r="L81" s="187" t="s">
        <v>9</v>
      </c>
      <c r="M81" s="191"/>
      <c r="N81" s="228" t="s">
        <v>121</v>
      </c>
      <c r="O81" s="230"/>
      <c r="P81" s="188" t="s">
        <v>9</v>
      </c>
      <c r="Q81" s="191"/>
      <c r="R81" s="188" t="s">
        <v>9</v>
      </c>
      <c r="S81" s="191"/>
      <c r="T81" s="188" t="s">
        <v>9</v>
      </c>
      <c r="U81" s="191"/>
      <c r="V81" s="188" t="s">
        <v>9</v>
      </c>
      <c r="W81" s="191"/>
      <c r="X81" s="188" t="s">
        <v>9</v>
      </c>
      <c r="Y81" s="191"/>
      <c r="Z81" s="188" t="s">
        <v>9</v>
      </c>
      <c r="AA81" s="191"/>
      <c r="AB81" s="188" t="s">
        <v>9</v>
      </c>
      <c r="AC81" s="191"/>
      <c r="AD81" s="188" t="s">
        <v>9</v>
      </c>
      <c r="AE81" s="191"/>
      <c r="AF81" s="188" t="s">
        <v>9</v>
      </c>
      <c r="AG81" s="191"/>
      <c r="AH81" s="188" t="s">
        <v>9</v>
      </c>
      <c r="AI81" s="191"/>
      <c r="AJ81" s="188" t="s">
        <v>9</v>
      </c>
      <c r="AK81" s="191"/>
    </row>
    <row r="82" spans="2:37" s="24" customFormat="1" x14ac:dyDescent="0.25">
      <c r="B82" s="55"/>
      <c r="C82" s="109"/>
      <c r="D82" s="118"/>
      <c r="E82" s="109"/>
      <c r="F82" s="118"/>
      <c r="G82" s="109"/>
      <c r="H82" s="118"/>
      <c r="I82" s="109"/>
      <c r="J82" s="118"/>
      <c r="K82" s="109"/>
      <c r="L82" s="180"/>
      <c r="M82" s="181"/>
      <c r="N82" s="224"/>
      <c r="O82" s="225"/>
      <c r="P82" s="182"/>
      <c r="Q82" s="181"/>
      <c r="R82" s="182"/>
      <c r="S82" s="181"/>
      <c r="T82" s="182"/>
      <c r="U82" s="181"/>
      <c r="V82" s="182"/>
      <c r="W82" s="181"/>
      <c r="X82" s="182"/>
      <c r="Y82" s="181"/>
      <c r="Z82" s="182"/>
      <c r="AA82" s="181"/>
      <c r="AB82" s="182"/>
      <c r="AC82" s="181"/>
      <c r="AD82" s="182"/>
      <c r="AE82" s="181"/>
      <c r="AF82" s="182"/>
      <c r="AG82" s="181"/>
      <c r="AH82" s="182"/>
      <c r="AI82" s="181"/>
      <c r="AJ82" s="182"/>
      <c r="AK82" s="181"/>
    </row>
    <row r="83" spans="2:37" s="24" customFormat="1" x14ac:dyDescent="0.25">
      <c r="B83" s="83">
        <v>171915</v>
      </c>
      <c r="C83" s="110" t="s">
        <v>27</v>
      </c>
      <c r="D83" s="119">
        <v>137195</v>
      </c>
      <c r="E83" s="110" t="s">
        <v>27</v>
      </c>
      <c r="F83" s="119">
        <v>167655</v>
      </c>
      <c r="G83" s="110" t="s">
        <v>27</v>
      </c>
      <c r="H83" s="119">
        <v>40520</v>
      </c>
      <c r="I83" s="110" t="s">
        <v>27</v>
      </c>
      <c r="J83" s="119">
        <v>40520</v>
      </c>
      <c r="K83" s="110" t="s">
        <v>27</v>
      </c>
      <c r="L83" s="185">
        <v>40520</v>
      </c>
      <c r="M83" s="171" t="s">
        <v>27</v>
      </c>
      <c r="N83" s="227">
        <v>23080</v>
      </c>
      <c r="O83" s="220" t="s">
        <v>27</v>
      </c>
      <c r="P83" s="186">
        <v>23080</v>
      </c>
      <c r="Q83" s="171" t="s">
        <v>27</v>
      </c>
      <c r="R83" s="186">
        <v>23080</v>
      </c>
      <c r="S83" s="171" t="s">
        <v>27</v>
      </c>
      <c r="T83" s="186"/>
      <c r="U83" s="171" t="s">
        <v>27</v>
      </c>
      <c r="V83" s="186"/>
      <c r="W83" s="171" t="s">
        <v>27</v>
      </c>
      <c r="X83" s="186"/>
      <c r="Y83" s="171" t="s">
        <v>27</v>
      </c>
      <c r="Z83" s="186"/>
      <c r="AA83" s="171" t="s">
        <v>27</v>
      </c>
      <c r="AB83" s="186"/>
      <c r="AC83" s="171" t="s">
        <v>27</v>
      </c>
      <c r="AD83" s="186"/>
      <c r="AE83" s="171" t="s">
        <v>27</v>
      </c>
      <c r="AF83" s="186"/>
      <c r="AG83" s="171" t="s">
        <v>27</v>
      </c>
      <c r="AH83" s="186"/>
      <c r="AI83" s="171" t="s">
        <v>27</v>
      </c>
      <c r="AJ83" s="186"/>
      <c r="AK83" s="171" t="s">
        <v>27</v>
      </c>
    </row>
    <row r="84" spans="2:37" s="24" customFormat="1" x14ac:dyDescent="0.25">
      <c r="B84" s="83">
        <v>189679</v>
      </c>
      <c r="C84" s="110" t="s">
        <v>24</v>
      </c>
      <c r="D84" s="119">
        <v>191979</v>
      </c>
      <c r="E84" s="110" t="s">
        <v>24</v>
      </c>
      <c r="F84" s="119">
        <v>198500</v>
      </c>
      <c r="G84" s="110" t="s">
        <v>24</v>
      </c>
      <c r="H84" s="119">
        <v>193165</v>
      </c>
      <c r="I84" s="110" t="s">
        <v>24</v>
      </c>
      <c r="J84" s="119">
        <v>170589</v>
      </c>
      <c r="K84" s="110" t="s">
        <v>24</v>
      </c>
      <c r="L84" s="185">
        <v>144411</v>
      </c>
      <c r="M84" s="171" t="s">
        <v>24</v>
      </c>
      <c r="N84" s="227">
        <v>139648</v>
      </c>
      <c r="O84" s="220" t="s">
        <v>24</v>
      </c>
      <c r="P84" s="186">
        <v>139648</v>
      </c>
      <c r="Q84" s="171" t="s">
        <v>24</v>
      </c>
      <c r="R84" s="186">
        <v>143227</v>
      </c>
      <c r="S84" s="171" t="s">
        <v>24</v>
      </c>
      <c r="T84" s="186"/>
      <c r="U84" s="171" t="s">
        <v>24</v>
      </c>
      <c r="V84" s="186"/>
      <c r="W84" s="171" t="s">
        <v>24</v>
      </c>
      <c r="X84" s="186"/>
      <c r="Y84" s="171" t="s">
        <v>24</v>
      </c>
      <c r="Z84" s="186"/>
      <c r="AA84" s="171" t="s">
        <v>24</v>
      </c>
      <c r="AB84" s="186"/>
      <c r="AC84" s="171" t="s">
        <v>24</v>
      </c>
      <c r="AD84" s="186"/>
      <c r="AE84" s="171" t="s">
        <v>24</v>
      </c>
      <c r="AF84" s="186"/>
      <c r="AG84" s="171" t="s">
        <v>24</v>
      </c>
      <c r="AH84" s="186"/>
      <c r="AI84" s="171" t="s">
        <v>24</v>
      </c>
      <c r="AJ84" s="186"/>
      <c r="AK84" s="171" t="s">
        <v>24</v>
      </c>
    </row>
    <row r="85" spans="2:37" s="24" customFormat="1" x14ac:dyDescent="0.25">
      <c r="B85" s="83">
        <v>148586</v>
      </c>
      <c r="C85" s="110" t="s">
        <v>28</v>
      </c>
      <c r="D85" s="119">
        <v>148586</v>
      </c>
      <c r="E85" s="110" t="s">
        <v>28</v>
      </c>
      <c r="F85" s="119">
        <v>148586</v>
      </c>
      <c r="G85" s="110" t="s">
        <v>28</v>
      </c>
      <c r="H85" s="119">
        <v>227632</v>
      </c>
      <c r="I85" s="110" t="s">
        <v>28</v>
      </c>
      <c r="J85" s="119">
        <v>263062</v>
      </c>
      <c r="K85" s="110" t="s">
        <v>28</v>
      </c>
      <c r="L85" s="185">
        <v>227632</v>
      </c>
      <c r="M85" s="171" t="s">
        <v>28</v>
      </c>
      <c r="N85" s="227">
        <v>159287</v>
      </c>
      <c r="O85" s="220" t="s">
        <v>28</v>
      </c>
      <c r="P85" s="186">
        <v>192688</v>
      </c>
      <c r="Q85" s="171" t="s">
        <v>28</v>
      </c>
      <c r="R85" s="186">
        <v>206247</v>
      </c>
      <c r="S85" s="171" t="s">
        <v>28</v>
      </c>
      <c r="T85" s="186"/>
      <c r="U85" s="171" t="s">
        <v>28</v>
      </c>
      <c r="V85" s="186"/>
      <c r="W85" s="171" t="s">
        <v>28</v>
      </c>
      <c r="X85" s="186"/>
      <c r="Y85" s="171" t="s">
        <v>28</v>
      </c>
      <c r="Z85" s="186"/>
      <c r="AA85" s="171" t="s">
        <v>28</v>
      </c>
      <c r="AB85" s="186"/>
      <c r="AC85" s="171" t="s">
        <v>28</v>
      </c>
      <c r="AD85" s="186"/>
      <c r="AE85" s="171" t="s">
        <v>28</v>
      </c>
      <c r="AF85" s="186"/>
      <c r="AG85" s="171" t="s">
        <v>28</v>
      </c>
      <c r="AH85" s="186"/>
      <c r="AI85" s="171" t="s">
        <v>28</v>
      </c>
      <c r="AJ85" s="186"/>
      <c r="AK85" s="171" t="s">
        <v>28</v>
      </c>
    </row>
    <row r="86" spans="2:37" s="24" customFormat="1" x14ac:dyDescent="0.25">
      <c r="B86" s="83">
        <v>1619780</v>
      </c>
      <c r="C86" s="110" t="s">
        <v>23</v>
      </c>
      <c r="D86" s="119">
        <v>1609183</v>
      </c>
      <c r="E86" s="110" t="s">
        <v>23</v>
      </c>
      <c r="F86" s="119">
        <v>752000</v>
      </c>
      <c r="G86" s="110" t="s">
        <v>23</v>
      </c>
      <c r="H86" s="119">
        <v>554340</v>
      </c>
      <c r="I86" s="110" t="s">
        <v>23</v>
      </c>
      <c r="J86" s="119">
        <v>549000</v>
      </c>
      <c r="K86" s="110" t="s">
        <v>23</v>
      </c>
      <c r="L86" s="185">
        <v>550600</v>
      </c>
      <c r="M86" s="171" t="s">
        <v>23</v>
      </c>
      <c r="N86" s="227">
        <v>1171000</v>
      </c>
      <c r="O86" s="220" t="s">
        <v>23</v>
      </c>
      <c r="P86" s="186">
        <v>482360</v>
      </c>
      <c r="Q86" s="171" t="s">
        <v>23</v>
      </c>
      <c r="R86" s="186">
        <v>483000</v>
      </c>
      <c r="S86" s="171" t="s">
        <v>23</v>
      </c>
      <c r="T86" s="186"/>
      <c r="U86" s="171" t="s">
        <v>23</v>
      </c>
      <c r="V86" s="186"/>
      <c r="W86" s="171" t="s">
        <v>23</v>
      </c>
      <c r="X86" s="186"/>
      <c r="Y86" s="171" t="s">
        <v>23</v>
      </c>
      <c r="Z86" s="186"/>
      <c r="AA86" s="171" t="s">
        <v>23</v>
      </c>
      <c r="AB86" s="186"/>
      <c r="AC86" s="171" t="s">
        <v>23</v>
      </c>
      <c r="AD86" s="186"/>
      <c r="AE86" s="171" t="s">
        <v>23</v>
      </c>
      <c r="AF86" s="186"/>
      <c r="AG86" s="171" t="s">
        <v>23</v>
      </c>
      <c r="AH86" s="186"/>
      <c r="AI86" s="171" t="s">
        <v>23</v>
      </c>
      <c r="AJ86" s="186"/>
      <c r="AK86" s="171" t="s">
        <v>23</v>
      </c>
    </row>
    <row r="87" spans="2:37" s="24" customFormat="1" x14ac:dyDescent="0.25">
      <c r="B87" s="84">
        <f>SUM(B83:B86)</f>
        <v>2129960</v>
      </c>
      <c r="C87" s="111"/>
      <c r="D87" s="120">
        <f>SUM(D83:D86)</f>
        <v>2086943</v>
      </c>
      <c r="E87" s="111"/>
      <c r="F87" s="120">
        <f>SUM(F83:F86)</f>
        <v>1266741</v>
      </c>
      <c r="G87" s="111"/>
      <c r="H87" s="120">
        <f>SUM(H83:H86)</f>
        <v>1015657</v>
      </c>
      <c r="I87" s="111"/>
      <c r="J87" s="120">
        <f>SUM(J83:J86)</f>
        <v>1023171</v>
      </c>
      <c r="K87" s="111"/>
      <c r="L87" s="177">
        <v>963163</v>
      </c>
      <c r="M87" s="178"/>
      <c r="N87" s="222">
        <v>1493015</v>
      </c>
      <c r="O87" s="223"/>
      <c r="P87" s="179">
        <f>+SUM(P83:P86)</f>
        <v>837776</v>
      </c>
      <c r="Q87" s="178"/>
      <c r="R87" s="179">
        <f>SUM(R83:R86)</f>
        <v>855554</v>
      </c>
      <c r="S87" s="178"/>
      <c r="T87" s="179"/>
      <c r="U87" s="178"/>
      <c r="V87" s="179"/>
      <c r="W87" s="178"/>
      <c r="X87" s="179"/>
      <c r="Y87" s="178"/>
      <c r="Z87" s="179"/>
      <c r="AA87" s="178"/>
      <c r="AB87" s="179"/>
      <c r="AC87" s="178"/>
      <c r="AD87" s="179"/>
      <c r="AE87" s="178"/>
      <c r="AF87" s="179"/>
      <c r="AG87" s="178"/>
      <c r="AH87" s="179"/>
      <c r="AI87" s="178"/>
      <c r="AJ87" s="179"/>
      <c r="AK87" s="178"/>
    </row>
    <row r="88" spans="2:37" s="24" customFormat="1" x14ac:dyDescent="0.25">
      <c r="B88" s="55"/>
      <c r="C88" s="109"/>
      <c r="D88" s="118"/>
      <c r="E88" s="109"/>
      <c r="F88" s="118"/>
      <c r="G88" s="109"/>
      <c r="H88" s="118"/>
      <c r="I88" s="109"/>
      <c r="J88" s="118"/>
      <c r="K88" s="109"/>
      <c r="L88" s="180"/>
      <c r="M88" s="181"/>
      <c r="N88" s="224"/>
      <c r="O88" s="225"/>
      <c r="P88" s="182"/>
      <c r="Q88" s="181"/>
      <c r="R88" s="182"/>
      <c r="S88" s="181"/>
      <c r="T88" s="182"/>
      <c r="U88" s="181"/>
      <c r="V88" s="182"/>
      <c r="W88" s="181"/>
      <c r="X88" s="182"/>
      <c r="Y88" s="181"/>
      <c r="Z88" s="182"/>
      <c r="AA88" s="181"/>
      <c r="AB88" s="182"/>
      <c r="AC88" s="181"/>
      <c r="AD88" s="182"/>
      <c r="AE88" s="181"/>
      <c r="AF88" s="182"/>
      <c r="AG88" s="181"/>
      <c r="AH88" s="182"/>
      <c r="AI88" s="181"/>
      <c r="AJ88" s="182"/>
      <c r="AK88" s="181"/>
    </row>
    <row r="89" spans="2:37" s="24" customFormat="1" x14ac:dyDescent="0.25">
      <c r="B89" s="85" t="s">
        <v>4</v>
      </c>
      <c r="C89" s="109"/>
      <c r="D89" s="121" t="s">
        <v>4</v>
      </c>
      <c r="E89" s="109"/>
      <c r="F89" s="121" t="s">
        <v>4</v>
      </c>
      <c r="G89" s="109"/>
      <c r="H89" s="121" t="s">
        <v>4</v>
      </c>
      <c r="I89" s="109"/>
      <c r="J89" s="121" t="s">
        <v>4</v>
      </c>
      <c r="K89" s="109"/>
      <c r="L89" s="187" t="s">
        <v>4</v>
      </c>
      <c r="M89" s="181"/>
      <c r="N89" s="228" t="s">
        <v>4</v>
      </c>
      <c r="O89" s="225"/>
      <c r="P89" s="188" t="s">
        <v>4</v>
      </c>
      <c r="Q89" s="181"/>
      <c r="R89" s="188" t="s">
        <v>4</v>
      </c>
      <c r="S89" s="181"/>
      <c r="T89" s="188" t="s">
        <v>4</v>
      </c>
      <c r="U89" s="181"/>
      <c r="V89" s="188" t="s">
        <v>4</v>
      </c>
      <c r="W89" s="181"/>
      <c r="X89" s="188" t="s">
        <v>4</v>
      </c>
      <c r="Y89" s="181"/>
      <c r="Z89" s="188" t="s">
        <v>4</v>
      </c>
      <c r="AA89" s="181"/>
      <c r="AB89" s="188" t="s">
        <v>4</v>
      </c>
      <c r="AC89" s="181"/>
      <c r="AD89" s="188" t="s">
        <v>4</v>
      </c>
      <c r="AE89" s="181"/>
      <c r="AF89" s="188" t="s">
        <v>4</v>
      </c>
      <c r="AG89" s="181"/>
      <c r="AH89" s="188" t="s">
        <v>4</v>
      </c>
      <c r="AI89" s="181"/>
      <c r="AJ89" s="188" t="s">
        <v>4</v>
      </c>
      <c r="AK89" s="181"/>
    </row>
    <row r="90" spans="2:37" s="24" customFormat="1" x14ac:dyDescent="0.25">
      <c r="B90" s="86"/>
      <c r="C90" s="113"/>
      <c r="D90" s="122"/>
      <c r="E90" s="113"/>
      <c r="F90" s="122"/>
      <c r="G90" s="113"/>
      <c r="H90" s="122"/>
      <c r="I90" s="113"/>
      <c r="J90" s="122"/>
      <c r="K90" s="113"/>
      <c r="L90" s="192"/>
      <c r="M90" s="193"/>
      <c r="N90" s="231"/>
      <c r="O90" s="232"/>
      <c r="P90" s="194"/>
      <c r="Q90" s="193"/>
      <c r="R90" s="194"/>
      <c r="S90" s="193"/>
      <c r="T90" s="194"/>
      <c r="U90" s="193"/>
      <c r="V90" s="194"/>
      <c r="W90" s="193"/>
      <c r="X90" s="194"/>
      <c r="Y90" s="193"/>
      <c r="Z90" s="194"/>
      <c r="AA90" s="193"/>
      <c r="AB90" s="194"/>
      <c r="AC90" s="193"/>
      <c r="AD90" s="194"/>
      <c r="AE90" s="193"/>
      <c r="AF90" s="194"/>
      <c r="AG90" s="193"/>
      <c r="AH90" s="194"/>
      <c r="AI90" s="193"/>
      <c r="AJ90" s="194"/>
      <c r="AK90" s="193"/>
    </row>
    <row r="91" spans="2:37" s="24" customFormat="1" x14ac:dyDescent="0.25">
      <c r="B91" s="83">
        <v>211420</v>
      </c>
      <c r="C91" s="110" t="s">
        <v>24</v>
      </c>
      <c r="D91" s="119">
        <v>92230</v>
      </c>
      <c r="E91" s="110" t="s">
        <v>24</v>
      </c>
      <c r="F91" s="119">
        <v>113310</v>
      </c>
      <c r="G91" s="110" t="s">
        <v>24</v>
      </c>
      <c r="H91" s="119">
        <v>73723</v>
      </c>
      <c r="I91" s="110" t="s">
        <v>24</v>
      </c>
      <c r="J91" s="119">
        <v>87990</v>
      </c>
      <c r="K91" s="110" t="s">
        <v>24</v>
      </c>
      <c r="L91" s="185">
        <v>87590</v>
      </c>
      <c r="M91" s="171" t="s">
        <v>24</v>
      </c>
      <c r="N91" s="227">
        <v>87590</v>
      </c>
      <c r="O91" s="220" t="s">
        <v>24</v>
      </c>
      <c r="P91" s="186">
        <v>45581</v>
      </c>
      <c r="Q91" s="171" t="s">
        <v>24</v>
      </c>
      <c r="R91" s="186">
        <v>52244</v>
      </c>
      <c r="S91" s="171" t="s">
        <v>24</v>
      </c>
      <c r="T91" s="186"/>
      <c r="U91" s="171" t="s">
        <v>24</v>
      </c>
      <c r="V91" s="186"/>
      <c r="W91" s="171" t="s">
        <v>24</v>
      </c>
      <c r="X91" s="186"/>
      <c r="Y91" s="171" t="s">
        <v>24</v>
      </c>
      <c r="Z91" s="186"/>
      <c r="AA91" s="171" t="s">
        <v>24</v>
      </c>
      <c r="AB91" s="186"/>
      <c r="AC91" s="171" t="s">
        <v>24</v>
      </c>
      <c r="AD91" s="186"/>
      <c r="AE91" s="171" t="s">
        <v>24</v>
      </c>
      <c r="AF91" s="186"/>
      <c r="AG91" s="171" t="s">
        <v>24</v>
      </c>
      <c r="AH91" s="186"/>
      <c r="AI91" s="171" t="s">
        <v>24</v>
      </c>
      <c r="AJ91" s="186"/>
      <c r="AK91" s="171" t="s">
        <v>24</v>
      </c>
    </row>
    <row r="92" spans="2:37" s="24" customFormat="1" x14ac:dyDescent="0.25">
      <c r="B92" s="83">
        <v>363000</v>
      </c>
      <c r="C92" s="110" t="s">
        <v>23</v>
      </c>
      <c r="D92" s="119">
        <v>363000</v>
      </c>
      <c r="E92" s="110" t="s">
        <v>23</v>
      </c>
      <c r="F92" s="119">
        <v>370000</v>
      </c>
      <c r="G92" s="110" t="s">
        <v>23</v>
      </c>
      <c r="H92" s="119">
        <v>357400</v>
      </c>
      <c r="I92" s="110" t="s">
        <v>23</v>
      </c>
      <c r="J92" s="119">
        <v>292000</v>
      </c>
      <c r="K92" s="110" t="s">
        <v>23</v>
      </c>
      <c r="L92" s="185">
        <v>311000</v>
      </c>
      <c r="M92" s="171" t="s">
        <v>23</v>
      </c>
      <c r="N92" s="227">
        <v>294653</v>
      </c>
      <c r="O92" s="220" t="s">
        <v>23</v>
      </c>
      <c r="P92" s="186">
        <f>294600+534900</f>
        <v>829500</v>
      </c>
      <c r="Q92" s="171" t="s">
        <v>23</v>
      </c>
      <c r="R92" s="186">
        <f>479524+241284</f>
        <v>720808</v>
      </c>
      <c r="S92" s="171" t="s">
        <v>23</v>
      </c>
      <c r="T92" s="186"/>
      <c r="U92" s="171" t="s">
        <v>23</v>
      </c>
      <c r="V92" s="186"/>
      <c r="W92" s="171" t="s">
        <v>23</v>
      </c>
      <c r="X92" s="186"/>
      <c r="Y92" s="171" t="s">
        <v>23</v>
      </c>
      <c r="Z92" s="186"/>
      <c r="AA92" s="171" t="s">
        <v>23</v>
      </c>
      <c r="AB92" s="186"/>
      <c r="AC92" s="171" t="s">
        <v>23</v>
      </c>
      <c r="AD92" s="186"/>
      <c r="AE92" s="171" t="s">
        <v>23</v>
      </c>
      <c r="AF92" s="186"/>
      <c r="AG92" s="171" t="s">
        <v>23</v>
      </c>
      <c r="AH92" s="186"/>
      <c r="AI92" s="171" t="s">
        <v>23</v>
      </c>
      <c r="AJ92" s="186"/>
      <c r="AK92" s="171" t="s">
        <v>23</v>
      </c>
    </row>
    <row r="93" spans="2:37" s="24" customFormat="1" x14ac:dyDescent="0.25">
      <c r="B93" s="84">
        <f>SUM(B91:B92)</f>
        <v>574420</v>
      </c>
      <c r="C93" s="111"/>
      <c r="D93" s="120">
        <f>SUM(D91:D92)</f>
        <v>455230</v>
      </c>
      <c r="E93" s="111"/>
      <c r="F93" s="120">
        <f>SUM(F91:F92)</f>
        <v>483310</v>
      </c>
      <c r="G93" s="111"/>
      <c r="H93" s="120">
        <f>SUM(H91:H92)</f>
        <v>431123</v>
      </c>
      <c r="I93" s="111"/>
      <c r="J93" s="120">
        <f>SUM(J91:J92)</f>
        <v>379990</v>
      </c>
      <c r="K93" s="111"/>
      <c r="L93" s="177">
        <v>398590</v>
      </c>
      <c r="M93" s="178"/>
      <c r="N93" s="222">
        <v>382243</v>
      </c>
      <c r="O93" s="223"/>
      <c r="P93" s="179">
        <f>+SUM(P91:P92)</f>
        <v>875081</v>
      </c>
      <c r="Q93" s="178"/>
      <c r="R93" s="179">
        <f>SUM(R91:R92)</f>
        <v>773052</v>
      </c>
      <c r="S93" s="178"/>
      <c r="T93" s="179"/>
      <c r="U93" s="178"/>
      <c r="V93" s="179"/>
      <c r="W93" s="178"/>
      <c r="X93" s="179"/>
      <c r="Y93" s="178"/>
      <c r="Z93" s="179"/>
      <c r="AA93" s="178"/>
      <c r="AB93" s="179"/>
      <c r="AC93" s="178"/>
      <c r="AD93" s="179"/>
      <c r="AE93" s="178"/>
      <c r="AF93" s="179"/>
      <c r="AG93" s="178"/>
      <c r="AH93" s="179"/>
      <c r="AI93" s="178"/>
      <c r="AJ93" s="179"/>
      <c r="AK93" s="178"/>
    </row>
    <row r="94" spans="2:37" s="24" customFormat="1" x14ac:dyDescent="0.25">
      <c r="B94" s="55"/>
      <c r="C94" s="109"/>
      <c r="D94" s="118"/>
      <c r="E94" s="109"/>
      <c r="F94" s="118"/>
      <c r="G94" s="109"/>
      <c r="H94" s="118"/>
      <c r="I94" s="109"/>
      <c r="J94" s="118"/>
      <c r="K94" s="109"/>
      <c r="L94" s="180"/>
      <c r="M94" s="181"/>
      <c r="N94" s="224"/>
      <c r="O94" s="225"/>
      <c r="P94" s="182"/>
      <c r="Q94" s="181"/>
      <c r="R94" s="182"/>
      <c r="S94" s="181"/>
      <c r="T94" s="182"/>
      <c r="U94" s="181"/>
      <c r="V94" s="182"/>
      <c r="W94" s="181"/>
      <c r="X94" s="182"/>
      <c r="Y94" s="181"/>
      <c r="Z94" s="182"/>
      <c r="AA94" s="181"/>
      <c r="AB94" s="182"/>
      <c r="AC94" s="181"/>
      <c r="AD94" s="182"/>
      <c r="AE94" s="181"/>
      <c r="AF94" s="182"/>
      <c r="AG94" s="181"/>
      <c r="AH94" s="182"/>
      <c r="AI94" s="181"/>
      <c r="AJ94" s="182"/>
      <c r="AK94" s="181"/>
    </row>
    <row r="95" spans="2:37" s="24" customFormat="1" x14ac:dyDescent="0.25">
      <c r="B95" s="85" t="s">
        <v>6</v>
      </c>
      <c r="C95" s="109"/>
      <c r="D95" s="121" t="s">
        <v>6</v>
      </c>
      <c r="E95" s="109"/>
      <c r="F95" s="121" t="s">
        <v>6</v>
      </c>
      <c r="G95" s="109"/>
      <c r="H95" s="121" t="s">
        <v>6</v>
      </c>
      <c r="I95" s="109"/>
      <c r="J95" s="121" t="s">
        <v>6</v>
      </c>
      <c r="K95" s="109"/>
      <c r="L95" s="187" t="s">
        <v>6</v>
      </c>
      <c r="M95" s="181"/>
      <c r="N95" s="228" t="s">
        <v>6</v>
      </c>
      <c r="O95" s="225"/>
      <c r="P95" s="188" t="s">
        <v>6</v>
      </c>
      <c r="Q95" s="181"/>
      <c r="R95" s="188" t="s">
        <v>6</v>
      </c>
      <c r="S95" s="181"/>
      <c r="T95" s="188" t="s">
        <v>6</v>
      </c>
      <c r="U95" s="181"/>
      <c r="V95" s="188" t="s">
        <v>6</v>
      </c>
      <c r="W95" s="181"/>
      <c r="X95" s="188" t="s">
        <v>6</v>
      </c>
      <c r="Y95" s="181"/>
      <c r="Z95" s="188" t="s">
        <v>6</v>
      </c>
      <c r="AA95" s="181"/>
      <c r="AB95" s="188" t="s">
        <v>6</v>
      </c>
      <c r="AC95" s="181"/>
      <c r="AD95" s="188" t="s">
        <v>6</v>
      </c>
      <c r="AE95" s="181"/>
      <c r="AF95" s="188" t="s">
        <v>6</v>
      </c>
      <c r="AG95" s="181"/>
      <c r="AH95" s="188" t="s">
        <v>6</v>
      </c>
      <c r="AI95" s="181"/>
      <c r="AJ95" s="188" t="s">
        <v>6</v>
      </c>
      <c r="AK95" s="181"/>
    </row>
    <row r="96" spans="2:37" s="24" customFormat="1" x14ac:dyDescent="0.25">
      <c r="B96" s="55"/>
      <c r="C96" s="109"/>
      <c r="D96" s="118"/>
      <c r="E96" s="109"/>
      <c r="F96" s="118"/>
      <c r="G96" s="109"/>
      <c r="H96" s="118"/>
      <c r="I96" s="109"/>
      <c r="J96" s="118"/>
      <c r="K96" s="109"/>
      <c r="L96" s="180"/>
      <c r="M96" s="181"/>
      <c r="N96" s="224"/>
      <c r="O96" s="225"/>
      <c r="P96" s="182"/>
      <c r="Q96" s="181"/>
      <c r="R96" s="182"/>
      <c r="S96" s="181"/>
      <c r="T96" s="182"/>
      <c r="U96" s="181"/>
      <c r="V96" s="182"/>
      <c r="W96" s="181"/>
      <c r="X96" s="182"/>
      <c r="Y96" s="181"/>
      <c r="Z96" s="182"/>
      <c r="AA96" s="181"/>
      <c r="AB96" s="182"/>
      <c r="AC96" s="181"/>
      <c r="AD96" s="182"/>
      <c r="AE96" s="181"/>
      <c r="AF96" s="182"/>
      <c r="AG96" s="181"/>
      <c r="AH96" s="182"/>
      <c r="AI96" s="181"/>
      <c r="AJ96" s="182"/>
      <c r="AK96" s="181"/>
    </row>
    <row r="97" spans="1:37" s="24" customFormat="1" x14ac:dyDescent="0.25">
      <c r="B97" s="83">
        <v>135029</v>
      </c>
      <c r="C97" s="110" t="s">
        <v>27</v>
      </c>
      <c r="D97" s="119">
        <v>133591</v>
      </c>
      <c r="E97" s="110" t="s">
        <v>27</v>
      </c>
      <c r="F97" s="119">
        <v>126095</v>
      </c>
      <c r="G97" s="110" t="s">
        <v>27</v>
      </c>
      <c r="H97" s="119">
        <v>126095</v>
      </c>
      <c r="I97" s="110" t="s">
        <v>27</v>
      </c>
      <c r="J97" s="119">
        <v>126095</v>
      </c>
      <c r="K97" s="110" t="s">
        <v>27</v>
      </c>
      <c r="L97" s="185">
        <v>126095</v>
      </c>
      <c r="M97" s="171" t="s">
        <v>27</v>
      </c>
      <c r="N97" s="227">
        <v>126095</v>
      </c>
      <c r="O97" s="220" t="s">
        <v>27</v>
      </c>
      <c r="P97" s="186">
        <v>126095</v>
      </c>
      <c r="Q97" s="171" t="s">
        <v>27</v>
      </c>
      <c r="S97" s="171" t="s">
        <v>27</v>
      </c>
      <c r="T97" s="186"/>
      <c r="U97" s="171" t="s">
        <v>27</v>
      </c>
      <c r="V97" s="186"/>
      <c r="W97" s="171" t="s">
        <v>27</v>
      </c>
      <c r="X97" s="186"/>
      <c r="Y97" s="171" t="s">
        <v>27</v>
      </c>
      <c r="Z97" s="186"/>
      <c r="AA97" s="171" t="s">
        <v>27</v>
      </c>
      <c r="AB97" s="186"/>
      <c r="AC97" s="171" t="s">
        <v>27</v>
      </c>
      <c r="AD97" s="186"/>
      <c r="AE97" s="171" t="s">
        <v>27</v>
      </c>
      <c r="AF97" s="186"/>
      <c r="AG97" s="171" t="s">
        <v>27</v>
      </c>
      <c r="AH97" s="186"/>
      <c r="AI97" s="171" t="s">
        <v>27</v>
      </c>
      <c r="AJ97" s="186"/>
      <c r="AK97" s="171" t="s">
        <v>27</v>
      </c>
    </row>
    <row r="98" spans="1:37" s="24" customFormat="1" x14ac:dyDescent="0.25">
      <c r="B98" s="83">
        <v>438390</v>
      </c>
      <c r="C98" s="110" t="s">
        <v>24</v>
      </c>
      <c r="D98" s="119">
        <v>424010</v>
      </c>
      <c r="E98" s="110" t="s">
        <v>24</v>
      </c>
      <c r="F98" s="119">
        <v>515600</v>
      </c>
      <c r="G98" s="110" t="s">
        <v>24</v>
      </c>
      <c r="H98" s="119">
        <v>24627</v>
      </c>
      <c r="I98" s="110" t="s">
        <v>24</v>
      </c>
      <c r="J98" s="119">
        <v>19530</v>
      </c>
      <c r="K98" s="110" t="s">
        <v>24</v>
      </c>
      <c r="L98" s="185">
        <v>25554</v>
      </c>
      <c r="M98" s="171" t="s">
        <v>24</v>
      </c>
      <c r="N98" s="227">
        <v>15631</v>
      </c>
      <c r="O98" s="220" t="s">
        <v>24</v>
      </c>
      <c r="P98" s="186">
        <v>17166</v>
      </c>
      <c r="Q98" s="171" t="s">
        <v>24</v>
      </c>
      <c r="R98" s="186">
        <v>17170</v>
      </c>
      <c r="S98" s="171" t="s">
        <v>24</v>
      </c>
      <c r="T98" s="186"/>
      <c r="U98" s="171" t="s">
        <v>24</v>
      </c>
      <c r="V98" s="186"/>
      <c r="W98" s="171" t="s">
        <v>24</v>
      </c>
      <c r="X98" s="186"/>
      <c r="Y98" s="171" t="s">
        <v>24</v>
      </c>
      <c r="Z98" s="186"/>
      <c r="AA98" s="171" t="s">
        <v>24</v>
      </c>
      <c r="AB98" s="186"/>
      <c r="AC98" s="171" t="s">
        <v>24</v>
      </c>
      <c r="AD98" s="186"/>
      <c r="AE98" s="171" t="s">
        <v>24</v>
      </c>
      <c r="AF98" s="186"/>
      <c r="AG98" s="171" t="s">
        <v>24</v>
      </c>
      <c r="AH98" s="186"/>
      <c r="AI98" s="171" t="s">
        <v>24</v>
      </c>
      <c r="AJ98" s="186"/>
      <c r="AK98" s="171" t="s">
        <v>24</v>
      </c>
    </row>
    <row r="99" spans="1:37" s="24" customFormat="1" x14ac:dyDescent="0.25">
      <c r="B99" s="83">
        <v>1202645</v>
      </c>
      <c r="C99" s="110" t="s">
        <v>28</v>
      </c>
      <c r="D99" s="119">
        <v>1157695</v>
      </c>
      <c r="E99" s="110" t="s">
        <v>28</v>
      </c>
      <c r="F99" s="119">
        <v>1151712</v>
      </c>
      <c r="G99" s="110" t="s">
        <v>28</v>
      </c>
      <c r="H99" s="119">
        <v>715491</v>
      </c>
      <c r="I99" s="110" t="s">
        <v>28</v>
      </c>
      <c r="J99" s="119">
        <v>739773</v>
      </c>
      <c r="K99" s="110" t="s">
        <v>28</v>
      </c>
      <c r="L99" s="185">
        <v>739771</v>
      </c>
      <c r="M99" s="171" t="s">
        <v>28</v>
      </c>
      <c r="N99" s="227">
        <v>664084</v>
      </c>
      <c r="O99" s="220" t="s">
        <v>28</v>
      </c>
      <c r="P99" s="186">
        <v>664084</v>
      </c>
      <c r="Q99" s="171" t="s">
        <v>28</v>
      </c>
      <c r="R99" s="186">
        <v>607489</v>
      </c>
      <c r="S99" s="171" t="s">
        <v>28</v>
      </c>
      <c r="T99" s="186"/>
      <c r="U99" s="171" t="s">
        <v>28</v>
      </c>
      <c r="V99" s="186"/>
      <c r="W99" s="171" t="s">
        <v>28</v>
      </c>
      <c r="X99" s="186"/>
      <c r="Y99" s="171" t="s">
        <v>28</v>
      </c>
      <c r="Z99" s="186"/>
      <c r="AA99" s="171" t="s">
        <v>28</v>
      </c>
      <c r="AB99" s="186"/>
      <c r="AC99" s="171" t="s">
        <v>28</v>
      </c>
      <c r="AD99" s="186"/>
      <c r="AE99" s="171" t="s">
        <v>28</v>
      </c>
      <c r="AF99" s="186"/>
      <c r="AG99" s="171" t="s">
        <v>28</v>
      </c>
      <c r="AH99" s="186"/>
      <c r="AI99" s="171" t="s">
        <v>28</v>
      </c>
      <c r="AJ99" s="186"/>
      <c r="AK99" s="171" t="s">
        <v>28</v>
      </c>
    </row>
    <row r="100" spans="1:37" s="24" customFormat="1" x14ac:dyDescent="0.25">
      <c r="B100" s="83">
        <v>1192050</v>
      </c>
      <c r="C100" s="110" t="s">
        <v>23</v>
      </c>
      <c r="D100" s="119">
        <v>1212000</v>
      </c>
      <c r="E100" s="110" t="s">
        <v>23</v>
      </c>
      <c r="F100" s="119">
        <v>1521000</v>
      </c>
      <c r="G100" s="110" t="s">
        <v>23</v>
      </c>
      <c r="H100" s="119">
        <v>1980595</v>
      </c>
      <c r="I100" s="110" t="s">
        <v>23</v>
      </c>
      <c r="J100" s="119">
        <v>1623000</v>
      </c>
      <c r="K100" s="110" t="s">
        <v>23</v>
      </c>
      <c r="L100" s="185">
        <v>1442246</v>
      </c>
      <c r="M100" s="171" t="s">
        <v>23</v>
      </c>
      <c r="N100" s="227">
        <v>1029000</v>
      </c>
      <c r="O100" s="220" t="s">
        <v>23</v>
      </c>
      <c r="P100" s="186">
        <v>1029000</v>
      </c>
      <c r="Q100" s="171" t="s">
        <v>23</v>
      </c>
      <c r="R100" s="186">
        <v>1029000</v>
      </c>
      <c r="S100" s="171" t="s">
        <v>23</v>
      </c>
      <c r="T100" s="186"/>
      <c r="U100" s="171" t="s">
        <v>23</v>
      </c>
      <c r="V100" s="186"/>
      <c r="W100" s="171" t="s">
        <v>23</v>
      </c>
      <c r="X100" s="186"/>
      <c r="Y100" s="171" t="s">
        <v>23</v>
      </c>
      <c r="Z100" s="186"/>
      <c r="AA100" s="171" t="s">
        <v>23</v>
      </c>
      <c r="AB100" s="186"/>
      <c r="AC100" s="171" t="s">
        <v>23</v>
      </c>
      <c r="AD100" s="186"/>
      <c r="AE100" s="171" t="s">
        <v>23</v>
      </c>
      <c r="AF100" s="186"/>
      <c r="AG100" s="171" t="s">
        <v>23</v>
      </c>
      <c r="AH100" s="186"/>
      <c r="AI100" s="171" t="s">
        <v>23</v>
      </c>
      <c r="AJ100" s="186"/>
      <c r="AK100" s="171" t="s">
        <v>23</v>
      </c>
    </row>
    <row r="101" spans="1:37" s="24" customFormat="1" x14ac:dyDescent="0.25">
      <c r="B101" s="84">
        <f>SUM(B97:B100)</f>
        <v>2968114</v>
      </c>
      <c r="C101" s="111"/>
      <c r="D101" s="120">
        <f>SUM(D97:D100)</f>
        <v>2927296</v>
      </c>
      <c r="E101" s="111"/>
      <c r="F101" s="120">
        <f>SUM(F97:F100)</f>
        <v>3314407</v>
      </c>
      <c r="G101" s="111"/>
      <c r="H101" s="120">
        <f>SUM(H97:H100)</f>
        <v>2846808</v>
      </c>
      <c r="I101" s="111"/>
      <c r="J101" s="120">
        <f>SUM(J97:J100)</f>
        <v>2508398</v>
      </c>
      <c r="K101" s="111"/>
      <c r="L101" s="177">
        <v>2333666</v>
      </c>
      <c r="M101" s="178"/>
      <c r="N101" s="222">
        <v>1834810</v>
      </c>
      <c r="O101" s="223"/>
      <c r="P101" s="179">
        <f>+SUM(P97:P100)</f>
        <v>1836345</v>
      </c>
      <c r="Q101" s="178"/>
      <c r="R101" s="179">
        <f>SUM(R97:R100)</f>
        <v>1653659</v>
      </c>
      <c r="S101" s="178"/>
      <c r="T101" s="179"/>
      <c r="U101" s="178"/>
      <c r="V101" s="179"/>
      <c r="W101" s="178"/>
      <c r="X101" s="179"/>
      <c r="Y101" s="178"/>
      <c r="Z101" s="179"/>
      <c r="AA101" s="178"/>
      <c r="AB101" s="179"/>
      <c r="AC101" s="178"/>
      <c r="AD101" s="179"/>
      <c r="AE101" s="178"/>
      <c r="AF101" s="179"/>
      <c r="AG101" s="178"/>
      <c r="AH101" s="179"/>
      <c r="AI101" s="178"/>
      <c r="AJ101" s="179"/>
      <c r="AK101" s="178"/>
    </row>
    <row r="102" spans="1:37" s="24" customFormat="1" x14ac:dyDescent="0.25">
      <c r="B102" s="55"/>
      <c r="C102" s="109"/>
      <c r="D102" s="118"/>
      <c r="E102" s="109"/>
      <c r="F102" s="118"/>
      <c r="G102" s="109"/>
      <c r="H102" s="118"/>
      <c r="I102" s="109"/>
      <c r="J102" s="118"/>
      <c r="K102" s="109"/>
      <c r="L102" s="180"/>
      <c r="M102" s="181"/>
      <c r="N102" s="180"/>
      <c r="O102" s="181"/>
      <c r="P102" s="182"/>
      <c r="Q102" s="181"/>
      <c r="R102" s="182"/>
      <c r="S102" s="181"/>
      <c r="T102" s="182"/>
      <c r="U102" s="181"/>
      <c r="V102" s="182"/>
      <c r="W102" s="181"/>
      <c r="X102" s="182"/>
      <c r="Y102" s="181"/>
      <c r="Z102" s="182"/>
      <c r="AA102" s="181"/>
      <c r="AB102" s="182"/>
      <c r="AC102" s="181"/>
      <c r="AD102" s="182"/>
      <c r="AE102" s="181"/>
      <c r="AF102" s="182"/>
      <c r="AG102" s="181"/>
      <c r="AH102" s="182"/>
      <c r="AI102" s="181"/>
      <c r="AJ102" s="182"/>
      <c r="AK102" s="181"/>
    </row>
    <row r="103" spans="1:37" s="24" customFormat="1" x14ac:dyDescent="0.25">
      <c r="B103" s="87">
        <f>+SUM(B30:B101)/2</f>
        <v>25503645</v>
      </c>
      <c r="C103" s="114" t="s">
        <v>30</v>
      </c>
      <c r="D103" s="123">
        <f>+SUM(D30:D101)/2</f>
        <v>24276718</v>
      </c>
      <c r="E103" s="114" t="s">
        <v>30</v>
      </c>
      <c r="F103" s="123">
        <f>+SUM(F30:F101)/2</f>
        <v>25194685</v>
      </c>
      <c r="G103" s="114" t="s">
        <v>30</v>
      </c>
      <c r="H103" s="123">
        <f>+SUM(H30:H101)/2</f>
        <v>22979055</v>
      </c>
      <c r="I103" s="114" t="s">
        <v>30</v>
      </c>
      <c r="J103" s="123">
        <f>+SUM(J30:J101)/2</f>
        <v>21902268</v>
      </c>
      <c r="K103" s="114" t="s">
        <v>30</v>
      </c>
      <c r="L103" s="123">
        <f>+SUM(L30:L101)/2</f>
        <v>22337522</v>
      </c>
      <c r="M103" s="114" t="s">
        <v>30</v>
      </c>
      <c r="N103" s="123">
        <f>+SUM(N30:N101)/2</f>
        <v>18981244</v>
      </c>
      <c r="O103" s="114" t="s">
        <v>30</v>
      </c>
      <c r="P103" s="87">
        <f>+SUM(P30:P101)/2</f>
        <v>17750974</v>
      </c>
      <c r="Q103" s="114" t="s">
        <v>30</v>
      </c>
      <c r="R103" s="87">
        <f>+SUM(R30:R101)/2</f>
        <v>17621710</v>
      </c>
      <c r="S103" s="114" t="s">
        <v>30</v>
      </c>
      <c r="T103" s="87">
        <f>+SUM(T30:T101)/2</f>
        <v>0</v>
      </c>
      <c r="U103" s="114" t="s">
        <v>30</v>
      </c>
      <c r="V103" s="87">
        <f>+SUM(V30:V101)/2</f>
        <v>0</v>
      </c>
      <c r="W103" s="114" t="s">
        <v>30</v>
      </c>
      <c r="X103" s="147">
        <v>0</v>
      </c>
      <c r="Y103" s="152" t="s">
        <v>30</v>
      </c>
      <c r="Z103" s="147">
        <v>0</v>
      </c>
      <c r="AA103" s="152" t="s">
        <v>30</v>
      </c>
      <c r="AB103" s="147">
        <v>0</v>
      </c>
      <c r="AC103" s="152" t="s">
        <v>30</v>
      </c>
      <c r="AD103" s="147">
        <v>0</v>
      </c>
      <c r="AE103" s="152" t="s">
        <v>30</v>
      </c>
      <c r="AF103" s="147">
        <v>0</v>
      </c>
      <c r="AG103" s="152" t="s">
        <v>30</v>
      </c>
      <c r="AH103" s="147">
        <v>0</v>
      </c>
      <c r="AI103" s="152" t="s">
        <v>30</v>
      </c>
      <c r="AJ103" s="147">
        <v>0</v>
      </c>
      <c r="AK103" s="152" t="s">
        <v>30</v>
      </c>
    </row>
    <row r="105" spans="1:37" s="4" customFormat="1" x14ac:dyDescent="0.25">
      <c r="A105" s="7"/>
      <c r="B105" s="7"/>
      <c r="C105" s="7"/>
      <c r="D105" s="7"/>
      <c r="E105" s="7"/>
      <c r="F105" s="7"/>
      <c r="G105" s="7"/>
    </row>
  </sheetData>
  <mergeCells count="18">
    <mergeCell ref="AH25:AI25"/>
    <mergeCell ref="AJ25:AK25"/>
    <mergeCell ref="X25:Y25"/>
    <mergeCell ref="Z25:AA25"/>
    <mergeCell ref="AB25:AC25"/>
    <mergeCell ref="AD25:AE25"/>
    <mergeCell ref="AF25:AG25"/>
    <mergeCell ref="N25:O25"/>
    <mergeCell ref="P25:Q25"/>
    <mergeCell ref="R25:S25"/>
    <mergeCell ref="T25:U25"/>
    <mergeCell ref="V25:W25"/>
    <mergeCell ref="B25:C25"/>
    <mergeCell ref="D25:E25"/>
    <mergeCell ref="F25:G25"/>
    <mergeCell ref="L25:M25"/>
    <mergeCell ref="J25:K25"/>
    <mergeCell ref="H25:I25"/>
  </mergeCells>
  <pageMargins left="0.35433070866141736" right="0.15748031496062992" top="0.82677165354330717" bottom="0.39370078740157483" header="0.35433070866141736" footer="0"/>
  <pageSetup paperSize="8" orientation="portrait" horizontalDpi="300" verticalDpi="300" r:id="rId1"/>
  <headerFooter alignWithMargins="0">
    <oddHeader>&amp;L&amp;"Times New Roman,Fed"&amp;16Varmeforbrug i kWh, 2008 - 2011</oddHeader>
  </headerFooter>
  <ignoredErrors>
    <ignoredError sqref="B3:F3 G3:S3 B10:S1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J22" sqref="J22"/>
    </sheetView>
  </sheetViews>
  <sheetFormatPr defaultRowHeight="15" x14ac:dyDescent="0.25"/>
  <cols>
    <col min="1" max="1" width="37.7109375" style="3" bestFit="1" customWidth="1"/>
    <col min="2" max="12" width="14.7109375" style="3" customWidth="1"/>
    <col min="13" max="16384" width="9.140625" style="3"/>
  </cols>
  <sheetData>
    <row r="1" spans="1:19" ht="18.75" x14ac:dyDescent="0.3">
      <c r="A1" s="48" t="s">
        <v>43</v>
      </c>
    </row>
    <row r="2" spans="1:19" s="4" customFormat="1" x14ac:dyDescent="0.25">
      <c r="B2" s="260"/>
      <c r="C2" s="260"/>
      <c r="D2" s="260"/>
      <c r="E2" s="260"/>
      <c r="F2" s="261"/>
    </row>
    <row r="3" spans="1:19" s="4" customFormat="1" x14ac:dyDescent="0.25">
      <c r="A3" s="56" t="s">
        <v>36</v>
      </c>
      <c r="B3" s="57">
        <v>2008</v>
      </c>
      <c r="C3" s="57">
        <v>2009</v>
      </c>
      <c r="D3" s="57">
        <v>2010</v>
      </c>
      <c r="E3" s="57">
        <v>2011</v>
      </c>
      <c r="F3" s="58">
        <v>2012</v>
      </c>
      <c r="G3" s="58">
        <v>2013</v>
      </c>
      <c r="H3" s="58">
        <v>2014</v>
      </c>
      <c r="I3" s="58">
        <v>2015</v>
      </c>
      <c r="J3" s="58">
        <v>2016</v>
      </c>
      <c r="K3" s="58">
        <v>2017</v>
      </c>
      <c r="L3" s="58">
        <v>2018</v>
      </c>
      <c r="M3" s="161">
        <v>2019</v>
      </c>
      <c r="N3" s="161">
        <v>2020</v>
      </c>
      <c r="O3" s="161">
        <v>2021</v>
      </c>
      <c r="P3" s="161">
        <v>2022</v>
      </c>
      <c r="Q3" s="161">
        <v>2023</v>
      </c>
      <c r="R3" s="161">
        <v>2024</v>
      </c>
      <c r="S3" s="161">
        <v>2025</v>
      </c>
    </row>
    <row r="4" spans="1:19" s="4" customFormat="1" ht="15" customHeight="1" x14ac:dyDescent="0.25">
      <c r="A4" s="59" t="s">
        <v>1</v>
      </c>
      <c r="B4" s="60">
        <v>501494</v>
      </c>
      <c r="C4" s="61">
        <v>744042.25</v>
      </c>
      <c r="D4" s="61">
        <v>705424</v>
      </c>
      <c r="E4" s="61">
        <v>695198</v>
      </c>
      <c r="F4" s="61">
        <v>702405</v>
      </c>
      <c r="G4" s="169">
        <v>660737</v>
      </c>
      <c r="H4" s="218">
        <v>621068</v>
      </c>
      <c r="I4" s="233">
        <v>629479</v>
      </c>
      <c r="J4" s="195">
        <v>570620</v>
      </c>
      <c r="K4" s="167"/>
      <c r="L4" s="195"/>
      <c r="M4" s="195"/>
      <c r="N4" s="195"/>
      <c r="O4" s="195"/>
      <c r="P4" s="195"/>
      <c r="Q4" s="195"/>
      <c r="R4" s="195"/>
      <c r="S4" s="195"/>
    </row>
    <row r="5" spans="1:19" s="4" customFormat="1" x14ac:dyDescent="0.25">
      <c r="A5" s="59" t="s">
        <v>2</v>
      </c>
      <c r="B5" s="60">
        <v>2435520</v>
      </c>
      <c r="C5" s="61">
        <v>2849593.18</v>
      </c>
      <c r="D5" s="61">
        <v>2711090</v>
      </c>
      <c r="E5" s="61">
        <v>2572229</v>
      </c>
      <c r="F5" s="61">
        <v>2157274</v>
      </c>
      <c r="G5" s="169">
        <v>1906927</v>
      </c>
      <c r="H5" s="218">
        <v>1989913</v>
      </c>
      <c r="I5" s="233">
        <v>1639580</v>
      </c>
      <c r="J5" s="195">
        <v>1794725</v>
      </c>
      <c r="K5" s="167"/>
      <c r="L5" s="195"/>
      <c r="M5" s="195"/>
      <c r="N5" s="195"/>
      <c r="O5" s="195"/>
      <c r="P5" s="195"/>
      <c r="Q5" s="195"/>
      <c r="R5" s="195"/>
      <c r="S5" s="195"/>
    </row>
    <row r="6" spans="1:19" s="4" customFormat="1" x14ac:dyDescent="0.25">
      <c r="A6" s="59" t="s">
        <v>3</v>
      </c>
      <c r="B6" s="60">
        <v>406516</v>
      </c>
      <c r="C6" s="61">
        <v>380455</v>
      </c>
      <c r="D6" s="61">
        <v>453200</v>
      </c>
      <c r="E6" s="61">
        <v>436355</v>
      </c>
      <c r="F6" s="61">
        <v>443247</v>
      </c>
      <c r="G6" s="169">
        <v>409127</v>
      </c>
      <c r="H6" s="218">
        <v>451291</v>
      </c>
      <c r="I6" s="233">
        <v>503207</v>
      </c>
      <c r="J6" s="195">
        <v>588573</v>
      </c>
      <c r="K6" s="167"/>
      <c r="L6" s="195"/>
      <c r="M6" s="195"/>
      <c r="N6" s="195"/>
      <c r="O6" s="195"/>
      <c r="P6" s="195"/>
      <c r="Q6" s="195"/>
      <c r="R6" s="195"/>
      <c r="S6" s="195"/>
    </row>
    <row r="7" spans="1:19" s="4" customFormat="1" x14ac:dyDescent="0.25">
      <c r="A7" s="59" t="s">
        <v>4</v>
      </c>
      <c r="B7" s="60">
        <v>52623</v>
      </c>
      <c r="C7" s="61">
        <v>33626.129999999997</v>
      </c>
      <c r="D7" s="61">
        <v>69859</v>
      </c>
      <c r="E7" s="61">
        <v>67484</v>
      </c>
      <c r="F7" s="61">
        <v>49875</v>
      </c>
      <c r="G7" s="169">
        <v>44951</v>
      </c>
      <c r="H7" s="218">
        <v>38717</v>
      </c>
      <c r="I7" s="233">
        <v>29654</v>
      </c>
      <c r="J7" s="195">
        <v>36416</v>
      </c>
      <c r="K7" s="167"/>
      <c r="L7" s="195"/>
      <c r="M7" s="195"/>
      <c r="N7" s="195"/>
      <c r="O7" s="195"/>
      <c r="P7" s="195"/>
      <c r="Q7" s="195"/>
      <c r="R7" s="195"/>
      <c r="S7" s="195"/>
    </row>
    <row r="8" spans="1:19" s="4" customFormat="1" x14ac:dyDescent="0.25">
      <c r="A8" s="59" t="s">
        <v>5</v>
      </c>
      <c r="B8" s="60">
        <v>253298</v>
      </c>
      <c r="C8" s="61">
        <v>119592.67</v>
      </c>
      <c r="D8" s="61">
        <v>285275</v>
      </c>
      <c r="E8" s="61">
        <v>232348</v>
      </c>
      <c r="F8" s="61">
        <v>268180</v>
      </c>
      <c r="G8" s="169">
        <v>264235</v>
      </c>
      <c r="H8" s="218">
        <v>259144</v>
      </c>
      <c r="I8" s="233">
        <v>245021</v>
      </c>
      <c r="J8" s="195">
        <v>277761</v>
      </c>
      <c r="K8" s="167"/>
      <c r="L8" s="195"/>
      <c r="M8" s="195"/>
      <c r="N8" s="195"/>
      <c r="O8" s="195"/>
      <c r="P8" s="195"/>
      <c r="Q8" s="195"/>
      <c r="R8" s="195"/>
      <c r="S8" s="195"/>
    </row>
    <row r="9" spans="1:19" s="4" customFormat="1" ht="15" customHeight="1" x14ac:dyDescent="0.25">
      <c r="A9" s="59" t="s">
        <v>6</v>
      </c>
      <c r="B9" s="60">
        <v>1275828</v>
      </c>
      <c r="C9" s="61">
        <v>542915.13</v>
      </c>
      <c r="D9" s="61">
        <v>1260861</v>
      </c>
      <c r="E9" s="61">
        <v>633152</v>
      </c>
      <c r="F9" s="61">
        <v>584649</v>
      </c>
      <c r="G9" s="169">
        <v>464427</v>
      </c>
      <c r="H9" s="218">
        <v>341859</v>
      </c>
      <c r="I9" s="233">
        <v>263957</v>
      </c>
      <c r="J9" s="195">
        <v>250068</v>
      </c>
      <c r="K9" s="167"/>
      <c r="L9" s="195"/>
      <c r="M9" s="195"/>
      <c r="N9" s="195"/>
      <c r="O9" s="195"/>
      <c r="P9" s="195"/>
      <c r="Q9" s="195"/>
      <c r="R9" s="195"/>
      <c r="S9" s="195"/>
    </row>
    <row r="10" spans="1:19" s="4" customFormat="1" ht="15" customHeight="1" x14ac:dyDescent="0.25">
      <c r="A10" s="59" t="s">
        <v>7</v>
      </c>
      <c r="B10" s="60">
        <v>337348</v>
      </c>
      <c r="C10" s="61">
        <v>404469.08</v>
      </c>
      <c r="D10" s="61">
        <v>583955</v>
      </c>
      <c r="E10" s="61">
        <v>569002</v>
      </c>
      <c r="F10" s="61">
        <v>506022</v>
      </c>
      <c r="G10" s="169">
        <v>432994</v>
      </c>
      <c r="H10" s="218">
        <v>469314</v>
      </c>
      <c r="I10" s="233">
        <v>429510</v>
      </c>
      <c r="J10" s="195">
        <v>457670</v>
      </c>
      <c r="K10" s="167"/>
      <c r="L10" s="195"/>
      <c r="M10" s="195"/>
      <c r="N10" s="195"/>
      <c r="O10" s="195"/>
      <c r="P10" s="195"/>
      <c r="Q10" s="195"/>
      <c r="R10" s="195"/>
      <c r="S10" s="195"/>
    </row>
    <row r="11" spans="1:19" s="4" customFormat="1" ht="15" customHeight="1" x14ac:dyDescent="0.25">
      <c r="A11" s="59" t="s">
        <v>8</v>
      </c>
      <c r="B11" s="60">
        <v>695568</v>
      </c>
      <c r="C11" s="61">
        <v>706653.01</v>
      </c>
      <c r="D11" s="61">
        <v>527878</v>
      </c>
      <c r="E11" s="61">
        <v>589359</v>
      </c>
      <c r="F11" s="61">
        <v>612983</v>
      </c>
      <c r="G11" s="169">
        <v>507801</v>
      </c>
      <c r="H11" s="218">
        <v>650695</v>
      </c>
      <c r="I11" s="233">
        <v>639019</v>
      </c>
      <c r="J11" s="195">
        <v>383801</v>
      </c>
      <c r="K11" s="167"/>
      <c r="L11" s="195"/>
      <c r="M11" s="195"/>
      <c r="N11" s="195"/>
      <c r="O11" s="195"/>
      <c r="P11" s="195"/>
      <c r="Q11" s="195"/>
      <c r="R11" s="195"/>
      <c r="S11" s="195"/>
    </row>
    <row r="12" spans="1:19" s="4" customFormat="1" x14ac:dyDescent="0.25">
      <c r="A12" s="59" t="s">
        <v>9</v>
      </c>
      <c r="B12" s="60">
        <v>269164</v>
      </c>
      <c r="C12" s="61">
        <v>299116</v>
      </c>
      <c r="D12" s="61">
        <v>329046</v>
      </c>
      <c r="E12" s="61">
        <v>436402</v>
      </c>
      <c r="F12" s="61">
        <v>360720</v>
      </c>
      <c r="G12" s="169">
        <v>349049</v>
      </c>
      <c r="H12" s="218">
        <v>572281</v>
      </c>
      <c r="I12" s="233">
        <f>328076+336835</f>
        <v>664911</v>
      </c>
      <c r="J12" s="195">
        <f>350648+346657</f>
        <v>697305</v>
      </c>
      <c r="K12" s="167"/>
      <c r="L12" s="195"/>
      <c r="M12" s="195"/>
      <c r="N12" s="195"/>
      <c r="O12" s="195"/>
      <c r="P12" s="195"/>
      <c r="Q12" s="195"/>
      <c r="R12" s="195"/>
      <c r="S12" s="195"/>
    </row>
    <row r="13" spans="1:19" s="4" customFormat="1" x14ac:dyDescent="0.25">
      <c r="A13" s="59" t="s">
        <v>10</v>
      </c>
      <c r="B13" s="60">
        <v>247495</v>
      </c>
      <c r="C13" s="61">
        <v>221376</v>
      </c>
      <c r="D13" s="60">
        <v>252002</v>
      </c>
      <c r="E13" s="61">
        <v>251460</v>
      </c>
      <c r="F13" s="61">
        <v>144348</v>
      </c>
      <c r="G13" s="169">
        <v>240498</v>
      </c>
      <c r="H13" s="218">
        <v>176628</v>
      </c>
      <c r="I13" s="233">
        <v>175935</v>
      </c>
      <c r="J13" s="195">
        <v>172554</v>
      </c>
      <c r="K13" s="167"/>
      <c r="L13" s="195"/>
      <c r="M13" s="195"/>
      <c r="N13" s="195"/>
      <c r="O13" s="195"/>
      <c r="P13" s="195"/>
      <c r="Q13" s="195"/>
      <c r="R13" s="195"/>
      <c r="S13" s="195"/>
    </row>
    <row r="14" spans="1:19" s="4" customFormat="1" ht="15.75" thickBot="1" x14ac:dyDescent="0.3">
      <c r="A14" s="199" t="s">
        <v>11</v>
      </c>
      <c r="B14" s="200">
        <f t="shared" ref="B14:D14" si="0">SUM(B4:B13)</f>
        <v>6474854</v>
      </c>
      <c r="C14" s="200">
        <f t="shared" si="0"/>
        <v>6301838.4500000002</v>
      </c>
      <c r="D14" s="200">
        <f t="shared" si="0"/>
        <v>7178590</v>
      </c>
      <c r="E14" s="200">
        <f>SUM(E4:E13)</f>
        <v>6482989</v>
      </c>
      <c r="F14" s="200">
        <f>SUM(F4:F13)</f>
        <v>5829703</v>
      </c>
      <c r="G14" s="200">
        <f>SUM(G4:G13)</f>
        <v>5280746</v>
      </c>
      <c r="H14" s="200">
        <f t="shared" ref="H14:L14" si="1">SUM(H4:H13)</f>
        <v>5570910</v>
      </c>
      <c r="I14" s="200">
        <f t="shared" si="1"/>
        <v>5220273</v>
      </c>
      <c r="J14" s="200">
        <f t="shared" si="1"/>
        <v>5229493</v>
      </c>
      <c r="K14" s="200">
        <f t="shared" si="1"/>
        <v>0</v>
      </c>
      <c r="L14" s="200">
        <f t="shared" si="1"/>
        <v>0</v>
      </c>
      <c r="M14" s="200">
        <f t="shared" ref="M14:S14" si="2">SUM(M4:M13)</f>
        <v>0</v>
      </c>
      <c r="N14" s="200">
        <f t="shared" si="2"/>
        <v>0</v>
      </c>
      <c r="O14" s="200">
        <f t="shared" si="2"/>
        <v>0</v>
      </c>
      <c r="P14" s="200">
        <f t="shared" si="2"/>
        <v>0</v>
      </c>
      <c r="Q14" s="200">
        <f t="shared" si="2"/>
        <v>0</v>
      </c>
      <c r="R14" s="200">
        <f t="shared" si="2"/>
        <v>0</v>
      </c>
      <c r="S14" s="200">
        <f t="shared" si="2"/>
        <v>0</v>
      </c>
    </row>
    <row r="15" spans="1:19" s="4" customFormat="1" x14ac:dyDescent="0.25"/>
    <row r="16" spans="1:19" x14ac:dyDescent="0.25">
      <c r="A16" s="18" t="s">
        <v>33</v>
      </c>
      <c r="B16" s="51">
        <v>2008</v>
      </c>
      <c r="C16" s="51">
        <v>2009</v>
      </c>
      <c r="D16" s="51">
        <v>2010</v>
      </c>
      <c r="E16" s="51">
        <v>2011</v>
      </c>
      <c r="F16" s="51">
        <v>2012</v>
      </c>
      <c r="G16" s="51">
        <v>2013</v>
      </c>
      <c r="H16" s="51">
        <v>2014</v>
      </c>
      <c r="I16" s="51">
        <v>2015</v>
      </c>
      <c r="J16" s="51">
        <v>2016</v>
      </c>
      <c r="K16" s="51">
        <v>2017</v>
      </c>
      <c r="L16" s="51">
        <v>2018</v>
      </c>
      <c r="M16" s="159">
        <v>2019</v>
      </c>
      <c r="N16" s="159">
        <v>2020</v>
      </c>
      <c r="O16" s="159">
        <v>2021</v>
      </c>
      <c r="P16" s="159">
        <v>2022</v>
      </c>
      <c r="Q16" s="159">
        <v>2023</v>
      </c>
      <c r="R16" s="159">
        <v>2024</v>
      </c>
      <c r="S16" s="159">
        <v>2025</v>
      </c>
    </row>
    <row r="17" spans="1:19" x14ac:dyDescent="0.25">
      <c r="A17" s="21" t="s">
        <v>32</v>
      </c>
      <c r="B17" s="22">
        <f t="shared" ref="B17:F17" si="3">+B14*B21/1000/1000</f>
        <v>3004.3322560000001</v>
      </c>
      <c r="C17" s="22">
        <f t="shared" si="3"/>
        <v>2961.8640715000001</v>
      </c>
      <c r="D17" s="22">
        <f t="shared" si="3"/>
        <v>3223.1869100000004</v>
      </c>
      <c r="E17" s="22">
        <f t="shared" si="3"/>
        <v>2450.5698420000003</v>
      </c>
      <c r="F17" s="22">
        <f t="shared" si="3"/>
        <v>1766.4000090000002</v>
      </c>
      <c r="G17" s="100">
        <f t="shared" ref="G17:L17" si="4">+G14*G21/1000/1000</f>
        <v>1990.8412420000002</v>
      </c>
      <c r="H17" s="100">
        <f t="shared" si="4"/>
        <v>1693.5566399999998</v>
      </c>
      <c r="I17" s="100">
        <f t="shared" si="4"/>
        <v>1054.495146</v>
      </c>
      <c r="J17" s="100">
        <f t="shared" si="4"/>
        <v>1270.7667990000002</v>
      </c>
      <c r="K17" s="100">
        <f t="shared" si="4"/>
        <v>0</v>
      </c>
      <c r="L17" s="100">
        <f t="shared" si="4"/>
        <v>0</v>
      </c>
      <c r="M17" s="163">
        <f t="shared" ref="M17:S17" si="5">+M14*M21/1000/1000</f>
        <v>0</v>
      </c>
      <c r="N17" s="163">
        <f t="shared" si="5"/>
        <v>0</v>
      </c>
      <c r="O17" s="163">
        <f t="shared" si="5"/>
        <v>0</v>
      </c>
      <c r="P17" s="163">
        <f t="shared" si="5"/>
        <v>0</v>
      </c>
      <c r="Q17" s="163">
        <f t="shared" si="5"/>
        <v>0</v>
      </c>
      <c r="R17" s="163">
        <f t="shared" si="5"/>
        <v>0</v>
      </c>
      <c r="S17" s="163">
        <f t="shared" si="5"/>
        <v>0</v>
      </c>
    </row>
    <row r="18" spans="1:19" x14ac:dyDescent="0.25">
      <c r="A18" s="102" t="s">
        <v>69</v>
      </c>
      <c r="B18" s="23">
        <f>+B14*464/1000/1000</f>
        <v>3004.3322560000001</v>
      </c>
      <c r="C18" s="23">
        <f>+C14*B21/1000/1000</f>
        <v>2924.0530408</v>
      </c>
      <c r="D18" s="23">
        <f t="shared" ref="D18:L18" si="6">+D14*C21/1000/1000</f>
        <v>3373.9372999999996</v>
      </c>
      <c r="E18" s="23">
        <f t="shared" si="6"/>
        <v>2910.8620610000003</v>
      </c>
      <c r="F18" s="23">
        <f t="shared" si="6"/>
        <v>2203.6277340000001</v>
      </c>
      <c r="G18" s="101">
        <f t="shared" si="6"/>
        <v>1600.0660379999999</v>
      </c>
      <c r="H18" s="101">
        <f t="shared" si="6"/>
        <v>2100.2330699999998</v>
      </c>
      <c r="I18" s="101">
        <f t="shared" si="6"/>
        <v>1586.962992</v>
      </c>
      <c r="J18" s="101">
        <f t="shared" si="6"/>
        <v>1056.3575859999999</v>
      </c>
      <c r="K18" s="101">
        <f t="shared" si="6"/>
        <v>0</v>
      </c>
      <c r="L18" s="101">
        <f t="shared" si="6"/>
        <v>0</v>
      </c>
      <c r="M18" s="164">
        <f t="shared" ref="M18" si="7">+M14*L21/1000/1000</f>
        <v>0</v>
      </c>
      <c r="N18" s="164">
        <f t="shared" ref="N18" si="8">+N14*M21/1000/1000</f>
        <v>0</v>
      </c>
      <c r="O18" s="164">
        <f t="shared" ref="O18" si="9">+O14*N21/1000/1000</f>
        <v>0</v>
      </c>
      <c r="P18" s="164">
        <f t="shared" ref="P18" si="10">+P14*O21/1000/1000</f>
        <v>0</v>
      </c>
      <c r="Q18" s="164">
        <f t="shared" ref="Q18" si="11">+Q14*P21/1000/1000</f>
        <v>0</v>
      </c>
      <c r="R18" s="164">
        <f t="shared" ref="R18" si="12">+R14*Q21/1000/1000</f>
        <v>0</v>
      </c>
      <c r="S18" s="164">
        <f t="shared" ref="S18" si="13">+S14*R21/1000/1000</f>
        <v>0</v>
      </c>
    </row>
    <row r="19" spans="1:19" x14ac:dyDescent="0.25">
      <c r="J19" s="237"/>
    </row>
    <row r="20" spans="1:19" x14ac:dyDescent="0.25">
      <c r="A20" s="46" t="s">
        <v>37</v>
      </c>
      <c r="B20" s="46">
        <v>2008</v>
      </c>
      <c r="C20" s="46">
        <v>2009</v>
      </c>
      <c r="D20" s="46">
        <v>2010</v>
      </c>
      <c r="E20" s="46">
        <v>2011</v>
      </c>
      <c r="F20" s="46">
        <v>2012</v>
      </c>
      <c r="G20" s="46">
        <v>2013</v>
      </c>
      <c r="H20" s="46">
        <v>2014</v>
      </c>
      <c r="I20" s="46">
        <v>2015</v>
      </c>
      <c r="J20" s="46">
        <v>2016</v>
      </c>
      <c r="K20" s="46">
        <v>2017</v>
      </c>
      <c r="L20" s="46">
        <v>2018</v>
      </c>
      <c r="M20" s="158">
        <v>2019</v>
      </c>
      <c r="N20" s="158">
        <v>2020</v>
      </c>
      <c r="O20" s="158">
        <v>2021</v>
      </c>
      <c r="P20" s="158">
        <v>2022</v>
      </c>
      <c r="Q20" s="158">
        <v>2023</v>
      </c>
      <c r="R20" s="158">
        <v>2024</v>
      </c>
      <c r="S20" s="158">
        <v>2025</v>
      </c>
    </row>
    <row r="21" spans="1:19" x14ac:dyDescent="0.25">
      <c r="A21" s="138" t="s">
        <v>124</v>
      </c>
      <c r="B21" s="37">
        <v>464</v>
      </c>
      <c r="C21" s="37">
        <v>470</v>
      </c>
      <c r="D21" s="37">
        <v>449</v>
      </c>
      <c r="E21" s="37">
        <v>378</v>
      </c>
      <c r="F21" s="37">
        <v>303</v>
      </c>
      <c r="G21" s="37">
        <v>377</v>
      </c>
      <c r="H21" s="198">
        <v>304</v>
      </c>
      <c r="I21" s="198">
        <v>202</v>
      </c>
      <c r="J21" s="198">
        <v>243</v>
      </c>
      <c r="K21" s="198"/>
      <c r="L21" s="198"/>
      <c r="M21" s="198"/>
      <c r="N21" s="198"/>
      <c r="O21" s="198"/>
      <c r="P21" s="198"/>
      <c r="Q21" s="198"/>
      <c r="R21" s="198"/>
      <c r="S21" s="198"/>
    </row>
  </sheetData>
  <mergeCells count="1">
    <mergeCell ref="B2:F2"/>
  </mergeCells>
  <pageMargins left="0.7" right="0.7" top="0.75" bottom="0.75" header="0.3" footer="0.3"/>
  <ignoredErrors>
    <ignoredError sqref="B14:L14 M14:S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K10" sqref="K10"/>
    </sheetView>
  </sheetViews>
  <sheetFormatPr defaultRowHeight="15" x14ac:dyDescent="0.25"/>
  <cols>
    <col min="1" max="1" width="30.7109375" style="4" customWidth="1"/>
    <col min="2" max="12" width="12.42578125" style="4" customWidth="1"/>
    <col min="13" max="16384" width="9.140625" style="4"/>
  </cols>
  <sheetData>
    <row r="1" spans="1:19" ht="18.75" x14ac:dyDescent="0.3">
      <c r="A1" s="53" t="s">
        <v>16</v>
      </c>
    </row>
    <row r="2" spans="1:19" x14ac:dyDescent="0.25">
      <c r="A2" s="2"/>
    </row>
    <row r="3" spans="1:19" x14ac:dyDescent="0.25">
      <c r="A3" s="62" t="s">
        <v>46</v>
      </c>
      <c r="B3" s="57">
        <v>2008</v>
      </c>
      <c r="C3" s="57">
        <v>2009</v>
      </c>
      <c r="D3" s="57">
        <v>2010</v>
      </c>
      <c r="E3" s="57">
        <v>2011</v>
      </c>
      <c r="F3" s="57">
        <v>2012</v>
      </c>
      <c r="G3" s="57">
        <v>2013</v>
      </c>
      <c r="H3" s="57">
        <v>2014</v>
      </c>
      <c r="I3" s="57">
        <v>2015</v>
      </c>
      <c r="J3" s="57">
        <v>2016</v>
      </c>
      <c r="K3" s="57">
        <v>2017</v>
      </c>
      <c r="L3" s="57">
        <v>2018</v>
      </c>
      <c r="M3" s="160">
        <v>2019</v>
      </c>
      <c r="N3" s="160">
        <v>2020</v>
      </c>
      <c r="O3" s="160">
        <v>2021</v>
      </c>
      <c r="P3" s="160">
        <v>2022</v>
      </c>
      <c r="Q3" s="160">
        <v>2023</v>
      </c>
      <c r="R3" s="160">
        <v>2024</v>
      </c>
      <c r="S3" s="160">
        <v>2025</v>
      </c>
    </row>
    <row r="4" spans="1:19" x14ac:dyDescent="0.25">
      <c r="A4" s="65" t="s">
        <v>55</v>
      </c>
      <c r="B4" s="66"/>
      <c r="C4" s="66">
        <v>1002</v>
      </c>
      <c r="D4" s="66">
        <v>1052.79</v>
      </c>
      <c r="E4" s="66">
        <v>1260.01</v>
      </c>
      <c r="F4" s="66">
        <v>915</v>
      </c>
      <c r="G4" s="169">
        <v>6705</v>
      </c>
      <c r="H4" s="169">
        <v>2317</v>
      </c>
      <c r="I4" s="238">
        <v>4778.99</v>
      </c>
      <c r="J4" s="169">
        <v>849</v>
      </c>
      <c r="K4" s="169"/>
      <c r="L4" s="169"/>
      <c r="M4" s="169"/>
      <c r="N4" s="169"/>
      <c r="O4" s="169"/>
      <c r="P4" s="169"/>
      <c r="Q4" s="169"/>
      <c r="R4" s="169"/>
      <c r="S4" s="169"/>
    </row>
    <row r="5" spans="1:19" ht="15.75" x14ac:dyDescent="0.3">
      <c r="A5" s="65" t="s">
        <v>56</v>
      </c>
      <c r="B5" s="66"/>
      <c r="C5" s="66">
        <v>3222.17</v>
      </c>
      <c r="D5" s="66">
        <v>4728.33</v>
      </c>
      <c r="E5" s="67">
        <v>5044.29</v>
      </c>
      <c r="F5" s="66">
        <v>5080.2299999999996</v>
      </c>
      <c r="G5" s="169">
        <v>7987</v>
      </c>
      <c r="H5" s="169">
        <v>5577</v>
      </c>
      <c r="I5" s="238">
        <v>6524.95</v>
      </c>
      <c r="J5" s="169">
        <v>8694</v>
      </c>
      <c r="K5" s="169"/>
      <c r="L5" s="169"/>
      <c r="M5" s="169"/>
      <c r="N5" s="169"/>
      <c r="O5" s="169"/>
      <c r="P5" s="169"/>
      <c r="Q5" s="169"/>
      <c r="R5" s="169"/>
      <c r="S5" s="169"/>
    </row>
    <row r="6" spans="1:19" x14ac:dyDescent="0.25">
      <c r="A6" s="65" t="s">
        <v>57</v>
      </c>
      <c r="B6" s="66"/>
      <c r="C6" s="66">
        <v>2741</v>
      </c>
      <c r="D6" s="66">
        <v>6557</v>
      </c>
      <c r="E6" s="66">
        <v>3933</v>
      </c>
      <c r="F6" s="66">
        <v>2165</v>
      </c>
      <c r="G6" s="169">
        <v>0</v>
      </c>
      <c r="H6" s="169">
        <v>1666</v>
      </c>
      <c r="I6" s="169">
        <v>2063</v>
      </c>
      <c r="J6" s="169">
        <v>1563</v>
      </c>
      <c r="K6" s="169"/>
      <c r="L6" s="169"/>
      <c r="M6" s="169"/>
      <c r="N6" s="169"/>
      <c r="O6" s="169"/>
      <c r="P6" s="169"/>
      <c r="Q6" s="169"/>
      <c r="R6" s="169"/>
      <c r="S6" s="169"/>
    </row>
    <row r="7" spans="1:19" x14ac:dyDescent="0.25">
      <c r="A7" s="65" t="s">
        <v>58</v>
      </c>
      <c r="B7" s="66"/>
      <c r="C7" s="66">
        <v>5999</v>
      </c>
      <c r="D7" s="66"/>
      <c r="E7" s="66"/>
      <c r="F7" s="66"/>
      <c r="G7" s="169">
        <v>0</v>
      </c>
      <c r="H7" s="169">
        <v>0</v>
      </c>
      <c r="I7" s="169">
        <v>0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19" x14ac:dyDescent="0.25">
      <c r="A8" s="65" t="s">
        <v>59</v>
      </c>
      <c r="B8" s="66"/>
      <c r="C8" s="66">
        <v>28952</v>
      </c>
      <c r="D8" s="66">
        <v>41854</v>
      </c>
      <c r="E8" s="66">
        <v>51256</v>
      </c>
      <c r="F8" s="66">
        <v>32654</v>
      </c>
      <c r="G8" s="169">
        <v>0</v>
      </c>
      <c r="H8" s="169">
        <v>19072</v>
      </c>
      <c r="I8" s="169">
        <v>20704</v>
      </c>
      <c r="J8" s="169">
        <v>20482</v>
      </c>
      <c r="K8" s="169"/>
      <c r="L8" s="169"/>
      <c r="M8" s="169"/>
      <c r="N8" s="169"/>
      <c r="O8" s="169"/>
      <c r="P8" s="169"/>
      <c r="Q8" s="169"/>
      <c r="R8" s="169"/>
      <c r="S8" s="169"/>
    </row>
    <row r="9" spans="1:19" x14ac:dyDescent="0.25">
      <c r="A9" s="65" t="s">
        <v>60</v>
      </c>
      <c r="B9" s="66"/>
      <c r="C9" s="66">
        <v>164013</v>
      </c>
      <c r="D9" s="66">
        <v>172695</v>
      </c>
      <c r="E9" s="66">
        <v>142300</v>
      </c>
      <c r="F9" s="66">
        <v>145468</v>
      </c>
      <c r="G9" s="169">
        <v>105917</v>
      </c>
      <c r="H9" s="169">
        <v>95738</v>
      </c>
      <c r="I9" s="169">
        <f>14334+76440</f>
        <v>90774</v>
      </c>
      <c r="J9" s="169">
        <v>37928</v>
      </c>
      <c r="K9" s="169"/>
      <c r="L9" s="169"/>
      <c r="M9" s="169"/>
      <c r="N9" s="169"/>
      <c r="O9" s="169"/>
      <c r="P9" s="169"/>
      <c r="Q9" s="169"/>
      <c r="R9" s="169"/>
      <c r="S9" s="169"/>
    </row>
    <row r="10" spans="1:19" x14ac:dyDescent="0.25">
      <c r="A10" s="65" t="s">
        <v>61</v>
      </c>
      <c r="B10" s="66"/>
      <c r="C10" s="66">
        <v>11224.05</v>
      </c>
      <c r="D10" s="66">
        <v>11366.33</v>
      </c>
      <c r="E10" s="66">
        <v>6338.82</v>
      </c>
      <c r="F10" s="66">
        <v>0</v>
      </c>
      <c r="G10" s="169">
        <v>0</v>
      </c>
      <c r="H10" s="169">
        <v>0</v>
      </c>
      <c r="I10" s="169">
        <v>0</v>
      </c>
      <c r="J10" s="169"/>
      <c r="K10" s="169"/>
      <c r="L10" s="169"/>
      <c r="M10" s="169"/>
      <c r="N10" s="169"/>
      <c r="O10" s="169"/>
      <c r="P10" s="169"/>
      <c r="Q10" s="169"/>
      <c r="R10" s="169"/>
      <c r="S10" s="169"/>
    </row>
    <row r="11" spans="1:19" x14ac:dyDescent="0.25">
      <c r="A11" s="65" t="s">
        <v>62</v>
      </c>
      <c r="B11" s="66"/>
      <c r="C11" s="66">
        <v>39806.080000000002</v>
      </c>
      <c r="D11" s="66">
        <v>46723.35</v>
      </c>
      <c r="E11" s="66">
        <v>36651.99</v>
      </c>
      <c r="F11" s="66">
        <v>62307.02</v>
      </c>
      <c r="G11" s="169">
        <v>29378</v>
      </c>
      <c r="H11" s="169">
        <v>19057</v>
      </c>
      <c r="I11" s="238">
        <v>22692.09</v>
      </c>
      <c r="J11" s="169">
        <v>20232</v>
      </c>
      <c r="K11" s="169"/>
      <c r="L11" s="169"/>
      <c r="M11" s="169"/>
      <c r="N11" s="169"/>
      <c r="O11" s="169"/>
      <c r="P11" s="169"/>
      <c r="Q11" s="169"/>
      <c r="R11" s="169"/>
      <c r="S11" s="169"/>
    </row>
    <row r="12" spans="1:19" x14ac:dyDescent="0.25">
      <c r="A12" s="65" t="s">
        <v>126</v>
      </c>
      <c r="B12" s="59"/>
      <c r="C12" s="66">
        <v>4372.6499999999996</v>
      </c>
      <c r="D12" s="66">
        <v>7385.78</v>
      </c>
      <c r="E12" s="66">
        <v>7579</v>
      </c>
      <c r="F12" s="66">
        <v>4095.05</v>
      </c>
      <c r="G12" s="169">
        <v>661.19</v>
      </c>
      <c r="H12" s="169">
        <v>338.62</v>
      </c>
      <c r="I12" s="238">
        <v>402.19</v>
      </c>
      <c r="J12" s="169">
        <v>1393</v>
      </c>
      <c r="K12" s="169"/>
      <c r="L12" s="169"/>
      <c r="M12" s="169"/>
      <c r="N12" s="169"/>
      <c r="O12" s="169"/>
      <c r="P12" s="169"/>
      <c r="Q12" s="169"/>
      <c r="R12" s="169"/>
      <c r="S12" s="169"/>
    </row>
    <row r="13" spans="1:19" x14ac:dyDescent="0.25">
      <c r="A13" s="65" t="s">
        <v>127</v>
      </c>
      <c r="B13" s="59"/>
      <c r="C13" s="66">
        <v>9067.9699999999993</v>
      </c>
      <c r="D13" s="66">
        <v>11856.58</v>
      </c>
      <c r="E13" s="66">
        <v>17776</v>
      </c>
      <c r="F13" s="66">
        <v>8969.35</v>
      </c>
      <c r="G13" s="169">
        <v>2201.11</v>
      </c>
      <c r="H13" s="169">
        <v>2170.04</v>
      </c>
      <c r="I13" s="238">
        <v>1505.09</v>
      </c>
      <c r="J13" s="169">
        <v>1106</v>
      </c>
      <c r="K13" s="169"/>
      <c r="L13" s="169"/>
      <c r="M13" s="169"/>
      <c r="N13" s="169"/>
      <c r="O13" s="169"/>
      <c r="P13" s="169"/>
      <c r="Q13" s="169"/>
      <c r="R13" s="169"/>
      <c r="S13" s="169"/>
    </row>
    <row r="14" spans="1:19" ht="15.75" thickBot="1" x14ac:dyDescent="0.3">
      <c r="A14" s="65" t="s">
        <v>128</v>
      </c>
      <c r="B14" s="59"/>
      <c r="C14" s="66">
        <v>31277.8</v>
      </c>
      <c r="D14" s="66">
        <v>10597.5</v>
      </c>
      <c r="E14" s="66">
        <v>7974</v>
      </c>
      <c r="F14" s="66">
        <v>5484</v>
      </c>
      <c r="G14" s="169">
        <v>3968</v>
      </c>
      <c r="H14" s="169">
        <v>7552</v>
      </c>
      <c r="I14" s="238">
        <v>1997.7</v>
      </c>
      <c r="J14" s="169"/>
      <c r="K14" s="169"/>
      <c r="L14" s="169"/>
      <c r="M14" s="169"/>
      <c r="N14" s="169"/>
      <c r="O14" s="169"/>
      <c r="P14" s="169"/>
      <c r="Q14" s="169"/>
      <c r="R14" s="169"/>
      <c r="S14" s="169"/>
    </row>
    <row r="15" spans="1:19" x14ac:dyDescent="0.25">
      <c r="A15" s="241" t="s">
        <v>63</v>
      </c>
      <c r="B15" s="242"/>
      <c r="C15" s="243">
        <v>0</v>
      </c>
      <c r="D15" s="243">
        <v>0</v>
      </c>
      <c r="E15" s="244">
        <v>11282.43</v>
      </c>
      <c r="F15" s="244">
        <f>6762.72+494.36</f>
        <v>7257.08</v>
      </c>
      <c r="G15" s="243">
        <f>2543.13+272.44</f>
        <v>2815.57</v>
      </c>
      <c r="H15" s="243">
        <v>1560</v>
      </c>
      <c r="I15" s="243">
        <f>1989.63+34.52</f>
        <v>2024.15</v>
      </c>
      <c r="J15" s="245">
        <f>2500-135</f>
        <v>2365</v>
      </c>
      <c r="K15" s="250"/>
      <c r="L15" s="250"/>
      <c r="M15" s="169"/>
      <c r="N15" s="169"/>
      <c r="O15" s="169"/>
      <c r="P15" s="169"/>
      <c r="Q15" s="169"/>
      <c r="R15" s="169"/>
      <c r="S15" s="169"/>
    </row>
    <row r="16" spans="1:19" x14ac:dyDescent="0.25">
      <c r="A16" s="246" t="s">
        <v>64</v>
      </c>
      <c r="B16" s="59"/>
      <c r="C16" s="66">
        <v>1001</v>
      </c>
      <c r="D16" s="66">
        <v>1000</v>
      </c>
      <c r="E16" s="66">
        <v>3000</v>
      </c>
      <c r="F16" s="66">
        <v>689</v>
      </c>
      <c r="G16" s="169">
        <v>1005</v>
      </c>
      <c r="H16" s="169">
        <v>2005</v>
      </c>
      <c r="I16" s="169">
        <v>2400</v>
      </c>
      <c r="J16" s="247">
        <v>2959</v>
      </c>
      <c r="K16" s="250"/>
      <c r="L16" s="250"/>
      <c r="M16" s="169"/>
      <c r="N16" s="169"/>
      <c r="O16" s="169"/>
      <c r="P16" s="169"/>
      <c r="Q16" s="169"/>
      <c r="R16" s="169"/>
      <c r="S16" s="169"/>
    </row>
    <row r="17" spans="1:19" x14ac:dyDescent="0.25">
      <c r="A17" s="246" t="s">
        <v>65</v>
      </c>
      <c r="B17" s="59"/>
      <c r="C17" s="169">
        <v>0</v>
      </c>
      <c r="D17" s="169">
        <v>0</v>
      </c>
      <c r="E17" s="66">
        <v>60903.12</v>
      </c>
      <c r="F17" s="66">
        <v>24785.040000000001</v>
      </c>
      <c r="G17" s="169">
        <v>17254.5</v>
      </c>
      <c r="H17" s="169">
        <v>14002</v>
      </c>
      <c r="I17" s="169">
        <v>7696.33</v>
      </c>
      <c r="J17" s="247">
        <f>9524-384</f>
        <v>9140</v>
      </c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 ht="15.75" thickBot="1" x14ac:dyDescent="0.3">
      <c r="A18" s="248" t="s">
        <v>66</v>
      </c>
      <c r="B18" s="69"/>
      <c r="C18" s="70">
        <v>90355.1</v>
      </c>
      <c r="D18" s="70">
        <v>109359</v>
      </c>
      <c r="E18" s="70">
        <v>51517.06</v>
      </c>
      <c r="F18" s="70">
        <f>21785+54480</f>
        <v>76265</v>
      </c>
      <c r="G18" s="196">
        <f>25402+29886</f>
        <v>55288</v>
      </c>
      <c r="H18" s="196">
        <v>51234</v>
      </c>
      <c r="I18" s="196">
        <v>46505</v>
      </c>
      <c r="J18" s="249">
        <v>51977</v>
      </c>
      <c r="K18" s="169"/>
      <c r="L18" s="169"/>
      <c r="M18" s="169"/>
      <c r="N18" s="169"/>
      <c r="O18" s="169"/>
      <c r="P18" s="169"/>
      <c r="Q18" s="169"/>
      <c r="R18" s="169"/>
      <c r="S18" s="169"/>
    </row>
    <row r="19" spans="1:19" s="155" customFormat="1" x14ac:dyDescent="0.25">
      <c r="A19" s="65" t="s">
        <v>119</v>
      </c>
      <c r="B19" s="59"/>
      <c r="C19" s="169">
        <v>0</v>
      </c>
      <c r="D19" s="169">
        <v>0</v>
      </c>
      <c r="E19" s="169">
        <v>0</v>
      </c>
      <c r="F19" s="66">
        <v>55000</v>
      </c>
      <c r="G19" s="169">
        <v>55812.71</v>
      </c>
      <c r="H19" s="169">
        <v>65523</v>
      </c>
      <c r="I19" s="169">
        <v>55552</v>
      </c>
      <c r="J19" s="169">
        <v>98912</v>
      </c>
      <c r="K19" s="169"/>
      <c r="L19" s="169"/>
      <c r="M19" s="169"/>
      <c r="N19" s="169"/>
      <c r="O19" s="169"/>
      <c r="P19" s="169"/>
      <c r="Q19" s="169"/>
      <c r="R19" s="169"/>
      <c r="S19" s="169"/>
    </row>
    <row r="20" spans="1:19" s="155" customFormat="1" x14ac:dyDescent="0.25">
      <c r="A20" s="65" t="s">
        <v>120</v>
      </c>
      <c r="B20" s="59"/>
      <c r="C20" s="169">
        <v>0</v>
      </c>
      <c r="D20" s="169">
        <v>0</v>
      </c>
      <c r="E20" s="169">
        <v>0</v>
      </c>
      <c r="F20" s="169">
        <v>0</v>
      </c>
      <c r="G20" s="169">
        <v>150521.84</v>
      </c>
      <c r="H20" s="169">
        <v>158747</v>
      </c>
      <c r="I20" s="169">
        <v>179554</v>
      </c>
      <c r="J20" s="169">
        <v>183913</v>
      </c>
      <c r="K20" s="169"/>
      <c r="L20" s="169"/>
      <c r="M20" s="169"/>
      <c r="N20" s="169"/>
      <c r="O20" s="169"/>
      <c r="P20" s="169"/>
      <c r="Q20" s="169"/>
      <c r="R20" s="169"/>
      <c r="S20" s="169"/>
    </row>
    <row r="21" spans="1:19" x14ac:dyDescent="0.25">
      <c r="A21" s="65" t="s">
        <v>67</v>
      </c>
      <c r="B21" s="59"/>
      <c r="C21" s="66">
        <v>486.57</v>
      </c>
      <c r="D21" s="66">
        <v>325.18</v>
      </c>
      <c r="E21" s="66">
        <v>310.89000000000004</v>
      </c>
      <c r="F21" s="66">
        <v>2470</v>
      </c>
      <c r="G21" s="169">
        <v>375</v>
      </c>
      <c r="H21" s="169">
        <v>0</v>
      </c>
      <c r="I21" s="169">
        <v>0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</row>
    <row r="22" spans="1:19" ht="15.75" thickBot="1" x14ac:dyDescent="0.3">
      <c r="A22" s="68" t="s">
        <v>68</v>
      </c>
      <c r="B22" s="69"/>
      <c r="C22" s="70">
        <v>42662.500000000015</v>
      </c>
      <c r="D22" s="70">
        <v>66992.360000000132</v>
      </c>
      <c r="E22" s="70">
        <v>72037.830000000016</v>
      </c>
      <c r="F22" s="70">
        <v>63222.32</v>
      </c>
      <c r="G22" s="196">
        <v>3713</v>
      </c>
      <c r="H22" s="196">
        <v>0</v>
      </c>
      <c r="I22" s="196">
        <v>0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</row>
    <row r="23" spans="1:19" ht="15.75" thickBot="1" x14ac:dyDescent="0.3">
      <c r="A23" s="201" t="s">
        <v>49</v>
      </c>
      <c r="B23" s="202">
        <v>46443</v>
      </c>
      <c r="C23" s="202">
        <f t="shared" ref="C23:S23" si="0">SUMIFS(C4:C22,$A4:$A22,"=Be*")</f>
        <v>26826.269999999997</v>
      </c>
      <c r="D23" s="202">
        <f t="shared" si="0"/>
        <v>27687.079999999998</v>
      </c>
      <c r="E23" s="202">
        <f t="shared" si="0"/>
        <v>33704.15</v>
      </c>
      <c r="F23" s="202">
        <f t="shared" si="0"/>
        <v>72591.13</v>
      </c>
      <c r="G23" s="202">
        <f t="shared" si="0"/>
        <v>67374.47</v>
      </c>
      <c r="H23" s="202">
        <f t="shared" si="0"/>
        <v>73409.62</v>
      </c>
      <c r="I23" s="202">
        <f t="shared" si="0"/>
        <v>67220.33</v>
      </c>
      <c r="J23" s="202">
        <f t="shared" si="0"/>
        <v>108041</v>
      </c>
      <c r="K23" s="202">
        <f t="shared" si="0"/>
        <v>0</v>
      </c>
      <c r="L23" s="202">
        <f t="shared" si="0"/>
        <v>0</v>
      </c>
      <c r="M23" s="202">
        <f t="shared" si="0"/>
        <v>0</v>
      </c>
      <c r="N23" s="202">
        <f t="shared" si="0"/>
        <v>0</v>
      </c>
      <c r="O23" s="202">
        <f t="shared" si="0"/>
        <v>0</v>
      </c>
      <c r="P23" s="202">
        <f t="shared" si="0"/>
        <v>0</v>
      </c>
      <c r="Q23" s="202">
        <f t="shared" si="0"/>
        <v>0</v>
      </c>
      <c r="R23" s="202">
        <f t="shared" si="0"/>
        <v>0</v>
      </c>
      <c r="S23" s="202">
        <f t="shared" si="0"/>
        <v>0</v>
      </c>
    </row>
    <row r="24" spans="1:19" ht="15.75" thickBot="1" x14ac:dyDescent="0.3">
      <c r="A24" s="201" t="s">
        <v>125</v>
      </c>
      <c r="B24" s="202">
        <v>400913</v>
      </c>
      <c r="C24" s="203">
        <f t="shared" ref="C24:S24" si="1">SUMIFS(C4:C22,$A4:$A22,"=Di*")</f>
        <v>409356.62</v>
      </c>
      <c r="D24" s="203">
        <f t="shared" si="1"/>
        <v>464806.12000000011</v>
      </c>
      <c r="E24" s="203">
        <f t="shared" si="1"/>
        <v>445460.29000000004</v>
      </c>
      <c r="F24" s="203">
        <f t="shared" si="1"/>
        <v>424234.95999999996</v>
      </c>
      <c r="G24" s="203">
        <f t="shared" si="1"/>
        <v>376228.44999999995</v>
      </c>
      <c r="H24" s="203">
        <f t="shared" si="1"/>
        <v>373149.04000000004</v>
      </c>
      <c r="I24" s="203">
        <f t="shared" si="1"/>
        <v>377953.16000000003</v>
      </c>
      <c r="J24" s="203">
        <f t="shared" si="1"/>
        <v>333472</v>
      </c>
      <c r="K24" s="203">
        <f t="shared" si="1"/>
        <v>0</v>
      </c>
      <c r="L24" s="203">
        <f t="shared" si="1"/>
        <v>0</v>
      </c>
      <c r="M24" s="203">
        <f t="shared" si="1"/>
        <v>0</v>
      </c>
      <c r="N24" s="203">
        <f t="shared" si="1"/>
        <v>0</v>
      </c>
      <c r="O24" s="203">
        <f t="shared" si="1"/>
        <v>0</v>
      </c>
      <c r="P24" s="203">
        <f t="shared" si="1"/>
        <v>0</v>
      </c>
      <c r="Q24" s="203">
        <f t="shared" si="1"/>
        <v>0</v>
      </c>
      <c r="R24" s="203">
        <f t="shared" si="1"/>
        <v>0</v>
      </c>
      <c r="S24" s="203">
        <f t="shared" si="1"/>
        <v>0</v>
      </c>
    </row>
    <row r="25" spans="1:19" x14ac:dyDescent="0.25">
      <c r="C25" s="8"/>
      <c r="D25" s="8"/>
      <c r="E25" s="8"/>
      <c r="F25" s="8"/>
      <c r="G25" s="8"/>
      <c r="H25" s="17"/>
      <c r="J25" s="1"/>
      <c r="M25" s="155"/>
      <c r="N25" s="155"/>
      <c r="O25" s="155"/>
      <c r="P25" s="155"/>
      <c r="Q25" s="155"/>
      <c r="R25" s="155"/>
      <c r="S25" s="155"/>
    </row>
    <row r="26" spans="1:19" x14ac:dyDescent="0.25">
      <c r="A26" s="71" t="s">
        <v>47</v>
      </c>
      <c r="B26" s="58">
        <v>2008</v>
      </c>
      <c r="C26" s="58">
        <v>2009</v>
      </c>
      <c r="D26" s="58">
        <v>2010</v>
      </c>
      <c r="E26" s="58">
        <v>2011</v>
      </c>
      <c r="F26" s="58">
        <v>2012</v>
      </c>
      <c r="G26" s="58">
        <v>2013</v>
      </c>
      <c r="H26" s="58">
        <v>2014</v>
      </c>
      <c r="I26" s="58">
        <v>2015</v>
      </c>
      <c r="J26" s="58">
        <v>2016</v>
      </c>
      <c r="K26" s="58">
        <v>2017</v>
      </c>
      <c r="L26" s="58">
        <v>2018</v>
      </c>
      <c r="M26" s="161">
        <v>2019</v>
      </c>
      <c r="N26" s="161">
        <v>2020</v>
      </c>
      <c r="O26" s="161">
        <v>2021</v>
      </c>
      <c r="P26" s="161">
        <v>2022</v>
      </c>
      <c r="Q26" s="161">
        <v>2023</v>
      </c>
      <c r="R26" s="161">
        <v>2024</v>
      </c>
      <c r="S26" s="161">
        <v>2025</v>
      </c>
    </row>
    <row r="27" spans="1:19" x14ac:dyDescent="0.25">
      <c r="A27" s="72" t="s">
        <v>13</v>
      </c>
      <c r="B27" s="73">
        <v>2321135</v>
      </c>
      <c r="C27" s="74">
        <v>2249347</v>
      </c>
      <c r="D27" s="74">
        <v>2113046</v>
      </c>
      <c r="E27" s="74">
        <v>2174520</v>
      </c>
      <c r="F27" s="75">
        <v>1941784.3</v>
      </c>
      <c r="G27" s="197">
        <v>3228158</v>
      </c>
      <c r="H27" s="197">
        <v>3206707</v>
      </c>
      <c r="I27" s="197">
        <v>2896755</v>
      </c>
      <c r="J27" s="197">
        <f>2093842+6152+209008+20134+17588+221939</f>
        <v>2568663</v>
      </c>
      <c r="K27" s="197"/>
      <c r="L27" s="197"/>
      <c r="M27" s="197"/>
      <c r="N27" s="197"/>
      <c r="O27" s="197"/>
      <c r="P27" s="197"/>
      <c r="Q27" s="197"/>
      <c r="R27" s="197"/>
      <c r="S27" s="197"/>
    </row>
    <row r="28" spans="1:19" x14ac:dyDescent="0.25">
      <c r="A28" s="72" t="s">
        <v>14</v>
      </c>
      <c r="B28" s="73">
        <v>133817</v>
      </c>
      <c r="C28" s="74">
        <v>163507</v>
      </c>
      <c r="D28" s="74">
        <v>154425</v>
      </c>
      <c r="E28" s="74">
        <v>183682</v>
      </c>
      <c r="F28" s="75">
        <v>180355.87</v>
      </c>
      <c r="G28" s="197">
        <v>0</v>
      </c>
      <c r="H28" s="197">
        <v>0</v>
      </c>
      <c r="I28" s="197">
        <v>0</v>
      </c>
      <c r="J28" s="197"/>
      <c r="K28" s="197"/>
      <c r="L28" s="197"/>
      <c r="M28" s="197"/>
      <c r="N28" s="197"/>
      <c r="O28" s="197"/>
      <c r="P28" s="197"/>
      <c r="Q28" s="197"/>
      <c r="R28" s="197"/>
      <c r="S28" s="197"/>
    </row>
    <row r="29" spans="1:19" ht="15.75" thickBot="1" x14ac:dyDescent="0.3">
      <c r="A29" s="204" t="s">
        <v>15</v>
      </c>
      <c r="B29" s="205">
        <f>+SUM(B27:B28)</f>
        <v>2454952</v>
      </c>
      <c r="C29" s="205">
        <f t="shared" ref="C29:G29" si="2">+SUM(C27:C28)</f>
        <v>2412854</v>
      </c>
      <c r="D29" s="205">
        <f t="shared" si="2"/>
        <v>2267471</v>
      </c>
      <c r="E29" s="205">
        <f t="shared" si="2"/>
        <v>2358202</v>
      </c>
      <c r="F29" s="205">
        <f t="shared" si="2"/>
        <v>2122140.17</v>
      </c>
      <c r="G29" s="205">
        <f t="shared" si="2"/>
        <v>3228158</v>
      </c>
      <c r="H29" s="205">
        <f t="shared" ref="H29:L29" si="3">+SUM(H27:H28)</f>
        <v>3206707</v>
      </c>
      <c r="I29" s="205">
        <f t="shared" si="3"/>
        <v>2896755</v>
      </c>
      <c r="J29" s="205">
        <f t="shared" si="3"/>
        <v>2568663</v>
      </c>
      <c r="K29" s="205">
        <f t="shared" si="3"/>
        <v>0</v>
      </c>
      <c r="L29" s="205">
        <f t="shared" si="3"/>
        <v>0</v>
      </c>
      <c r="M29" s="205">
        <f t="shared" ref="M29:S29" si="4">+SUM(M27:M28)</f>
        <v>0</v>
      </c>
      <c r="N29" s="205">
        <f t="shared" si="4"/>
        <v>0</v>
      </c>
      <c r="O29" s="205">
        <f t="shared" si="4"/>
        <v>0</v>
      </c>
      <c r="P29" s="205">
        <f t="shared" si="4"/>
        <v>0</v>
      </c>
      <c r="Q29" s="205">
        <f t="shared" si="4"/>
        <v>0</v>
      </c>
      <c r="R29" s="205">
        <f t="shared" si="4"/>
        <v>0</v>
      </c>
      <c r="S29" s="205">
        <f t="shared" si="4"/>
        <v>0</v>
      </c>
    </row>
    <row r="30" spans="1:19" x14ac:dyDescent="0.25">
      <c r="A30" s="16"/>
      <c r="B30" s="15"/>
      <c r="C30" s="13"/>
      <c r="D30" s="13"/>
      <c r="E30" s="13"/>
      <c r="F30" s="14"/>
      <c r="G30" s="14"/>
      <c r="M30" s="155"/>
      <c r="N30" s="155"/>
      <c r="O30" s="155"/>
      <c r="P30" s="155"/>
      <c r="Q30" s="155"/>
      <c r="R30" s="155"/>
      <c r="S30" s="155"/>
    </row>
    <row r="31" spans="1:19" s="3" customFormat="1" x14ac:dyDescent="0.25">
      <c r="A31" s="18" t="s">
        <v>33</v>
      </c>
      <c r="B31" s="51">
        <v>2008</v>
      </c>
      <c r="C31" s="51">
        <v>2009</v>
      </c>
      <c r="D31" s="51">
        <v>2010</v>
      </c>
      <c r="E31" s="51">
        <v>2011</v>
      </c>
      <c r="F31" s="51">
        <v>2012</v>
      </c>
      <c r="G31" s="51">
        <v>2013</v>
      </c>
      <c r="H31" s="51">
        <v>2014</v>
      </c>
      <c r="I31" s="51">
        <v>2015</v>
      </c>
      <c r="J31" s="51">
        <v>2016</v>
      </c>
      <c r="K31" s="51">
        <v>2017</v>
      </c>
      <c r="L31" s="51">
        <v>2018</v>
      </c>
      <c r="M31" s="159">
        <v>2019</v>
      </c>
      <c r="N31" s="159">
        <v>2020</v>
      </c>
      <c r="O31" s="159">
        <v>2021</v>
      </c>
      <c r="P31" s="159">
        <v>2022</v>
      </c>
      <c r="Q31" s="159">
        <v>2023</v>
      </c>
      <c r="R31" s="159">
        <v>2024</v>
      </c>
      <c r="S31" s="159">
        <v>2025</v>
      </c>
    </row>
    <row r="32" spans="1:19" s="3" customFormat="1" x14ac:dyDescent="0.25">
      <c r="A32" s="27" t="s">
        <v>48</v>
      </c>
      <c r="B32" s="22">
        <f>+((B23*B35/1000)+(B24*B36/1000)+(B29*B37/1000))/1000</f>
        <v>1493.0264099999999</v>
      </c>
      <c r="C32" s="22">
        <f t="shared" ref="C32:G32" si="5">+((C23*C35/1000)+(C24*C36/1000)+(C29*C37/1000))/1000</f>
        <v>1462.849111</v>
      </c>
      <c r="D32" s="22">
        <f t="shared" si="5"/>
        <v>1592.9564400000004</v>
      </c>
      <c r="E32" s="22">
        <f t="shared" si="5"/>
        <v>1567.9259884999999</v>
      </c>
      <c r="F32" s="22">
        <f t="shared" si="5"/>
        <v>1574.3195780999999</v>
      </c>
      <c r="G32" s="100">
        <f t="shared" si="5"/>
        <v>1578.3646604999997</v>
      </c>
      <c r="H32" s="100">
        <f t="shared" ref="H32:L32" si="6">+((H23*H35/1000)+(H24*H36/1000)+(H29*H37/1000))/1000</f>
        <v>1581.8999540000002</v>
      </c>
      <c r="I32" s="100">
        <f t="shared" si="6"/>
        <v>1539.4828160000002</v>
      </c>
      <c r="J32" s="100">
        <f t="shared" si="6"/>
        <v>1476.9253899999999</v>
      </c>
      <c r="K32" s="100">
        <f t="shared" si="6"/>
        <v>0</v>
      </c>
      <c r="L32" s="100">
        <f t="shared" si="6"/>
        <v>0</v>
      </c>
      <c r="M32" s="163">
        <f t="shared" ref="M32:S32" si="7">+((M23*M35/1000)+(M24*M36/1000)+(M29*M37/1000))/1000</f>
        <v>0</v>
      </c>
      <c r="N32" s="163">
        <f t="shared" si="7"/>
        <v>0</v>
      </c>
      <c r="O32" s="163">
        <f t="shared" si="7"/>
        <v>0</v>
      </c>
      <c r="P32" s="163">
        <f t="shared" si="7"/>
        <v>0</v>
      </c>
      <c r="Q32" s="163">
        <f t="shared" si="7"/>
        <v>0</v>
      </c>
      <c r="R32" s="163">
        <f t="shared" si="7"/>
        <v>0</v>
      </c>
      <c r="S32" s="163">
        <f t="shared" si="7"/>
        <v>0</v>
      </c>
    </row>
    <row r="33" spans="1:19" s="3" customFormat="1" x14ac:dyDescent="0.25">
      <c r="B33" s="6"/>
      <c r="C33" s="6"/>
      <c r="D33" s="6"/>
      <c r="E33" s="6"/>
      <c r="F33" s="6"/>
      <c r="G33" s="6"/>
      <c r="M33" s="154"/>
      <c r="N33" s="154"/>
      <c r="O33" s="154"/>
      <c r="P33" s="154"/>
      <c r="Q33" s="154"/>
      <c r="R33" s="154"/>
      <c r="S33" s="154"/>
    </row>
    <row r="34" spans="1:19" s="3" customFormat="1" x14ac:dyDescent="0.25">
      <c r="A34" s="46" t="s">
        <v>31</v>
      </c>
      <c r="B34" s="46">
        <v>2008</v>
      </c>
      <c r="C34" s="46">
        <v>2009</v>
      </c>
      <c r="D34" s="46">
        <v>2010</v>
      </c>
      <c r="E34" s="46">
        <v>2011</v>
      </c>
      <c r="F34" s="46">
        <v>2012</v>
      </c>
      <c r="G34" s="46">
        <v>2013</v>
      </c>
      <c r="H34" s="158">
        <v>2014</v>
      </c>
      <c r="I34" s="158">
        <v>2015</v>
      </c>
      <c r="J34" s="158">
        <v>2016</v>
      </c>
      <c r="K34" s="158">
        <v>2017</v>
      </c>
      <c r="L34" s="158">
        <v>2018</v>
      </c>
      <c r="M34" s="158">
        <v>2019</v>
      </c>
      <c r="N34" s="158">
        <v>2020</v>
      </c>
      <c r="O34" s="158">
        <v>2021</v>
      </c>
      <c r="P34" s="158">
        <v>2022</v>
      </c>
      <c r="Q34" s="158">
        <v>2023</v>
      </c>
      <c r="R34" s="158">
        <v>2024</v>
      </c>
      <c r="S34" s="158">
        <v>2025</v>
      </c>
    </row>
    <row r="35" spans="1:19" s="3" customFormat="1" x14ac:dyDescent="0.25">
      <c r="A35" s="38" t="s">
        <v>75</v>
      </c>
      <c r="B35" s="37">
        <v>2400</v>
      </c>
      <c r="C35" s="37">
        <v>2400</v>
      </c>
      <c r="D35" s="37">
        <v>2400</v>
      </c>
      <c r="E35" s="37">
        <v>2400</v>
      </c>
      <c r="F35" s="37">
        <v>2400</v>
      </c>
      <c r="G35" s="37">
        <v>2400</v>
      </c>
      <c r="H35" s="37">
        <v>2400</v>
      </c>
      <c r="I35" s="37">
        <v>2400</v>
      </c>
      <c r="J35" s="37">
        <v>2400</v>
      </c>
      <c r="K35" s="37">
        <v>2400</v>
      </c>
      <c r="L35" s="37">
        <v>2400</v>
      </c>
      <c r="M35" s="156">
        <v>2400</v>
      </c>
      <c r="N35" s="156">
        <v>2400</v>
      </c>
      <c r="O35" s="156">
        <v>2400</v>
      </c>
      <c r="P35" s="156">
        <v>2400</v>
      </c>
      <c r="Q35" s="156">
        <v>2400</v>
      </c>
      <c r="R35" s="156">
        <v>2400</v>
      </c>
      <c r="S35" s="156">
        <v>2400</v>
      </c>
    </row>
    <row r="36" spans="1:19" x14ac:dyDescent="0.25">
      <c r="A36" s="52" t="s">
        <v>76</v>
      </c>
      <c r="B36" s="37">
        <v>2650</v>
      </c>
      <c r="C36" s="37">
        <v>2650</v>
      </c>
      <c r="D36" s="37">
        <v>2650</v>
      </c>
      <c r="E36" s="37">
        <v>2650</v>
      </c>
      <c r="F36" s="37">
        <v>2650</v>
      </c>
      <c r="G36" s="37">
        <v>2650</v>
      </c>
      <c r="H36" s="37">
        <v>2650</v>
      </c>
      <c r="I36" s="37">
        <v>2650</v>
      </c>
      <c r="J36" s="37">
        <v>2650</v>
      </c>
      <c r="K36" s="37">
        <v>2650</v>
      </c>
      <c r="L36" s="37">
        <v>2650</v>
      </c>
      <c r="M36" s="156">
        <v>2650</v>
      </c>
      <c r="N36" s="156">
        <v>2650</v>
      </c>
      <c r="O36" s="156">
        <v>2650</v>
      </c>
      <c r="P36" s="156">
        <v>2650</v>
      </c>
      <c r="Q36" s="156">
        <v>2650</v>
      </c>
      <c r="R36" s="156">
        <v>2650</v>
      </c>
      <c r="S36" s="156">
        <v>2650</v>
      </c>
    </row>
    <row r="37" spans="1:19" x14ac:dyDescent="0.25">
      <c r="A37" s="52" t="s">
        <v>77</v>
      </c>
      <c r="B37" s="37">
        <v>130</v>
      </c>
      <c r="C37" s="37">
        <v>130</v>
      </c>
      <c r="D37" s="37">
        <v>130</v>
      </c>
      <c r="E37" s="37">
        <v>130</v>
      </c>
      <c r="F37" s="37">
        <v>130</v>
      </c>
      <c r="G37" s="37">
        <v>130</v>
      </c>
      <c r="H37" s="37">
        <v>130</v>
      </c>
      <c r="I37" s="37">
        <v>130</v>
      </c>
      <c r="J37" s="37">
        <v>130</v>
      </c>
      <c r="K37" s="37">
        <v>130</v>
      </c>
      <c r="L37" s="37">
        <v>130</v>
      </c>
      <c r="M37" s="156">
        <v>130</v>
      </c>
      <c r="N37" s="156">
        <v>130</v>
      </c>
      <c r="O37" s="156">
        <v>130</v>
      </c>
      <c r="P37" s="156">
        <v>130</v>
      </c>
      <c r="Q37" s="156">
        <v>130</v>
      </c>
      <c r="R37" s="156">
        <v>130</v>
      </c>
      <c r="S37" s="156">
        <v>130</v>
      </c>
    </row>
    <row r="39" spans="1:19" x14ac:dyDescent="0.25">
      <c r="G39" s="215"/>
      <c r="H39" s="130"/>
    </row>
    <row r="42" spans="1:19" x14ac:dyDescent="0.25">
      <c r="A42" s="1"/>
    </row>
    <row r="43" spans="1:19" x14ac:dyDescent="0.25">
      <c r="A43" s="1"/>
    </row>
  </sheetData>
  <pageMargins left="0.7" right="0.7" top="0.75" bottom="0.75" header="0.3" footer="0.3"/>
  <pageSetup paperSize="9" orientation="portrait" r:id="rId1"/>
  <ignoredErrors>
    <ignoredError sqref="B29:L29 D23:L23 D24:L24 M29:S29 M23:S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J15" sqref="J15"/>
    </sheetView>
  </sheetViews>
  <sheetFormatPr defaultRowHeight="15" x14ac:dyDescent="0.25"/>
  <cols>
    <col min="1" max="1" width="24.5703125" style="4" customWidth="1"/>
    <col min="2" max="2" width="12" style="4" bestFit="1" customWidth="1"/>
    <col min="3" max="3" width="10.28515625" style="4" bestFit="1" customWidth="1"/>
    <col min="4" max="4" width="10.5703125" style="4" bestFit="1" customWidth="1"/>
    <col min="5" max="5" width="10.28515625" style="4" bestFit="1" customWidth="1"/>
    <col min="6" max="8" width="10.5703125" style="4" bestFit="1" customWidth="1"/>
    <col min="9" max="9" width="10.5703125" style="4" customWidth="1"/>
    <col min="10" max="10" width="10.5703125" style="4" bestFit="1" customWidth="1"/>
    <col min="11" max="16384" width="9.140625" style="4"/>
  </cols>
  <sheetData>
    <row r="1" spans="1:19" ht="18.75" x14ac:dyDescent="0.3">
      <c r="A1" s="53" t="s">
        <v>42</v>
      </c>
    </row>
    <row r="3" spans="1:19" x14ac:dyDescent="0.25">
      <c r="A3" s="56" t="s">
        <v>17</v>
      </c>
      <c r="B3" s="76">
        <v>2008</v>
      </c>
      <c r="C3" s="76">
        <v>2009</v>
      </c>
      <c r="D3" s="76">
        <v>2010</v>
      </c>
      <c r="E3" s="76">
        <v>2011</v>
      </c>
      <c r="F3" s="76">
        <v>2012</v>
      </c>
      <c r="G3" s="76">
        <v>2013</v>
      </c>
      <c r="H3" s="76">
        <v>2014</v>
      </c>
      <c r="I3" s="76">
        <v>2015</v>
      </c>
      <c r="J3" s="76">
        <v>2016</v>
      </c>
      <c r="K3" s="76">
        <v>2017</v>
      </c>
      <c r="L3" s="76">
        <v>2018</v>
      </c>
      <c r="M3" s="162">
        <v>2019</v>
      </c>
      <c r="N3" s="162">
        <v>2020</v>
      </c>
      <c r="O3" s="162">
        <v>2021</v>
      </c>
      <c r="P3" s="162">
        <v>2022</v>
      </c>
      <c r="Q3" s="162">
        <v>2023</v>
      </c>
      <c r="R3" s="162">
        <v>2024</v>
      </c>
      <c r="S3" s="162">
        <v>2025</v>
      </c>
    </row>
    <row r="4" spans="1:19" x14ac:dyDescent="0.25">
      <c r="A4" s="65" t="s">
        <v>38</v>
      </c>
      <c r="B4" s="77">
        <v>1594439</v>
      </c>
      <c r="C4" s="77">
        <v>1513593</v>
      </c>
      <c r="D4" s="77">
        <v>1476534</v>
      </c>
      <c r="E4" s="77">
        <v>1676884</v>
      </c>
      <c r="F4" s="77">
        <v>1703860</v>
      </c>
      <c r="G4" s="169">
        <v>1690023</v>
      </c>
      <c r="H4" s="169">
        <v>1678645</v>
      </c>
      <c r="I4" s="240">
        <v>1653465</v>
      </c>
      <c r="J4" s="251">
        <v>1537929</v>
      </c>
      <c r="K4" s="167"/>
      <c r="L4" s="167"/>
      <c r="M4" s="167"/>
      <c r="N4" s="167"/>
      <c r="O4" s="167"/>
      <c r="P4" s="167"/>
      <c r="Q4" s="167"/>
      <c r="R4" s="167"/>
      <c r="S4" s="167"/>
    </row>
    <row r="5" spans="1:19" x14ac:dyDescent="0.25">
      <c r="A5" s="65" t="s">
        <v>40</v>
      </c>
      <c r="B5" s="77">
        <v>295948</v>
      </c>
      <c r="C5" s="77">
        <v>246000</v>
      </c>
      <c r="D5" s="77">
        <v>246000</v>
      </c>
      <c r="E5" s="77">
        <v>246000</v>
      </c>
      <c r="F5" s="77">
        <v>246000</v>
      </c>
      <c r="G5" s="167">
        <v>246000</v>
      </c>
      <c r="H5" s="167">
        <v>0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19" x14ac:dyDescent="0.25">
      <c r="A6" s="65" t="s">
        <v>41</v>
      </c>
      <c r="B6" s="77">
        <v>237232</v>
      </c>
      <c r="C6" s="77">
        <v>237000</v>
      </c>
      <c r="D6" s="77">
        <v>354983</v>
      </c>
      <c r="E6" s="77"/>
      <c r="F6" s="7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15.75" thickBot="1" x14ac:dyDescent="0.3">
      <c r="A7" s="206" t="s">
        <v>39</v>
      </c>
      <c r="B7" s="207">
        <f>SUM(B4:B6)</f>
        <v>2127619</v>
      </c>
      <c r="C7" s="207">
        <f>SUM(C4:C6)</f>
        <v>1996593</v>
      </c>
      <c r="D7" s="207">
        <f>SUM(D4:D6)</f>
        <v>2077517</v>
      </c>
      <c r="E7" s="207">
        <f>SUM(E4:E6)</f>
        <v>1922884</v>
      </c>
      <c r="F7" s="208">
        <f>+SUM(F4:F6)</f>
        <v>1949860</v>
      </c>
      <c r="G7" s="207">
        <f>+SUM(G4:G6)</f>
        <v>1936023</v>
      </c>
      <c r="H7" s="207">
        <f t="shared" ref="H7:L7" si="0">+SUM(H4:H6)</f>
        <v>1678645</v>
      </c>
      <c r="I7" s="207">
        <f t="shared" si="0"/>
        <v>1653465</v>
      </c>
      <c r="J7" s="207">
        <f>+SUM(J4:J6)</f>
        <v>1537929</v>
      </c>
      <c r="K7" s="207">
        <f t="shared" si="0"/>
        <v>0</v>
      </c>
      <c r="L7" s="207">
        <f t="shared" si="0"/>
        <v>0</v>
      </c>
      <c r="M7" s="207">
        <f t="shared" ref="M7:S7" si="1">+SUM(M4:M6)</f>
        <v>0</v>
      </c>
      <c r="N7" s="207">
        <f t="shared" si="1"/>
        <v>0</v>
      </c>
      <c r="O7" s="207">
        <f t="shared" si="1"/>
        <v>0</v>
      </c>
      <c r="P7" s="207">
        <f t="shared" si="1"/>
        <v>0</v>
      </c>
      <c r="Q7" s="207">
        <f t="shared" si="1"/>
        <v>0</v>
      </c>
      <c r="R7" s="207">
        <f t="shared" si="1"/>
        <v>0</v>
      </c>
      <c r="S7" s="207">
        <f t="shared" si="1"/>
        <v>0</v>
      </c>
    </row>
    <row r="8" spans="1:19" x14ac:dyDescent="0.25">
      <c r="A8" s="11"/>
      <c r="B8" s="12"/>
      <c r="C8" s="12"/>
      <c r="D8" s="12"/>
      <c r="E8" s="12"/>
      <c r="M8" s="155"/>
      <c r="N8" s="155"/>
      <c r="O8" s="155"/>
      <c r="P8" s="155"/>
      <c r="Q8" s="155"/>
      <c r="R8" s="155"/>
      <c r="S8" s="155"/>
    </row>
    <row r="9" spans="1:19" x14ac:dyDescent="0.25">
      <c r="A9" s="18" t="s">
        <v>33</v>
      </c>
      <c r="B9" s="51">
        <v>2008</v>
      </c>
      <c r="C9" s="51">
        <v>2009</v>
      </c>
      <c r="D9" s="51">
        <v>2010</v>
      </c>
      <c r="E9" s="51">
        <v>2011</v>
      </c>
      <c r="F9" s="51">
        <v>2012</v>
      </c>
      <c r="G9" s="51">
        <v>2013</v>
      </c>
      <c r="H9" s="51">
        <v>2014</v>
      </c>
      <c r="I9" s="51">
        <v>2015</v>
      </c>
      <c r="J9" s="51">
        <v>2016</v>
      </c>
      <c r="K9" s="51">
        <v>2017</v>
      </c>
      <c r="L9" s="51">
        <v>2018</v>
      </c>
      <c r="M9" s="159">
        <v>2019</v>
      </c>
      <c r="N9" s="159">
        <v>2020</v>
      </c>
      <c r="O9" s="159">
        <v>2021</v>
      </c>
      <c r="P9" s="159">
        <v>2022</v>
      </c>
      <c r="Q9" s="159">
        <v>2023</v>
      </c>
      <c r="R9" s="159">
        <v>2024</v>
      </c>
      <c r="S9" s="159">
        <v>2025</v>
      </c>
    </row>
    <row r="10" spans="1:19" x14ac:dyDescent="0.25">
      <c r="A10" s="21" t="s">
        <v>32</v>
      </c>
      <c r="B10" s="22">
        <f t="shared" ref="B10:G10" si="2">+B7*B14/1000/1000</f>
        <v>987.21521600000005</v>
      </c>
      <c r="C10" s="22">
        <f t="shared" si="2"/>
        <v>938.39870999999994</v>
      </c>
      <c r="D10" s="22">
        <f t="shared" si="2"/>
        <v>932.80513300000007</v>
      </c>
      <c r="E10" s="22">
        <f t="shared" si="2"/>
        <v>726.85015199999998</v>
      </c>
      <c r="F10" s="22">
        <f t="shared" si="2"/>
        <v>590.80757999999992</v>
      </c>
      <c r="G10" s="100">
        <f t="shared" si="2"/>
        <v>729.88067100000001</v>
      </c>
      <c r="H10" s="163">
        <f t="shared" ref="H10:L10" si="3">+H7*H14/1000/1000</f>
        <v>510.30808000000002</v>
      </c>
      <c r="I10" s="100">
        <f>+I7*I14/1000/1000</f>
        <v>333.99993000000001</v>
      </c>
      <c r="J10" s="100">
        <f>+J7*J14/1000/1000</f>
        <v>373.716747</v>
      </c>
      <c r="K10" s="100">
        <f t="shared" si="3"/>
        <v>0</v>
      </c>
      <c r="L10" s="100">
        <f t="shared" si="3"/>
        <v>0</v>
      </c>
      <c r="M10" s="163">
        <f t="shared" ref="M10:S10" si="4">+M7*M14/1000/1000</f>
        <v>0</v>
      </c>
      <c r="N10" s="163">
        <f t="shared" si="4"/>
        <v>0</v>
      </c>
      <c r="O10" s="163">
        <f t="shared" si="4"/>
        <v>0</v>
      </c>
      <c r="P10" s="163">
        <f t="shared" si="4"/>
        <v>0</v>
      </c>
      <c r="Q10" s="163">
        <f t="shared" si="4"/>
        <v>0</v>
      </c>
      <c r="R10" s="163">
        <f t="shared" si="4"/>
        <v>0</v>
      </c>
      <c r="S10" s="163">
        <f t="shared" si="4"/>
        <v>0</v>
      </c>
    </row>
    <row r="11" spans="1:19" x14ac:dyDescent="0.25">
      <c r="A11" s="102" t="s">
        <v>69</v>
      </c>
      <c r="B11" s="23">
        <f>+B7*464/1000/1000</f>
        <v>987.21521600000005</v>
      </c>
      <c r="C11" s="23">
        <f>+C7*B14/1000/1000</f>
        <v>926.41915200000005</v>
      </c>
      <c r="D11" s="23">
        <f t="shared" ref="D11:L11" si="5">+D7*C14/1000/1000</f>
        <v>976.43299000000002</v>
      </c>
      <c r="E11" s="23">
        <f t="shared" si="5"/>
        <v>863.37491599999998</v>
      </c>
      <c r="F11" s="23">
        <f t="shared" si="5"/>
        <v>737.04707999999994</v>
      </c>
      <c r="G11" s="101">
        <f t="shared" si="5"/>
        <v>586.61496900000009</v>
      </c>
      <c r="H11" s="101">
        <f t="shared" si="5"/>
        <v>632.84916500000008</v>
      </c>
      <c r="I11" s="164">
        <f t="shared" si="5"/>
        <v>502.65335999999996</v>
      </c>
      <c r="J11" s="101">
        <f t="shared" si="5"/>
        <v>310.66165799999999</v>
      </c>
      <c r="K11" s="101">
        <f t="shared" si="5"/>
        <v>0</v>
      </c>
      <c r="L11" s="101">
        <f t="shared" si="5"/>
        <v>0</v>
      </c>
      <c r="M11" s="164">
        <f t="shared" ref="M11" si="6">+M7*L14/1000/1000</f>
        <v>0</v>
      </c>
      <c r="N11" s="164">
        <f t="shared" ref="N11" si="7">+N7*M14/1000/1000</f>
        <v>0</v>
      </c>
      <c r="O11" s="164">
        <f t="shared" ref="O11" si="8">+O7*N14/1000/1000</f>
        <v>0</v>
      </c>
      <c r="P11" s="164">
        <f t="shared" ref="P11" si="9">+P7*O14/1000/1000</f>
        <v>0</v>
      </c>
      <c r="Q11" s="164">
        <f t="shared" ref="Q11" si="10">+Q7*P14/1000/1000</f>
        <v>0</v>
      </c>
      <c r="R11" s="164">
        <f t="shared" ref="R11" si="11">+R7*Q14/1000/1000</f>
        <v>0</v>
      </c>
      <c r="S11" s="164">
        <f t="shared" ref="S11" si="12">+S7*R14/1000/1000</f>
        <v>0</v>
      </c>
    </row>
    <row r="12" spans="1:19" x14ac:dyDescent="0.25">
      <c r="M12" s="155"/>
      <c r="N12" s="155"/>
      <c r="O12" s="155"/>
      <c r="P12" s="155"/>
      <c r="Q12" s="155"/>
      <c r="R12" s="155"/>
      <c r="S12" s="155"/>
    </row>
    <row r="13" spans="1:19" s="3" customFormat="1" x14ac:dyDescent="0.25">
      <c r="A13" s="46" t="s">
        <v>37</v>
      </c>
      <c r="B13" s="46">
        <v>2008</v>
      </c>
      <c r="C13" s="46">
        <v>2009</v>
      </c>
      <c r="D13" s="46">
        <v>2010</v>
      </c>
      <c r="E13" s="46">
        <v>2011</v>
      </c>
      <c r="F13" s="46">
        <v>2012</v>
      </c>
      <c r="G13" s="46">
        <v>2013</v>
      </c>
      <c r="H13" s="46">
        <v>2014</v>
      </c>
      <c r="I13" s="46">
        <v>2015</v>
      </c>
      <c r="J13" s="46">
        <v>2016</v>
      </c>
      <c r="K13" s="46">
        <v>2017</v>
      </c>
      <c r="L13" s="46">
        <v>2018</v>
      </c>
      <c r="M13" s="158">
        <v>2019</v>
      </c>
      <c r="N13" s="158">
        <v>2020</v>
      </c>
      <c r="O13" s="158">
        <v>2021</v>
      </c>
      <c r="P13" s="158">
        <v>2022</v>
      </c>
      <c r="Q13" s="158">
        <v>2023</v>
      </c>
      <c r="R13" s="158">
        <v>2024</v>
      </c>
      <c r="S13" s="158">
        <v>2025</v>
      </c>
    </row>
    <row r="14" spans="1:19" s="3" customFormat="1" x14ac:dyDescent="0.25">
      <c r="A14" s="138" t="s">
        <v>124</v>
      </c>
      <c r="B14" s="37">
        <v>464</v>
      </c>
      <c r="C14" s="37">
        <v>470</v>
      </c>
      <c r="D14" s="37">
        <v>449</v>
      </c>
      <c r="E14" s="37">
        <v>378</v>
      </c>
      <c r="F14" s="37">
        <v>303</v>
      </c>
      <c r="G14" s="37">
        <v>377</v>
      </c>
      <c r="H14" s="37">
        <v>304</v>
      </c>
      <c r="I14" s="37">
        <v>202</v>
      </c>
      <c r="J14" s="37">
        <v>243</v>
      </c>
      <c r="K14" s="37"/>
      <c r="L14" s="37"/>
      <c r="M14" s="156"/>
      <c r="N14" s="156"/>
      <c r="O14" s="156"/>
      <c r="P14" s="156"/>
      <c r="Q14" s="156"/>
      <c r="R14" s="156"/>
      <c r="S14" s="156"/>
    </row>
    <row r="15" spans="1:19" x14ac:dyDescent="0.25">
      <c r="B15" s="6"/>
      <c r="C15" s="6"/>
      <c r="D15" s="6"/>
      <c r="E15" s="6"/>
      <c r="F15" s="6"/>
    </row>
    <row r="23" spans="4:4" x14ac:dyDescent="0.25">
      <c r="D23" s="130"/>
    </row>
  </sheetData>
  <pageMargins left="0.7" right="0.7" top="0.75" bottom="0.75" header="0.3" footer="0.3"/>
  <pageSetup paperSize="9" orientation="portrait" r:id="rId1"/>
  <ignoredErrors>
    <ignoredError sqref="B7:I7 M7:S7 K7:L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L36" sqref="L36"/>
    </sheetView>
  </sheetViews>
  <sheetFormatPr defaultRowHeight="15" x14ac:dyDescent="0.25"/>
  <sheetData>
    <row r="1" spans="1:19" x14ac:dyDescent="0.25">
      <c r="B1">
        <v>2008</v>
      </c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  <c r="I1">
        <v>2015</v>
      </c>
      <c r="J1">
        <v>2016</v>
      </c>
      <c r="K1">
        <v>2017</v>
      </c>
      <c r="L1">
        <v>2018</v>
      </c>
      <c r="M1">
        <v>2019</v>
      </c>
      <c r="N1">
        <v>2020</v>
      </c>
      <c r="O1">
        <v>2021</v>
      </c>
      <c r="P1">
        <v>2022</v>
      </c>
      <c r="Q1">
        <v>2023</v>
      </c>
      <c r="R1">
        <v>2024</v>
      </c>
      <c r="S1">
        <v>2025</v>
      </c>
    </row>
    <row r="2" spans="1:19" x14ac:dyDescent="0.25">
      <c r="A2" t="s">
        <v>122</v>
      </c>
      <c r="B2">
        <v>0</v>
      </c>
      <c r="C2" s="234">
        <f>(+'CO2-udledning (ton)'!C7-'CO2-udledning (ton)'!$B7)/'CO2-udledning (ton)'!$B7</f>
        <v>-5.0606582555463096E-2</v>
      </c>
      <c r="D2" s="234">
        <f>(+'CO2-udledning (ton)'!D7-'CO2-udledning (ton)'!$B7)/'CO2-udledning (ton)'!$B7</f>
        <v>-4.2652069880283104E-2</v>
      </c>
      <c r="E2" s="234">
        <f>(+'CO2-udledning (ton)'!E7-'CO2-udledning (ton)'!$B7)/'CO2-udledning (ton)'!$B7</f>
        <v>-0.16142933312262736</v>
      </c>
      <c r="F2" s="234">
        <f>(+'CO2-udledning (ton)'!F7-'CO2-udledning (ton)'!$B7)/'CO2-udledning (ton)'!$B7</f>
        <v>-0.27701130186056361</v>
      </c>
      <c r="G2" s="234">
        <f>(+'CO2-udledning (ton)'!G7-'CO2-udledning (ton)'!$B7)/'CO2-udledning (ton)'!$B7</f>
        <v>-0.24530112312237054</v>
      </c>
      <c r="H2" s="234">
        <f>(+'CO2-udledning (ton)'!H7-'CO2-udledning (ton)'!$B7)/'CO2-udledning (ton)'!$B7</f>
        <v>-0.31312437274532084</v>
      </c>
      <c r="I2" s="234">
        <f>(+'CO2-udledning (ton)'!I7-'CO2-udledning (ton)'!$B7)/'CO2-udledning (ton)'!$B7</f>
        <v>-0.4179950405892558</v>
      </c>
    </row>
    <row r="3" spans="1:19" x14ac:dyDescent="0.25">
      <c r="A3" t="s">
        <v>123</v>
      </c>
      <c r="B3">
        <v>0</v>
      </c>
      <c r="C3" s="234">
        <f>+('Energiforbrug (kWh)'!C7-'Energiforbrug (kWh)'!$B7)/'Energiforbrug (kWh)'!$B7</f>
        <v>-8.7063296266343959E-2</v>
      </c>
      <c r="D3" s="234">
        <f>+('Energiforbrug (kWh)'!D7-'Energiforbrug (kWh)'!$B7)/'Energiforbrug (kWh)'!$B7</f>
        <v>-0.11895221067361868</v>
      </c>
      <c r="E3" s="234">
        <f>+('Energiforbrug (kWh)'!E7-'Energiforbrug (kWh)'!$B7)/'Energiforbrug (kWh)'!$B7</f>
        <v>-8.6017595265056021E-2</v>
      </c>
      <c r="F3" s="234">
        <f>+('Energiforbrug (kWh)'!F7-'Energiforbrug (kWh)'!$B7)/'Energiforbrug (kWh)'!$B7</f>
        <v>-0.15352136890249257</v>
      </c>
      <c r="G3" s="234">
        <f>+('Energiforbrug (kWh)'!G7-'Energiforbrug (kWh)'!$B7)/'Energiforbrug (kWh)'!$B7</f>
        <v>-0.14958089804213565</v>
      </c>
      <c r="H3" s="234">
        <f>+('Energiforbrug (kWh)'!H7-'Energiforbrug (kWh)'!$B7)/'Energiforbrug (kWh)'!$B7</f>
        <v>-0.16805885650358621</v>
      </c>
      <c r="I3" s="234">
        <f>+('Energiforbrug (kWh)'!I7-'Energiforbrug (kWh)'!$B7)/'Energiforbrug (kWh)'!$B7</f>
        <v>-0.18012745868866961</v>
      </c>
    </row>
    <row r="4" spans="1:19" x14ac:dyDescent="0.25">
      <c r="H4" s="235"/>
      <c r="I4" s="235">
        <f>(+'CO2-udledning (ton)'!I8-'CO2-udledning (ton)'!$B8)/'CO2-udledning (ton)'!$B8</f>
        <v>-0.32686188529041438</v>
      </c>
      <c r="J4" s="235">
        <f>(+'CO2-udledning (ton)'!J8-'CO2-udledning (ton)'!$B8)/'CO2-udledning (ton)'!$B8</f>
        <v>-0.4296351397774707</v>
      </c>
      <c r="K4" s="235">
        <f>(+'CO2-udledning (ton)'!K8-'CO2-udledning (ton)'!$B8)/'CO2-udledning (ton)'!$B8</f>
        <v>-0.4410424369819213</v>
      </c>
      <c r="L4" s="235">
        <f>(+'CO2-udledning (ton)'!L8-'CO2-udledning (ton)'!$B8)/'CO2-udledning (ton)'!$B8</f>
        <v>-0.45222158824228292</v>
      </c>
      <c r="M4" s="235">
        <f>(+'CO2-udledning (ton)'!M8-'CO2-udledning (ton)'!$B8)/'CO2-udledning (ton)'!$B8</f>
        <v>-0.46317715647743729</v>
      </c>
      <c r="N4" s="235">
        <f>(+'CO2-udledning (ton)'!N8-'CO2-udledning (ton)'!$B8)/'CO2-udledning (ton)'!$B8</f>
        <v>-0.47391361334788851</v>
      </c>
      <c r="O4" s="235">
        <f>(+'CO2-udledning (ton)'!O8-'CO2-udledning (ton)'!$B8)/'CO2-udledning (ton)'!$B8</f>
        <v>-0.48443534108093073</v>
      </c>
      <c r="P4" s="235">
        <f>(+'CO2-udledning (ton)'!P8-'CO2-udledning (ton)'!$B8)/'CO2-udledning (ton)'!$B8</f>
        <v>-0.49474663425931215</v>
      </c>
      <c r="Q4" s="235">
        <f>(+'CO2-udledning (ton)'!Q8-'CO2-udledning (ton)'!$B8)/'CO2-udledning (ton)'!$B8</f>
        <v>-0.50485170157412596</v>
      </c>
      <c r="R4" s="235">
        <f>(+'CO2-udledning (ton)'!R8-'CO2-udledning (ton)'!$B8)/'CO2-udledning (ton)'!$B8</f>
        <v>-0.51475466754264343</v>
      </c>
      <c r="S4" s="235">
        <f>(+'CO2-udledning (ton)'!S8-'CO2-udledning (ton)'!$B8)/'CO2-udledning (ton)'!$B8</f>
        <v>-0.52445957419179057</v>
      </c>
    </row>
    <row r="5" spans="1:19" x14ac:dyDescent="0.25">
      <c r="H5" s="235"/>
      <c r="I5" s="235">
        <f>+I3</f>
        <v>-0.18012745868866961</v>
      </c>
      <c r="J5" s="235">
        <f>+I5-0.012</f>
        <v>-0.19212745868866962</v>
      </c>
      <c r="K5" s="235">
        <f t="shared" ref="K5:R5" si="0">+J5-0.012</f>
        <v>-0.20412745868866963</v>
      </c>
      <c r="L5" s="235">
        <f t="shared" si="0"/>
        <v>-0.21612745868866964</v>
      </c>
      <c r="M5" s="235">
        <f t="shared" si="0"/>
        <v>-0.22812745868866965</v>
      </c>
      <c r="N5" s="235">
        <f t="shared" si="0"/>
        <v>-0.24012745868866966</v>
      </c>
      <c r="O5" s="235">
        <f t="shared" si="0"/>
        <v>-0.25212745868866965</v>
      </c>
      <c r="P5" s="235">
        <f t="shared" si="0"/>
        <v>-0.26412745868866966</v>
      </c>
      <c r="Q5" s="235">
        <f t="shared" si="0"/>
        <v>-0.27612745868866967</v>
      </c>
      <c r="R5" s="235">
        <f t="shared" si="0"/>
        <v>-0.28812745868866968</v>
      </c>
      <c r="S5" s="234">
        <v>-0.3</v>
      </c>
    </row>
    <row r="6" spans="1:19" x14ac:dyDescent="0.25">
      <c r="R6" s="2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Diagrammer</vt:lpstr>
      </vt:variant>
      <vt:variant>
        <vt:i4>2</vt:i4>
      </vt:variant>
    </vt:vector>
  </HeadingPairs>
  <TitlesOfParts>
    <vt:vector size="10" baseType="lpstr">
      <vt:lpstr>CO2-udledning DN</vt:lpstr>
      <vt:lpstr>Energiforbrug (kWh)</vt:lpstr>
      <vt:lpstr>CO2-udledning (ton)</vt:lpstr>
      <vt:lpstr>Varme 2008-</vt:lpstr>
      <vt:lpstr>El 2008-</vt:lpstr>
      <vt:lpstr>Kørsel 2008-</vt:lpstr>
      <vt:lpstr>Gadebelysning 2008-</vt:lpstr>
      <vt:lpstr>Ark1</vt:lpstr>
      <vt:lpstr>Diagram - Energiforbrug</vt:lpstr>
      <vt:lpstr>Diagram - CO2</vt:lpstr>
    </vt:vector>
  </TitlesOfParts>
  <Company>Vordingborg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</dc:creator>
  <cp:lastModifiedBy>Patrick Bækkel Pedersen</cp:lastModifiedBy>
  <dcterms:created xsi:type="dcterms:W3CDTF">2013-12-03T10:36:17Z</dcterms:created>
  <dcterms:modified xsi:type="dcterms:W3CDTF">2017-03-16T13:46:36Z</dcterms:modified>
</cp:coreProperties>
</file>